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An. funestus sialome" sheetId="1" r:id="rId1"/>
  </sheets>
  <definedNames/>
  <calcPr fullCalcOnLoad="1"/>
</workbook>
</file>

<file path=xl/sharedStrings.xml><?xml version="1.0" encoding="utf-8"?>
<sst xmlns="http://schemas.openxmlformats.org/spreadsheetml/2006/main" count="1090" uniqueCount="460">
  <si>
    <t>Seq name</t>
  </si>
  <si>
    <t>First residue</t>
  </si>
  <si>
    <t>Seq size</t>
  </si>
  <si>
    <t>M</t>
  </si>
  <si>
    <t xml:space="preserve"> </t>
  </si>
  <si>
    <t>G</t>
  </si>
  <si>
    <t>D</t>
  </si>
  <si>
    <t>L</t>
  </si>
  <si>
    <t>A</t>
  </si>
  <si>
    <t>Q</t>
  </si>
  <si>
    <t>E value</t>
  </si>
  <si>
    <t>Match</t>
  </si>
  <si>
    <t>Extent of match</t>
  </si>
  <si>
    <t>% identity</t>
  </si>
  <si>
    <t>% Match length</t>
  </si>
  <si>
    <t>First residue of match</t>
  </si>
  <si>
    <t>Start</t>
  </si>
  <si>
    <t>End</t>
  </si>
  <si>
    <t>Best match to NR protein database</t>
  </si>
  <si>
    <t>Species</t>
  </si>
  <si>
    <t>Best match to GO database</t>
  </si>
  <si>
    <t>All descriptors</t>
  </si>
  <si>
    <t>Parent</t>
  </si>
  <si>
    <t>Second parent</t>
  </si>
  <si>
    <t>GO #</t>
  </si>
  <si>
    <t>E value of functional GO</t>
  </si>
  <si>
    <t>Best match to KOG database</t>
  </si>
  <si>
    <t>General class</t>
  </si>
  <si>
    <t>Best match to CDD database</t>
  </si>
  <si>
    <t>All CDD domains</t>
  </si>
  <si>
    <t>Best match to PFAM database</t>
  </si>
  <si>
    <t>Best match to SMART database</t>
  </si>
  <si>
    <t>gsg6</t>
  </si>
  <si>
    <t>gi|29501530</t>
  </si>
  <si>
    <t>Anopheles stephensi</t>
  </si>
  <si>
    <t>fibrillin 1 - microfibril</t>
  </si>
  <si>
    <t>receptor signaling complex scaffold activity||receptor signaling protein activity||signal transducer activity</t>
  </si>
  <si>
    <t>signal transducer activity</t>
  </si>
  <si>
    <t>receptor signaling protein activity</t>
  </si>
  <si>
    <t>GO:0030159</t>
  </si>
  <si>
    <t>Carbohydrate transport and metabolism]</t>
  </si>
  <si>
    <t>sg2</t>
  </si>
  <si>
    <t>gi|27372907</t>
  </si>
  <si>
    <t>Neurogenic protein mastermind - nucleus - ectoderm development - neurogenesis - eye morphogenesis (sensu Endopterygota) - mesoderm cell fate determination - asymmetric cell division</t>
  </si>
  <si>
    <t>RNA binding||nucleic acid binding||binding</t>
  </si>
  <si>
    <t>binding</t>
  </si>
  <si>
    <t>nucleic acid binding</t>
  </si>
  <si>
    <t>GO:0003723</t>
  </si>
  <si>
    <t>Signal transduction mechanisms]</t>
  </si>
  <si>
    <t>SIN1 0.008| rDP_like | COG0729 |</t>
  </si>
  <si>
    <t>gvag</t>
  </si>
  <si>
    <t>gi|27372895</t>
  </si>
  <si>
    <t>extracellular region</t>
  </si>
  <si>
    <t>molecular_function unknown</t>
  </si>
  <si>
    <t>GO:0005554</t>
  </si>
  <si>
    <t>Function unknown]</t>
  </si>
  <si>
    <t>SCP 4e-023| SCP 1e-022| SCP 6e-022| Peptidase_C19G |</t>
  </si>
  <si>
    <t>gSG5</t>
  </si>
  <si>
    <t>gi|55237669</t>
  </si>
  <si>
    <t>Anopheles gambiae str. PEST</t>
  </si>
  <si>
    <t>positive regulation of body size - locomotory behavior - larval development (sensu Nematoda) - growth - physiological process</t>
  </si>
  <si>
    <t>hyp10</t>
  </si>
  <si>
    <t>gi|55247312</t>
  </si>
  <si>
    <t>signal peptidase complex - signal peptide processing - signal peptidase activity</t>
  </si>
  <si>
    <t>signal peptidase activity||peptidase activity||hydrolase activity||catalytic activity</t>
  </si>
  <si>
    <t>catalytic activity</t>
  </si>
  <si>
    <t>hydrolase activity</t>
  </si>
  <si>
    <t>GO:0009003</t>
  </si>
  <si>
    <t>Intracellular trafficking, secretion, and vesicular transport]</t>
  </si>
  <si>
    <t>Peptidase_S26 2e-027| LepB 2e-004| COG2932 0.023| COG5634 |</t>
  </si>
  <si>
    <t>Sal_calreticulin</t>
  </si>
  <si>
    <t>gi|55247226</t>
  </si>
  <si>
    <t>zgc:77492 - biological_process unknown</t>
  </si>
  <si>
    <t>actin binding||cytoskeletal protein binding||protein binding||binding</t>
  </si>
  <si>
    <t>protein binding</t>
  </si>
  <si>
    <t>GO:0003779</t>
  </si>
  <si>
    <t>DUF1014 4e-017| UvrB |</t>
  </si>
  <si>
    <t>Ag_sal_maltase</t>
  </si>
  <si>
    <t>gi|67084113</t>
  </si>
  <si>
    <t>Ixodes scapularis</t>
  </si>
  <si>
    <t>Ribosomal protein L39 - structural constituent of ribosome - cytosolic large ribosomal subunit (sensu Eukaryota) - protein biosynthesis - ribosome</t>
  </si>
  <si>
    <t>structural constituent of ribosome||structural molecule activity</t>
  </si>
  <si>
    <t>structural molecule activity</t>
  </si>
  <si>
    <t>structural constituent of ribosome</t>
  </si>
  <si>
    <t>GO:0003735</t>
  </si>
  <si>
    <t>Translation, ribosomal structure and biogenesis]</t>
  </si>
  <si>
    <t>RPL39 6e-006| Ribosomal_L39 2e-005|</t>
  </si>
  <si>
    <t>sg2a</t>
  </si>
  <si>
    <t>gi|55239274</t>
  </si>
  <si>
    <t>RNA binding</t>
  </si>
  <si>
    <t>Transcription]</t>
  </si>
  <si>
    <t>DUF390 0.035|</t>
  </si>
  <si>
    <t>Ag_sal_peroxidase</t>
  </si>
  <si>
    <t>gi|55234236</t>
  </si>
  <si>
    <t>calcium ion binding - learning - courtship behavior - calcium-mediated signaling</t>
  </si>
  <si>
    <t>calcium ion binding||metal ion binding||ion binding||binding</t>
  </si>
  <si>
    <t>ion binding</t>
  </si>
  <si>
    <t>GO:0005509</t>
  </si>
  <si>
    <t>30_kDa</t>
  </si>
  <si>
    <t>gi|55244508</t>
  </si>
  <si>
    <t>zgc:76972 - cellular_component unknown - molecular_function unknown - biological_process unknown</t>
  </si>
  <si>
    <t>SNF7 9e-021| VPS24 2e-004| Coprinus_mating | COG5022 |</t>
  </si>
  <si>
    <t>sal_serpro1</t>
  </si>
  <si>
    <t>gi|27372917</t>
  </si>
  <si>
    <t>NADH dehydrogenase (ubiquinone) 1 alpha subcomplex, 1 - extracellular space - mitochondrion</t>
  </si>
  <si>
    <t>NADH dehydrogenase (ubiquinone) activity||sodium ion transporter activity||metal ion transporter activity||ion transporter activity||transporter activity</t>
  </si>
  <si>
    <t>transporter activity</t>
  </si>
  <si>
    <t>ion transporter activity</t>
  </si>
  <si>
    <t>GO:0008137</t>
  </si>
  <si>
    <t>COG4091 | AppB |</t>
  </si>
  <si>
    <t>gi|83016745</t>
  </si>
  <si>
    <t>CG33103-PB, isoform B - basement membrane</t>
  </si>
  <si>
    <t>RNA polymerase I transcription factor activity||transcription regulator activity</t>
  </si>
  <si>
    <t>transcription regulator activity</t>
  </si>
  <si>
    <t>RNA polymerase I transcription factor activity</t>
  </si>
  <si>
    <t>GO:0003701</t>
  </si>
  <si>
    <t>Cell cycle control, cell division, chromosome partitioning]</t>
  </si>
  <si>
    <t>CobT 5e-006| CobT 2e-005| MDN1 5e-005| Herpes_LMP1 0.001| COG5406 0.003| Daxx 0.023| COG5593 0.025| DNA_pol_V 0.026| Duffy_binding 0.026| Nop14 0.039| COPI_C 0.072| TRAP_alpha 0.072| COG5177 0.089| SDA1 | TFIIA | FLO_LFY | DUF913 | Sigma70_ner | NOA36 |</t>
  </si>
  <si>
    <t>D7r4</t>
  </si>
  <si>
    <t>gi|17016228</t>
  </si>
  <si>
    <t>Anopheles gambiae</t>
  </si>
  <si>
    <t>D7-related_1</t>
  </si>
  <si>
    <t>gi|55237410</t>
  </si>
  <si>
    <t>ubiquitin-protein ligase activity</t>
  </si>
  <si>
    <t>ubiquitin-protein ligase activity||acid-amino acid ligase activity||ligase activity\, forming carbon-nitrogen bonds||ligase activity||catalytic activity</t>
  </si>
  <si>
    <t>ligase activity</t>
  </si>
  <si>
    <t>GO:0004842</t>
  </si>
  <si>
    <t>gi|55233274</t>
  </si>
  <si>
    <t>Larval visceral protein H - alpha-glucosidase activity - glucose metabolism</t>
  </si>
  <si>
    <t>alpha-glucosidase activity||glucosidase activity||hydrolase activity\, hydrolyzing O-glycosyl compounds||hydrolase activity\, acting on glycosyl bonds||hydrolase activity||catalytic activity</t>
  </si>
  <si>
    <t>GO:0004558</t>
  </si>
  <si>
    <t>hyp8.2</t>
  </si>
  <si>
    <t>gi|21299285</t>
  </si>
  <si>
    <t>nuclear pore complex subunit - nuclear pore - structural molecule activity - ribosomal large subunit-nucleus export - RNA-nucleus export - mRNA-nucleus export - rRNA-nucleus export - snRNA-nucleus export - tRNA-nucleus export - protein-nucleus import - NLS-bearing substrate-nucleus import - snRNP protein-nucleus import - mRNA-binding (hnRNP) protein-nucleus import - ribosomal protein-nucleus import - protein-nucleus export - nuclear pore organization and biogenesis</t>
  </si>
  <si>
    <t>GO:0005198</t>
  </si>
  <si>
    <t>AF-4 |</t>
  </si>
  <si>
    <t>hyp15</t>
  </si>
  <si>
    <t>gi|18389911</t>
  </si>
  <si>
    <t>glucose dehydrogenase activity</t>
  </si>
  <si>
    <t>glucose dehydrogenase activity||oxidoreductase activity\, acting on CH-OH group of donors||oxidoreductase activity||catalytic activity</t>
  </si>
  <si>
    <t>oxidoreductase activity</t>
  </si>
  <si>
    <t>GO:0008708</t>
  </si>
  <si>
    <t>D7-related_3</t>
  </si>
  <si>
    <t>gi|17016226</t>
  </si>
  <si>
    <t>Cytoskeleton]</t>
  </si>
  <si>
    <t>COG5022 0.031|</t>
  </si>
  <si>
    <t>D7-related_2</t>
  </si>
  <si>
    <t>gi|16225965</t>
  </si>
  <si>
    <t>Anopheles arabiensis</t>
  </si>
  <si>
    <t>heptosyl transferase, glycosyltransferase family 9 protein - lipopolysaccharide heptosyltransferase activity - lipopolysaccharide core region biosynthesis</t>
  </si>
  <si>
    <t>lipopolysaccharide heptosyltransferase activity||transferase activity\, transferring glycosyl groups||transferase activity||catalytic activity</t>
  </si>
  <si>
    <t>transferase activity</t>
  </si>
  <si>
    <t>GO:0008920</t>
  </si>
  <si>
    <t>D7L1</t>
  </si>
  <si>
    <t>gi|16225974</t>
  </si>
  <si>
    <t>Odorant-binding protein 99a - odorant binding</t>
  </si>
  <si>
    <t>odorant binding||binding</t>
  </si>
  <si>
    <t>odorant binding</t>
  </si>
  <si>
    <t>GO:0005549</t>
  </si>
  <si>
    <t>hyp12</t>
  </si>
  <si>
    <t>gi|27372893</t>
  </si>
  <si>
    <t>SG1-like-3_long</t>
  </si>
  <si>
    <t>gi|55243179</t>
  </si>
  <si>
    <t>oligopeptide ABC transporter, ATP-binding protein - ATP binding - oligopeptide transport - ATPase activity, coupled to transmembrane movement of substances</t>
  </si>
  <si>
    <t>ATP binding||adenyl nucleotide binding||purine nucleotide binding||nucleotide binding||binding</t>
  </si>
  <si>
    <t>nucleotide binding</t>
  </si>
  <si>
    <t>GO:0005524</t>
  </si>
  <si>
    <t>KptA |</t>
  </si>
  <si>
    <t>5p_nuc</t>
  </si>
  <si>
    <t>gi|27372911</t>
  </si>
  <si>
    <t>5'-nucleotidase, putative - 5'-nucleotidase activity - nucleobase, nucleoside and nucleotide interconversion</t>
  </si>
  <si>
    <t>5'-nucleotidase activity||nucleotidase activity||phosphoric monoester hydrolase activity||phosphoric ester hydrolase activity||hydrolase activity\, acting on ester bonds||hydrolase activity||catalytic activity</t>
  </si>
  <si>
    <t>GO:0008253</t>
  </si>
  <si>
    <t>Nucleotide transport and metabolism]</t>
  </si>
  <si>
    <t>5_nucleotid_C 1e-011| UshA 5e-004|</t>
  </si>
  <si>
    <t>gi|5834913</t>
  </si>
  <si>
    <t>Cytochrome c oxidase subunit 1 - sleep</t>
  </si>
  <si>
    <t>cytochrome-c oxidase activity||hydrogen ion transporter activity||monovalent inorganic cation transporter activity||cation transporter activity||ion transporter activity||transporter activity</t>
  </si>
  <si>
    <t>GO:0004129</t>
  </si>
  <si>
    <t>Energy production and conversion]</t>
  </si>
  <si>
    <t>Cyt_c_Oxidase_I | COX1 e-158| Heme_Cu_Oxidase_I e-149| CyoB e-139| Ubiquinol_Oxidase_I e-127| ba3-like_Oxidase_I 4e-022| CorA |</t>
  </si>
  <si>
    <t>trio</t>
  </si>
  <si>
    <t>gi|55240268</t>
  </si>
  <si>
    <t>Tumor protein D54 - cell proliferation</t>
  </si>
  <si>
    <t>General function prediction only]</t>
  </si>
  <si>
    <t>TPD52 2e-025|</t>
  </si>
  <si>
    <t>SG1-2</t>
  </si>
  <si>
    <t>gi|55245934</t>
  </si>
  <si>
    <t>Adenosine deaminase-related growth factor A - adenosine deaminase activity - growth factor activity</t>
  </si>
  <si>
    <t>adenosine deaminase activity||hydrolase activity\, acting on carbon-nitrogen (but not peptide) bonds\, in cyclic amidines||hydrolase activity\, acting on carbon-nitrogen (but not peptide) bonds||hydrolase activity||catalytic activity</t>
  </si>
  <si>
    <t>GO:0004000</t>
  </si>
  <si>
    <t>ADGF 1e-073| A_deaminase 2e-033| ADA_AMPD 6e-028| ADA 2e-018| Add 1e-014| metallo-dependent_hydrolases 1e-006| AMPD 8e-004|</t>
  </si>
  <si>
    <t>gi|55233963</t>
  </si>
  <si>
    <t>CG2207-PA, isoform A - chromatin</t>
  </si>
  <si>
    <t>MDN1 0.001|</t>
  </si>
  <si>
    <t>apyrase</t>
  </si>
  <si>
    <t>gi|4582526</t>
  </si>
  <si>
    <t>5' nucleotidase, ecto - extracellular space - integral to membrane</t>
  </si>
  <si>
    <t>ferrous iron binding||iron ion binding||transition metal ion binding||metal ion binding||ion binding||binding</t>
  </si>
  <si>
    <t>GO:0008198</t>
  </si>
  <si>
    <t>5_nucleotid_C 9e-015| UshA |</t>
  </si>
  <si>
    <t>hyp6.2</t>
  </si>
  <si>
    <t>gi|62546223</t>
  </si>
  <si>
    <t>gSG7-2</t>
  </si>
  <si>
    <t>gi|55243649</t>
  </si>
  <si>
    <t>NADH dehydrogenase activity - respiratory chain complex I (sensu Eukaryota) - mitochondrial electron transport, NADH to ubiquinone - NADH dehydrogenase (ubiquinone) activity</t>
  </si>
  <si>
    <t>NADH dehydrogenase activity||electron transporter activity||transporter activity</t>
  </si>
  <si>
    <t>electron transporter activity</t>
  </si>
  <si>
    <t>GO:0003954</t>
  </si>
  <si>
    <t>NuoB 1e-072| COG3260 3e-035| Oxidored_q6 4e-035| FrhG 3e-005|</t>
  </si>
  <si>
    <t>gi|55236427</t>
  </si>
  <si>
    <t>Ribosomal protein L24 - structural constituent of ribosome - cytosolic large ribosomal subunit (sensu Eukaryota) - protein biosynthesis</t>
  </si>
  <si>
    <t>Ribosomal_L24e 1e-017| RPL24A 7e-014| TRASH 2e-004| COG3500 | COG4499 | Phage_GPD |</t>
  </si>
  <si>
    <t>gi|29501528</t>
  </si>
  <si>
    <t>FBPase_2 | PPAT_CoAS | RecN |</t>
  </si>
  <si>
    <t>gSG1b</t>
  </si>
  <si>
    <t>gi|56417524</t>
  </si>
  <si>
    <t>Aedes albopictus</t>
  </si>
  <si>
    <t>Chitin_synth_2 |</t>
  </si>
  <si>
    <t>gi|55244813</t>
  </si>
  <si>
    <t>60S ribosomal protein L11 - protein binding</t>
  </si>
  <si>
    <t>protein binding||binding</t>
  </si>
  <si>
    <t>GO:0005515</t>
  </si>
  <si>
    <t>RplE 2e-037| Ribosomal_L5_C 2e-036| Ribosomal_L5 2e-010| GRAS |</t>
  </si>
  <si>
    <t>gi|55236286</t>
  </si>
  <si>
    <t>structural constituent of ribosome - cytosolic large ribosomal subunit (sensu Eukaryota) - protein biosynthesis</t>
  </si>
  <si>
    <t>Ribosomal_L11 1e-034| RL11 3e-034| Ribosomal_L11_N 6e-014|</t>
  </si>
  <si>
    <t>mucin-like</t>
  </si>
  <si>
    <t>gi|27372923</t>
  </si>
  <si>
    <t>cellular_component unknown - molecular_function unknown - biological_process unknown</t>
  </si>
  <si>
    <t>COG3889 3e-004| Presenilin 0.063| CelA | Syndecan |</t>
  </si>
  <si>
    <t>gSG7</t>
  </si>
  <si>
    <t>gi|55237472</t>
  </si>
  <si>
    <t>locomotory behavior</t>
  </si>
  <si>
    <t>FcbT3 |</t>
  </si>
  <si>
    <t>sal-chymotrypsin_2</t>
  </si>
  <si>
    <t>gi|55240792</t>
  </si>
  <si>
    <t>Ribosomal protein L19 - structural constituent of ribosome - cytosolic large ribosomal subunit (sensu Eukaryota) - protein biosynthesis - ribosome</t>
  </si>
  <si>
    <t>Ribosomal_L19e_E 3e-050| Ribosomal_L19e 1e-039| Ribosomal_L19e 2e-039| Ribosomal_L19e_A 9e-021| TRAP-gamma |</t>
  </si>
  <si>
    <t>gi|27372909</t>
  </si>
  <si>
    <t>sg3</t>
  </si>
  <si>
    <t>gi|27372919</t>
  </si>
  <si>
    <t>biological_process unknown - molecular_function unknown - cellular_component unknown</t>
  </si>
  <si>
    <t>Cell wall/membrane/envelope biogenesis]</t>
  </si>
  <si>
    <t>COG3889 1e-004| Herpes_LMP2 | MSP1_C | RPN2 | SQCY |</t>
  </si>
  <si>
    <t>gi|55236219</t>
  </si>
  <si>
    <t>Ribosomal protein S11 - structural constituent of ribosome - cytosolic small ribosomal subunit (sensu Eukaryota) - protein biosynthesis</t>
  </si>
  <si>
    <t>Ribosomal_S17 8e-020| RpsQ 8e-017| PRF | Lon_C |</t>
  </si>
  <si>
    <t>gi|55239241</t>
  </si>
  <si>
    <t>cytochrome-c oxidase activity - respiratory chain complex IV (sensu Eukaryota)</t>
  </si>
  <si>
    <t>COX6B 3e-022|</t>
  </si>
  <si>
    <t>gi|55242098</t>
  </si>
  <si>
    <t>cytoplasm</t>
  </si>
  <si>
    <t>Cell cycle control, cell division, chromosome partitioning, Cytoskeleton]</t>
  </si>
  <si>
    <t>TCTP 1e-048|</t>
  </si>
  <si>
    <t>cE5</t>
  </si>
  <si>
    <t>gi|55235194</t>
  </si>
  <si>
    <t>actin binding</t>
  </si>
  <si>
    <t>P16-Arc 3e-045|</t>
  </si>
  <si>
    <t>Ag_epoxy_hydrolase</t>
  </si>
  <si>
    <t>gi|56417572</t>
  </si>
  <si>
    <t>Drosophila pseudoobscura</t>
  </si>
  <si>
    <t>ubiquitin B - nucleus - protein modification</t>
  </si>
  <si>
    <t>Ubiquitin 3e-037| ubiquitin 1e-024| UBQ 3e-023| Nedd8 9e-023| UBL 9e-020| Ribosomal_L40e 5e-019| AN1_N 1e-016| RAD23_N 5e-013| Fubi 5e-013| Scythe_N 6e-013| parkin_N 2e-012| UBQ 7e-011| GDX_N 2e-010| SF3a120_C 2e-009| NIRF_N 2e-009| ISG15_repeat2 2e-008| UBI4 4e-008| RPL40A 7e-008| DDI1_N 1e-006| BAG1_N 3e-006| hPLIC_N 5e-006| DC_UbP_C 7e-006| midnolin_N 2e-005| Hoil1_N 1e-004| ISG15_repeat1 1e-004|</t>
  </si>
  <si>
    <t>gSG1a</t>
  </si>
  <si>
    <t>gi|55242532</t>
  </si>
  <si>
    <t>zgc:86940 - molecular_function unknown - biological_process unknown</t>
  </si>
  <si>
    <t>TRAP-delta 5e-039| AmpS |</t>
  </si>
  <si>
    <t>gi|55240154</t>
  </si>
  <si>
    <t>40S ribosomal protein S20 - structural constituent of ribosome - protein biosynthesis - small ribosomal subunit</t>
  </si>
  <si>
    <t>Ribosomal_S10 4e-024| RpsJ 3e-021|</t>
  </si>
  <si>
    <t>gi|56417540</t>
  </si>
  <si>
    <t>Drosophila melanogaster</t>
  </si>
  <si>
    <t>ribosomal protein L41 - cellular_component unknown - molecular_function unknown - biological_process unknown</t>
  </si>
  <si>
    <t>gi|55237673</t>
  </si>
  <si>
    <t>Z-DNA binding protein 1 - cellular_component unknown - left-handed Z-DNA binding - biological_process unknown</t>
  </si>
  <si>
    <t>left-handed Z-DNA binding||DNA binding||nucleic acid binding||binding</t>
  </si>
  <si>
    <t>GO:0003692</t>
  </si>
  <si>
    <t>Posttranslational modification, protein turnover, chaperones]</t>
  </si>
  <si>
    <t>CART |</t>
  </si>
  <si>
    <t>hyp55.3</t>
  </si>
  <si>
    <t>gi|55242576</t>
  </si>
  <si>
    <t>Ribosomal protein S28b - structural constituent of ribosome - cytosolic small ribosomal subunit (sensu Eukaryota)</t>
  </si>
  <si>
    <t>Ribosomal_S28e 2e-017|</t>
  </si>
  <si>
    <t>peroxinectin</t>
  </si>
  <si>
    <t>gi|55243269</t>
  </si>
  <si>
    <t>proton-transporting ATP synthase complex, coupling factor F(o) (sensu Eukaryota) - hydrogen-exporting ATPase activity, phosphorylative mechanism - proton transport</t>
  </si>
  <si>
    <t>hydrogen-exporting ATPase activity\, phosphorylative mechanism||hydrogen ion transporter activity||monovalent inorganic cation transporter activity||cation transporter activity||ion transporter activity||transporter activity</t>
  </si>
  <si>
    <t>GO:0008553</t>
  </si>
  <si>
    <t>ATP-synt_C 4e-010| AtpE 3e-005|</t>
  </si>
  <si>
    <t>sal-ret</t>
  </si>
  <si>
    <t>gi|55238963</t>
  </si>
  <si>
    <t>structural constituent of larval cuticle (sensu Insecta)</t>
  </si>
  <si>
    <t>structural constituent of larval cuticle (sensu Insecta)||structural constituent of cuticle (sensu Insecta)||structural constituent of cuticle||structural molecule activity</t>
  </si>
  <si>
    <t>structural constituent of cuticle</t>
  </si>
  <si>
    <t>GO:0008010</t>
  </si>
  <si>
    <t>hyp4.2</t>
  </si>
  <si>
    <t>gi|55242637</t>
  </si>
  <si>
    <t>106 kDa O-GlcNAc transferase-interacting protein - protein binding - nucleus - regulation of transcription from RNA polymerase II promoter - O-linked glycosylation - protein targeting</t>
  </si>
  <si>
    <t>SEC21 |</t>
  </si>
  <si>
    <t>gSG10</t>
  </si>
  <si>
    <t>gi|30178168</t>
  </si>
  <si>
    <t>contains novel cysteine motif, integral membrane protein (putative), similar to SLG1 (WSC1), WSC2 and WSC4 - membrane fraction - transmembrane receptor activity - cell wall organization and biogenesis - Rho protein signal transduction - response to heat - actin cytoskeleton organization and biogenesis</t>
  </si>
  <si>
    <t>transmembrane receptor activity||receptor activity||signal transducer activity</t>
  </si>
  <si>
    <t>receptor activity</t>
  </si>
  <si>
    <t>GO:0004888</t>
  </si>
  <si>
    <t>hyp6.3</t>
  </si>
  <si>
    <t>gi|94469250</t>
  </si>
  <si>
    <t>Aedes aegypti</t>
  </si>
  <si>
    <t>positive regulation of growth rate - larval development (sensu Nematoda) - growth - physiological process - reproduction</t>
  </si>
  <si>
    <t>nucleic acid binding||binding</t>
  </si>
  <si>
    <t>GO:0003676</t>
  </si>
  <si>
    <t>RNA processing and modification]</t>
  </si>
  <si>
    <t>Hydrophobin | Ribosomal_60s |</t>
  </si>
  <si>
    <t>gi|27372941</t>
  </si>
  <si>
    <t>COG2138 0.029| BTAD |</t>
  </si>
  <si>
    <t>COG2138 0.023| COG2118 | BTAD |</t>
  </si>
  <si>
    <t>Chromosome and link to Ensembl</t>
  </si>
  <si>
    <t>Comments</t>
  </si>
  <si>
    <t>Class</t>
  </si>
  <si>
    <t>Link to Nucleotide</t>
  </si>
  <si>
    <t>s/ag5</t>
  </si>
  <si>
    <t>s/g1</t>
  </si>
  <si>
    <t>s/enz-maltase</t>
  </si>
  <si>
    <t>s/30</t>
  </si>
  <si>
    <t>s/d7s</t>
  </si>
  <si>
    <t>s/d7l</t>
  </si>
  <si>
    <t>s/muc</t>
  </si>
  <si>
    <t xml:space="preserve">long form D7 salivary protein  </t>
  </si>
  <si>
    <t>gvag protein precursor</t>
  </si>
  <si>
    <t>gSG1b salivary protein of the G1 family of anopheline protein</t>
  </si>
  <si>
    <t>gSG1b salivary protein of the G1 family of anopheline proteins</t>
  </si>
  <si>
    <t>trio salivary protein of the G1 family of anopheline proteins</t>
  </si>
  <si>
    <t>SG1-like-3_long Long form salivary protein of the G1 family</t>
  </si>
  <si>
    <t>30_kDa member of the 30 kDag salivary antigen family</t>
  </si>
  <si>
    <t>D7-related_2 protein Short form D7 salivary protein</t>
  </si>
  <si>
    <t>sg3 protein - salivary mucin</t>
  </si>
  <si>
    <t>gSG10 salivary mucin</t>
  </si>
  <si>
    <t>D7-related_1 Short form D7 salivary protein most similar to hamadarin</t>
  </si>
  <si>
    <t>putative secreted salivary protein similar to drosophila retinin domain</t>
  </si>
  <si>
    <t>s/ret</t>
  </si>
  <si>
    <t>D7r4 Short form D7 salivary protein</t>
  </si>
  <si>
    <t>truncated salivary apyrase</t>
  </si>
  <si>
    <t>s/enz-apy</t>
  </si>
  <si>
    <t>D7-related_3 Short form D7 salivary protein</t>
  </si>
  <si>
    <t>truncated 5p_nuc putative 5' nucleotidase</t>
  </si>
  <si>
    <t>s/enz-5'nuc</t>
  </si>
  <si>
    <t>gSG7-2 salivary protein</t>
  </si>
  <si>
    <t>gSG7 salivary protein</t>
  </si>
  <si>
    <t>s/g7</t>
  </si>
  <si>
    <t>gsg6 salivary peptide</t>
  </si>
  <si>
    <t>s/g6</t>
  </si>
  <si>
    <t>sg2a salivary protein</t>
  </si>
  <si>
    <t>s/g2</t>
  </si>
  <si>
    <t>mucin-like protein - 60 glycosylation sites</t>
  </si>
  <si>
    <t>sg2 salivary protein</t>
  </si>
  <si>
    <t>anophelin</t>
  </si>
  <si>
    <t>s/anop</t>
  </si>
  <si>
    <t>hyp6.2 putative secreted salivary basic peptide</t>
  </si>
  <si>
    <t>s/hyp6.2</t>
  </si>
  <si>
    <t>hyp15 hypothetical salivary protein 15</t>
  </si>
  <si>
    <t>s/hyp15</t>
  </si>
  <si>
    <t>hyp12 hypothetical salivary protein 12</t>
  </si>
  <si>
    <t>s/hyp12</t>
  </si>
  <si>
    <t xml:space="preserve">hyp8.2 hypothetical salivary protein 8.2 </t>
  </si>
  <si>
    <t>s/hyp8.2</t>
  </si>
  <si>
    <t>hyp4.2 hypothetical 4.2 kda secreted peptide</t>
  </si>
  <si>
    <t>s/hyp4.2</t>
  </si>
  <si>
    <t>member of the 30 kDag salivary antigen family</t>
  </si>
  <si>
    <t>Ribosomal protein L24</t>
  </si>
  <si>
    <t>h/ps-rp</t>
  </si>
  <si>
    <t>probable GGY family antimicrobial peptide</t>
  </si>
  <si>
    <t>h/imm-amp-gyy</t>
  </si>
  <si>
    <t>Uncharacterized conserved protein</t>
  </si>
  <si>
    <t>h/uc</t>
  </si>
  <si>
    <t>tumor protein D54-like</t>
  </si>
  <si>
    <t>Vacuolar sorting protein VPS24</t>
  </si>
  <si>
    <t>h/pe</t>
  </si>
  <si>
    <t>Translocon-associated complex TRAP, delta subunit</t>
  </si>
  <si>
    <t>Microtubule-binding protein</t>
  </si>
  <si>
    <t>h/cs</t>
  </si>
  <si>
    <t>Actin-related protein Arp2/3 complex, subunit ARPC5</t>
  </si>
  <si>
    <t>RIBOSOMAL PROTEIN L19</t>
  </si>
  <si>
    <t>ribosomal protein L12</t>
  </si>
  <si>
    <t xml:space="preserve">UBIQUITIN </t>
  </si>
  <si>
    <t>h/prot</t>
  </si>
  <si>
    <t>Mitochondrial F1F0-ATP synthase, subunit c/ATP9/proteolipid</t>
  </si>
  <si>
    <t>h/em</t>
  </si>
  <si>
    <t>60S ribosomal protein L11</t>
  </si>
  <si>
    <t>Signal peptidase I</t>
  </si>
  <si>
    <t>h/pm</t>
  </si>
  <si>
    <t xml:space="preserve"> 40S ribosomal protein S2</t>
  </si>
  <si>
    <t>uncharacterized conserved protein</t>
  </si>
  <si>
    <t>truncated  salivary adenosine deaminase</t>
  </si>
  <si>
    <t>s/enz-ada</t>
  </si>
  <si>
    <t>Cytochrome c oxidase, subunit VIb/COX12</t>
  </si>
  <si>
    <t>putative salivary secreted peptide</t>
  </si>
  <si>
    <t>s/hyphhl</t>
  </si>
  <si>
    <t xml:space="preserve">40S ribosomal protein S11 </t>
  </si>
  <si>
    <t>60s ribosomal protein L39</t>
  </si>
  <si>
    <t>NADH-ubiquinone oxidoreductase,  NUFS7/PSST/20 kDa subunit</t>
  </si>
  <si>
    <t>40S ribosomal protein S28</t>
  </si>
  <si>
    <t>Ribosomal protein L41</t>
  </si>
  <si>
    <t>Cytochrome c oxidase, subunit I</t>
  </si>
  <si>
    <t>truncated salivary maltase</t>
  </si>
  <si>
    <t>Secreted polypeptides</t>
  </si>
  <si>
    <t>SG1 family</t>
  </si>
  <si>
    <t>SG2 family</t>
  </si>
  <si>
    <t>SG6 family</t>
  </si>
  <si>
    <t>SG7 family</t>
  </si>
  <si>
    <t>30 kDa allergen</t>
  </si>
  <si>
    <t>Antigen 5 family</t>
  </si>
  <si>
    <t>D7 family</t>
  </si>
  <si>
    <t>Enzymes</t>
  </si>
  <si>
    <t>Mucins</t>
  </si>
  <si>
    <t>cE5/Anophelin</t>
  </si>
  <si>
    <t>Housekeeping polypeptides</t>
  </si>
  <si>
    <t xml:space="preserve"> 22-23</t>
  </si>
  <si>
    <t xml:space="preserve"> 21-22</t>
  </si>
  <si>
    <t xml:space="preserve"> 18-19</t>
  </si>
  <si>
    <t xml:space="preserve"> 20-21</t>
  </si>
  <si>
    <t xml:space="preserve"> 19-20</t>
  </si>
  <si>
    <t xml:space="preserve"> 25-26</t>
  </si>
  <si>
    <t xml:space="preserve"> 23-24</t>
  </si>
  <si>
    <t xml:space="preserve"> 30-31</t>
  </si>
  <si>
    <t xml:space="preserve"> 29-30</t>
  </si>
  <si>
    <t>SigP Result</t>
  </si>
  <si>
    <t>Cleavage Position</t>
  </si>
  <si>
    <t>MW</t>
  </si>
  <si>
    <t>pI</t>
  </si>
  <si>
    <t>Mature MW</t>
  </si>
  <si>
    <t>IND</t>
  </si>
  <si>
    <t xml:space="preserve"> 16-17</t>
  </si>
  <si>
    <t xml:space="preserve"> 17-18</t>
  </si>
  <si>
    <t>No. glyc sites</t>
  </si>
  <si>
    <t>Percent Ser+Thr</t>
  </si>
  <si>
    <t>Percent Gly</t>
  </si>
  <si>
    <t>Percent Pro</t>
  </si>
  <si>
    <t>Ubiquitous protein families</t>
  </si>
  <si>
    <t>Protein families found only in Diptera</t>
  </si>
  <si>
    <t>Protein families found only in Culicidae</t>
  </si>
  <si>
    <t>Other culicidae proteins</t>
  </si>
  <si>
    <t>Protein families found only in Anophelines</t>
  </si>
  <si>
    <t>Other Diptera proteins</t>
  </si>
  <si>
    <r>
      <t xml:space="preserve">Best match to </t>
    </r>
    <r>
      <rPr>
        <b/>
        <i/>
        <sz val="8"/>
        <color indexed="12"/>
        <rFont val="Arial"/>
        <family val="2"/>
      </rPr>
      <t>An. gambiae</t>
    </r>
    <r>
      <rPr>
        <b/>
        <sz val="8"/>
        <color indexed="12"/>
        <rFont val="Arial"/>
        <family val="2"/>
      </rPr>
      <t xml:space="preserve"> fragmentd genome database</t>
    </r>
  </si>
  <si>
    <r>
      <t xml:space="preserve">Best match to </t>
    </r>
    <r>
      <rPr>
        <b/>
        <i/>
        <sz val="8"/>
        <color indexed="12"/>
        <rFont val="Arial"/>
        <family val="2"/>
      </rPr>
      <t>Anopheles gambiae</t>
    </r>
    <r>
      <rPr>
        <b/>
        <sz val="8"/>
        <color indexed="12"/>
        <rFont val="Arial"/>
        <family val="2"/>
      </rPr>
      <t xml:space="preserve"> proteome</t>
    </r>
  </si>
  <si>
    <r>
      <t xml:space="preserve">Best match to </t>
    </r>
    <r>
      <rPr>
        <b/>
        <i/>
        <sz val="8"/>
        <color indexed="12"/>
        <rFont val="Arial"/>
        <family val="2"/>
      </rPr>
      <t xml:space="preserve">An. gambiae </t>
    </r>
    <r>
      <rPr>
        <b/>
        <sz val="8"/>
        <color indexed="12"/>
        <rFont val="Arial"/>
        <family val="2"/>
      </rPr>
      <t>salivary proteins</t>
    </r>
  </si>
  <si>
    <t>NADH dehydrogenase</t>
  </si>
  <si>
    <t>8.2 kDa family</t>
  </si>
  <si>
    <t>6.2 kDa family</t>
  </si>
  <si>
    <t>Ubiquitin</t>
  </si>
  <si>
    <t>Protein export machinery</t>
  </si>
  <si>
    <t>Protein modification</t>
  </si>
  <si>
    <t>Energy metabolism</t>
  </si>
  <si>
    <t>Cytoskeletal</t>
  </si>
  <si>
    <t>Ribosomal proteins</t>
  </si>
  <si>
    <t>Hypothetical conserved</t>
  </si>
  <si>
    <t>Hypothetical 15/17 family</t>
  </si>
  <si>
    <t>Hypothetical 13 family</t>
  </si>
  <si>
    <t>Hypothetical 10/12 family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</si>
</sst>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  <numFmt numFmtId="165" formatCode="0.0E+00"/>
    <numFmt numFmtId="166" formatCode="0.0"/>
  </numFmts>
  <fonts count="6">
    <font>
      <sz val="8"/>
      <name val="Arial"/>
      <family val="0"/>
    </font>
    <font>
      <b/>
      <sz val="8"/>
      <color indexed="12"/>
      <name val="Arial"/>
      <family val="2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u val="single"/>
      <sz val="8"/>
      <color indexed="12"/>
      <name val="Arial"/>
      <family val="2"/>
    </font>
    <font>
      <b/>
      <i/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1" xfId="0" applyFill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3" borderId="1" xfId="0" applyFill="1" applyBorder="1" applyAlignment="1">
      <alignment/>
    </xf>
    <xf numFmtId="164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1" fontId="0" fillId="0" borderId="1" xfId="0" applyNumberFormat="1" applyBorder="1" applyAlignment="1">
      <alignment/>
    </xf>
    <xf numFmtId="0" fontId="1" fillId="2" borderId="2" xfId="0" applyFont="1" applyFill="1" applyBorder="1" applyAlignment="1">
      <alignment horizontal="center" wrapText="1"/>
    </xf>
    <xf numFmtId="166" fontId="1" fillId="2" borderId="2" xfId="0" applyNumberFormat="1" applyFont="1" applyFill="1" applyBorder="1" applyAlignment="1">
      <alignment horizontal="center" wrapText="1"/>
    </xf>
    <xf numFmtId="11" fontId="1" fillId="2" borderId="2" xfId="0" applyNumberFormat="1" applyFont="1" applyFill="1" applyBorder="1" applyAlignment="1">
      <alignment horizontal="center" wrapText="1"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166" fontId="1" fillId="3" borderId="4" xfId="0" applyNumberFormat="1" applyFont="1" applyFill="1" applyBorder="1" applyAlignment="1">
      <alignment horizontal="center" wrapText="1"/>
    </xf>
    <xf numFmtId="164" fontId="1" fillId="3" borderId="4" xfId="0" applyNumberFormat="1" applyFont="1" applyFill="1" applyBorder="1" applyAlignment="1">
      <alignment wrapText="1"/>
    </xf>
    <xf numFmtId="11" fontId="1" fillId="3" borderId="4" xfId="0" applyNumberFormat="1" applyFont="1" applyFill="1" applyBorder="1" applyAlignment="1">
      <alignment wrapText="1"/>
    </xf>
    <xf numFmtId="164" fontId="1" fillId="3" borderId="4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4" fillId="2" borderId="2" xfId="20" applyFont="1" applyFill="1" applyBorder="1" applyAlignment="1">
      <alignment horizontal="center" wrapText="1"/>
    </xf>
    <xf numFmtId="166" fontId="1" fillId="2" borderId="6" xfId="0" applyNumberFormat="1" applyFont="1" applyFill="1" applyBorder="1" applyAlignment="1">
      <alignment horizontal="center" wrapText="1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166" fontId="1" fillId="2" borderId="9" xfId="0" applyNumberFormat="1" applyFont="1" applyFill="1" applyBorder="1" applyAlignment="1">
      <alignment horizontal="center" wrapText="1"/>
    </xf>
    <xf numFmtId="164" fontId="1" fillId="2" borderId="9" xfId="0" applyNumberFormat="1" applyFont="1" applyFill="1" applyBorder="1" applyAlignment="1">
      <alignment wrapText="1"/>
    </xf>
    <xf numFmtId="11" fontId="1" fillId="2" borderId="9" xfId="0" applyNumberFormat="1" applyFont="1" applyFill="1" applyBorder="1" applyAlignment="1">
      <alignment wrapText="1"/>
    </xf>
    <xf numFmtId="164" fontId="1" fillId="2" borderId="9" xfId="0" applyNumberFormat="1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right"/>
    </xf>
    <xf numFmtId="0" fontId="1" fillId="2" borderId="12" xfId="0" applyFont="1" applyFill="1" applyBorder="1" applyAlignment="1">
      <alignment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166" fontId="1" fillId="2" borderId="12" xfId="0" applyNumberFormat="1" applyFont="1" applyFill="1" applyBorder="1" applyAlignment="1">
      <alignment horizontal="center" wrapText="1"/>
    </xf>
    <xf numFmtId="0" fontId="1" fillId="2" borderId="13" xfId="0" applyFont="1" applyFill="1" applyBorder="1" applyAlignment="1">
      <alignment wrapText="1"/>
    </xf>
    <xf numFmtId="164" fontId="1" fillId="2" borderId="13" xfId="0" applyNumberFormat="1" applyFont="1" applyFill="1" applyBorder="1" applyAlignment="1">
      <alignment wrapText="1"/>
    </xf>
    <xf numFmtId="11" fontId="1" fillId="2" borderId="13" xfId="0" applyNumberFormat="1" applyFont="1" applyFill="1" applyBorder="1" applyAlignment="1">
      <alignment wrapText="1"/>
    </xf>
    <xf numFmtId="164" fontId="1" fillId="2" borderId="13" xfId="0" applyNumberFormat="1" applyFont="1" applyFill="1" applyBorder="1" applyAlignment="1">
      <alignment horizontal="center" wrapText="1"/>
    </xf>
    <xf numFmtId="11" fontId="1" fillId="2" borderId="12" xfId="0" applyNumberFormat="1" applyFont="1" applyFill="1" applyBorder="1" applyAlignment="1">
      <alignment wrapText="1"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 wrapText="1"/>
    </xf>
    <xf numFmtId="0" fontId="1" fillId="3" borderId="9" xfId="0" applyFont="1" applyFill="1" applyBorder="1" applyAlignment="1">
      <alignment horizontal="center" wrapText="1"/>
    </xf>
    <xf numFmtId="166" fontId="1" fillId="3" borderId="9" xfId="0" applyNumberFormat="1" applyFont="1" applyFill="1" applyBorder="1" applyAlignment="1">
      <alignment horizontal="center" wrapText="1"/>
    </xf>
    <xf numFmtId="0" fontId="1" fillId="3" borderId="10" xfId="0" applyFont="1" applyFill="1" applyBorder="1" applyAlignment="1">
      <alignment wrapText="1"/>
    </xf>
    <xf numFmtId="164" fontId="1" fillId="3" borderId="10" xfId="0" applyNumberFormat="1" applyFont="1" applyFill="1" applyBorder="1" applyAlignment="1">
      <alignment wrapText="1"/>
    </xf>
    <xf numFmtId="11" fontId="1" fillId="3" borderId="10" xfId="0" applyNumberFormat="1" applyFont="1" applyFill="1" applyBorder="1" applyAlignment="1">
      <alignment wrapText="1"/>
    </xf>
    <xf numFmtId="164" fontId="1" fillId="3" borderId="10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s.dtu.dk/services/SignalP/" TargetMode="External" /><Relationship Id="rId2" Type="http://schemas.openxmlformats.org/officeDocument/2006/relationships/hyperlink" Target="http://www.cbs.dtu.dk/services/NetOGlyc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44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33203125" defaultRowHeight="11.25"/>
  <cols>
    <col min="1" max="1" width="25.66015625" style="0" customWidth="1"/>
    <col min="2" max="2" width="8.5" style="4" customWidth="1"/>
    <col min="3" max="3" width="7.5" style="4" customWidth="1"/>
    <col min="4" max="4" width="10.16015625" style="0" customWidth="1"/>
    <col min="5" max="5" width="9.33203125" style="22" customWidth="1"/>
    <col min="11" max="11" width="9.33203125" style="22" customWidth="1"/>
    <col min="12" max="14" width="9.33203125" style="7" customWidth="1"/>
    <col min="15" max="15" width="15.33203125" style="2" customWidth="1"/>
    <col min="16" max="16" width="9.33203125" style="3" customWidth="1"/>
    <col min="20" max="20" width="9.33203125" style="4" customWidth="1"/>
    <col min="23" max="23" width="15.33203125" style="2" customWidth="1"/>
    <col min="24" max="24" width="9.33203125" style="3" customWidth="1"/>
    <col min="27" max="27" width="28.33203125" style="2" customWidth="1"/>
    <col min="28" max="28" width="9.33203125" style="8" customWidth="1"/>
    <col min="32" max="32" width="13.83203125" style="5" customWidth="1"/>
    <col min="33" max="33" width="13.83203125" style="0" customWidth="1"/>
    <col min="34" max="34" width="13.83203125" style="2" customWidth="1"/>
    <col min="35" max="35" width="13.83203125" style="6" customWidth="1"/>
    <col min="36" max="36" width="13.83203125" style="0" customWidth="1"/>
    <col min="39" max="39" width="8.33203125" style="0" customWidth="1"/>
    <col min="40" max="40" width="15.33203125" style="2" customWidth="1"/>
    <col min="41" max="41" width="9.33203125" style="3" customWidth="1"/>
    <col min="47" max="47" width="15.33203125" style="2" customWidth="1"/>
    <col min="48" max="48" width="9.33203125" style="3" customWidth="1"/>
    <col min="50" max="50" width="15.33203125" style="2" customWidth="1"/>
    <col min="51" max="51" width="9.33203125" style="3" customWidth="1"/>
    <col min="53" max="53" width="15.33203125" style="2" customWidth="1"/>
    <col min="54" max="54" width="9.33203125" style="3" customWidth="1"/>
    <col min="55" max="55" width="15.33203125" style="2" customWidth="1"/>
    <col min="56" max="56" width="9.33203125" style="3" customWidth="1"/>
  </cols>
  <sheetData>
    <row r="1" spans="1:56" s="9" customFormat="1" ht="57" thickBot="1">
      <c r="A1" s="9" t="s">
        <v>0</v>
      </c>
      <c r="B1" s="9" t="s">
        <v>1</v>
      </c>
      <c r="C1" s="9" t="s">
        <v>2</v>
      </c>
      <c r="D1" s="19" t="s">
        <v>320</v>
      </c>
      <c r="E1" s="23" t="s">
        <v>426</v>
      </c>
      <c r="F1" s="20" t="s">
        <v>427</v>
      </c>
      <c r="G1" s="9" t="s">
        <v>428</v>
      </c>
      <c r="H1" s="9" t="s">
        <v>429</v>
      </c>
      <c r="I1" s="9" t="s">
        <v>430</v>
      </c>
      <c r="J1" s="19" t="s">
        <v>429</v>
      </c>
      <c r="K1" s="23" t="s">
        <v>434</v>
      </c>
      <c r="L1" s="24" t="s">
        <v>435</v>
      </c>
      <c r="M1" s="10" t="s">
        <v>436</v>
      </c>
      <c r="N1" s="10" t="s">
        <v>437</v>
      </c>
      <c r="O1" s="9" t="s">
        <v>444</v>
      </c>
      <c r="P1" s="9" t="s">
        <v>10</v>
      </c>
      <c r="Q1" s="9" t="s">
        <v>12</v>
      </c>
      <c r="R1" s="9" t="s">
        <v>13</v>
      </c>
      <c r="S1" s="9" t="s">
        <v>15</v>
      </c>
      <c r="T1" s="9" t="s">
        <v>317</v>
      </c>
      <c r="U1" s="9" t="s">
        <v>16</v>
      </c>
      <c r="V1" s="9" t="s">
        <v>17</v>
      </c>
      <c r="W1" s="9" t="s">
        <v>445</v>
      </c>
      <c r="X1" s="9" t="s">
        <v>10</v>
      </c>
      <c r="Y1" s="9" t="s">
        <v>13</v>
      </c>
      <c r="Z1" s="9" t="s">
        <v>14</v>
      </c>
      <c r="AA1" s="9" t="s">
        <v>446</v>
      </c>
      <c r="AB1" s="11" t="s">
        <v>10</v>
      </c>
      <c r="AC1" s="9" t="s">
        <v>11</v>
      </c>
      <c r="AD1" s="9" t="s">
        <v>13</v>
      </c>
      <c r="AE1" s="9" t="s">
        <v>14</v>
      </c>
      <c r="AF1" s="9" t="s">
        <v>318</v>
      </c>
      <c r="AG1" s="9" t="s">
        <v>319</v>
      </c>
      <c r="AH1" s="9" t="s">
        <v>18</v>
      </c>
      <c r="AI1" s="9" t="s">
        <v>10</v>
      </c>
      <c r="AJ1" s="9" t="s">
        <v>11</v>
      </c>
      <c r="AK1" s="9" t="s">
        <v>13</v>
      </c>
      <c r="AL1" s="9" t="s">
        <v>14</v>
      </c>
      <c r="AM1" s="9" t="s">
        <v>19</v>
      </c>
      <c r="AN1" s="9" t="s">
        <v>20</v>
      </c>
      <c r="AO1" s="9" t="s">
        <v>10</v>
      </c>
      <c r="AP1" s="9" t="s">
        <v>21</v>
      </c>
      <c r="AQ1" s="9" t="s">
        <v>22</v>
      </c>
      <c r="AR1" s="9" t="s">
        <v>23</v>
      </c>
      <c r="AS1" s="9" t="s">
        <v>24</v>
      </c>
      <c r="AT1" s="9" t="s">
        <v>25</v>
      </c>
      <c r="AU1" s="9" t="s">
        <v>26</v>
      </c>
      <c r="AV1" s="9" t="s">
        <v>10</v>
      </c>
      <c r="AW1" s="9" t="s">
        <v>27</v>
      </c>
      <c r="AX1" s="9" t="s">
        <v>28</v>
      </c>
      <c r="AY1" s="9" t="s">
        <v>10</v>
      </c>
      <c r="AZ1" s="9" t="s">
        <v>29</v>
      </c>
      <c r="BA1" s="9" t="s">
        <v>30</v>
      </c>
      <c r="BB1" s="9" t="s">
        <v>10</v>
      </c>
      <c r="BC1" s="9" t="s">
        <v>31</v>
      </c>
      <c r="BD1" s="9" t="s">
        <v>10</v>
      </c>
    </row>
    <row r="2" spans="1:56" s="13" customFormat="1" ht="11.25" customHeight="1" thickBot="1">
      <c r="A2" s="12" t="s">
        <v>405</v>
      </c>
      <c r="C2" s="14"/>
      <c r="E2" s="21"/>
      <c r="K2" s="21"/>
      <c r="L2" s="15"/>
      <c r="M2" s="15"/>
      <c r="N2" s="15"/>
      <c r="P2" s="16"/>
      <c r="X2" s="16"/>
      <c r="AB2" s="17"/>
      <c r="AI2" s="18"/>
      <c r="AO2" s="16"/>
      <c r="AV2" s="16"/>
      <c r="AY2" s="16"/>
      <c r="BB2" s="16"/>
      <c r="BD2" s="16"/>
    </row>
    <row r="3" spans="1:56" s="26" customFormat="1" ht="11.25" customHeight="1">
      <c r="A3" s="25" t="s">
        <v>438</v>
      </c>
      <c r="C3" s="27"/>
      <c r="E3" s="28"/>
      <c r="K3" s="28"/>
      <c r="L3" s="29"/>
      <c r="M3" s="29"/>
      <c r="N3" s="29"/>
      <c r="P3" s="30"/>
      <c r="X3" s="30"/>
      <c r="AB3" s="31"/>
      <c r="AI3" s="32"/>
      <c r="AO3" s="30"/>
      <c r="AV3" s="30"/>
      <c r="AY3" s="30"/>
      <c r="BB3" s="30"/>
      <c r="BD3" s="30"/>
    </row>
    <row r="4" spans="1:56" s="34" customFormat="1" ht="11.25">
      <c r="A4" s="33" t="s">
        <v>411</v>
      </c>
      <c r="C4" s="35"/>
      <c r="E4" s="36"/>
      <c r="K4" s="36"/>
      <c r="L4" s="37"/>
      <c r="M4" s="37"/>
      <c r="N4" s="37"/>
      <c r="O4" s="38"/>
      <c r="P4" s="39"/>
      <c r="W4" s="38"/>
      <c r="X4" s="39"/>
      <c r="AA4" s="38"/>
      <c r="AB4" s="40"/>
      <c r="AF4" s="38"/>
      <c r="AH4" s="38"/>
      <c r="AI4" s="41"/>
      <c r="AN4" s="38"/>
      <c r="AO4" s="39"/>
      <c r="AU4" s="38"/>
      <c r="AV4" s="39"/>
      <c r="AX4" s="38"/>
      <c r="AY4" s="39"/>
      <c r="BA4" s="38"/>
      <c r="BB4" s="39"/>
      <c r="BC4" s="38"/>
      <c r="BD4" s="39"/>
    </row>
    <row r="5" spans="1:56" ht="11.25">
      <c r="A5" t="str">
        <f>HYPERLINK("http://exon.niaid.nih.gov/transcriptome/An_funestus_sialome/Sup_tab2/links/AF-11-pep.txt","AF-11")</f>
        <v>AF-11</v>
      </c>
      <c r="B5" s="4" t="s">
        <v>3</v>
      </c>
      <c r="C5" s="4">
        <v>260</v>
      </c>
      <c r="D5" t="str">
        <f>HYPERLINK("http://exon.niaid.nih.gov/transcriptome/An_funestus_sialome/Sup_tab2/links/AF-11-cds.txt","AF-11")</f>
        <v>AF-11</v>
      </c>
      <c r="E5" s="22" t="str">
        <f>HYPERLINK("http://exon.niaid.nih.gov/transcriptome/An_funestus_sialome/Sup_tab2/links/AF-11-SigP.txt","SIG")</f>
        <v>SIG</v>
      </c>
      <c r="F5" t="s">
        <v>420</v>
      </c>
      <c r="G5">
        <v>29.373</v>
      </c>
      <c r="H5">
        <v>9.06</v>
      </c>
      <c r="I5">
        <v>27.247</v>
      </c>
      <c r="J5">
        <v>9.18</v>
      </c>
      <c r="K5" s="22" t="str">
        <f>HYPERLINK("http://exon.niaid.nih.gov/transcriptome/An_funestus_sialome/Sup_tab2/links/AF-11-netoglyc.txt","1")</f>
        <v>1</v>
      </c>
      <c r="L5" s="7">
        <v>0.3846154</v>
      </c>
      <c r="M5" s="7">
        <v>8.076923</v>
      </c>
      <c r="N5" s="7">
        <v>7.307693</v>
      </c>
      <c r="O5" s="2" t="str">
        <f>HYPERLINK("http://exon.niaid.nih.gov/transcriptome/An_funestus_sialome/Sup_tab2/links/AGFRAG\AF-11-AGFRAG.txt","2L_Piece#1245")</f>
        <v>2L_Piece#1245</v>
      </c>
      <c r="P5" s="3">
        <v>1E-126</v>
      </c>
      <c r="Q5">
        <v>278</v>
      </c>
      <c r="R5">
        <v>76</v>
      </c>
      <c r="S5">
        <v>24630</v>
      </c>
      <c r="T5" s="4" t="str">
        <f>HYPERLINK("http://www.ensembl.org/Anopheles_gambiae/contigview?chr=2L&amp;region=&amp;start=31119630&amp;end=31130463","2L")</f>
        <v>2L</v>
      </c>
      <c r="U5">
        <v>31124630</v>
      </c>
      <c r="V5">
        <v>31125463</v>
      </c>
      <c r="W5" s="2" t="str">
        <f>HYPERLINK("http://exon.niaid.nih.gov/transcriptome/An_funestus_sialome/Sup_tab2/links/AGPROT\AF-11-AGPROT.txt","ENSANGP00000021028")</f>
        <v>ENSANGP00000021028</v>
      </c>
      <c r="X5" s="3" t="str">
        <f>HYPERLINK("http://www.ensembl.org/Anopheles_gambiae/protview?peptide=ENSANGP00000021028","1E-122")</f>
        <v>1E-122</v>
      </c>
      <c r="Y5">
        <v>84</v>
      </c>
      <c r="Z5">
        <v>100</v>
      </c>
      <c r="AA5" s="2" t="str">
        <f>HYPERLINK("http://exon.niaid.nih.gov/transcriptome/An_funestus_sialome/Sup_tab2/links/AGTB2\AF-11-AGTB2.txt","protein precursor                                                478   e-138")</f>
        <v>protein precursor                                                478   e-138</v>
      </c>
      <c r="AB5" s="8">
        <v>1E-138</v>
      </c>
      <c r="AC5" t="s">
        <v>50</v>
      </c>
      <c r="AD5">
        <v>83</v>
      </c>
      <c r="AE5">
        <v>100</v>
      </c>
      <c r="AF5" s="5" t="s">
        <v>329</v>
      </c>
      <c r="AG5" t="s">
        <v>321</v>
      </c>
      <c r="AH5" s="2" t="str">
        <f>HYPERLINK("http://exon.niaid.nih.gov/transcriptome/An_funestus_sialome/Sup_tab2/links/NR\AF-11-NR.txt","salivary antigen-5 related protein [A")</f>
        <v>salivary antigen-5 related protein [A</v>
      </c>
      <c r="AI5" s="6" t="str">
        <f>HYPERLINK("http://www.ncbi.nlm.nih.gov/sutils/blink.cgi?pid=27372895","1E-136")</f>
        <v>1E-136</v>
      </c>
      <c r="AJ5" t="s">
        <v>51</v>
      </c>
      <c r="AK5">
        <v>85</v>
      </c>
      <c r="AL5">
        <v>100</v>
      </c>
      <c r="AM5" t="s">
        <v>34</v>
      </c>
      <c r="AN5" s="2" t="s">
        <v>52</v>
      </c>
      <c r="AO5" s="3">
        <f>HYPERLINK("http://exon.niaid.nih.gov/transcriptome/An_funestus_sialome/Sup_tab2/links/GO\AF-11-GO.txt",1E-36)</f>
        <v>0</v>
      </c>
      <c r="AP5" t="s">
        <v>53</v>
      </c>
      <c r="AQ5" t="s">
        <v>53</v>
      </c>
      <c r="AS5" t="s">
        <v>54</v>
      </c>
      <c r="AT5">
        <v>2E-09</v>
      </c>
      <c r="AU5" s="2" t="str">
        <f>HYPERLINK("http://exon.niaid.nih.gov/transcriptome/An_funestus_sialome/Sup_tab2/links/KOG\AF-11-KOG.txt","Defense-related protein containing SCP domain")</f>
        <v>Defense-related protein containing SCP domain</v>
      </c>
      <c r="AV5" s="3" t="str">
        <f>HYPERLINK("http://www.ncbi.nlm.nih.gov/COG/new/shokog.cgi?KOG3017","2E-024")</f>
        <v>2E-024</v>
      </c>
      <c r="AW5" t="s">
        <v>55</v>
      </c>
      <c r="AX5" s="2" t="str">
        <f>HYPERLINK("http://exon.niaid.nih.gov/transcriptome/An_funestus_sialome/Sup_tab2/links/CDD\AF-11-CDD.txt","SCP")</f>
        <v>SCP</v>
      </c>
      <c r="AY5" s="3" t="str">
        <f>HYPERLINK("http://www.ncbi.nlm.nih.gov/Structure/cdd/cddsrv.cgi?uid=cd00168&amp;version=v4.0","4E-023")</f>
        <v>4E-023</v>
      </c>
      <c r="AZ5" t="s">
        <v>56</v>
      </c>
      <c r="BA5" s="2" t="str">
        <f>HYPERLINK("http://exon.niaid.nih.gov/transcriptome/An_funestus_sialome/Sup_tab2/links/PFAM\AF-11-PFAM.txt","SCP")</f>
        <v>SCP</v>
      </c>
      <c r="BB5" s="3" t="str">
        <f>HYPERLINK("http://pfam.wustl.edu/cgi-bin/getdesc?acc=PF00188","3E-022")</f>
        <v>3E-022</v>
      </c>
      <c r="BC5" s="2" t="str">
        <f>HYPERLINK("http://exon.niaid.nih.gov/transcriptome/An_funestus_sialome/Sup_tab2/links/SMART\AF-11-SMART.txt","SCP")</f>
        <v>SCP</v>
      </c>
      <c r="BD5" s="3" t="str">
        <f>HYPERLINK("http://smart.embl-heidelberg.de/smart/do_annotation.pl?DOMAIN=SCP&amp;BLAST=DUMMY","3E-024")</f>
        <v>3E-024</v>
      </c>
    </row>
    <row r="6" spans="1:56" s="34" customFormat="1" ht="11.25">
      <c r="A6" s="33" t="s">
        <v>413</v>
      </c>
      <c r="C6" s="35"/>
      <c r="E6" s="36"/>
      <c r="K6" s="36"/>
      <c r="L6" s="37"/>
      <c r="M6" s="37"/>
      <c r="N6" s="37"/>
      <c r="O6" s="38"/>
      <c r="P6" s="39"/>
      <c r="W6" s="38"/>
      <c r="X6" s="39"/>
      <c r="AA6" s="38"/>
      <c r="AB6" s="40"/>
      <c r="AF6" s="38"/>
      <c r="AH6" s="38"/>
      <c r="AI6" s="41"/>
      <c r="AN6" s="38"/>
      <c r="AO6" s="39"/>
      <c r="AU6" s="38"/>
      <c r="AV6" s="39"/>
      <c r="AX6" s="38"/>
      <c r="AY6" s="39"/>
      <c r="BA6" s="38"/>
      <c r="BB6" s="39"/>
      <c r="BC6" s="38"/>
      <c r="BD6" s="39"/>
    </row>
    <row r="7" spans="1:56" ht="11.25">
      <c r="A7" t="str">
        <f>HYPERLINK("http://exon.niaid.nih.gov/transcriptome/An_funestus_sialome/Sup_tab2/links/AF-22-pep.txt","AF-22")</f>
        <v>AF-22</v>
      </c>
      <c r="B7" s="4" t="s">
        <v>5</v>
      </c>
      <c r="C7" s="4">
        <v>201</v>
      </c>
      <c r="D7" t="str">
        <f>HYPERLINK("http://exon.niaid.nih.gov/transcriptome/An_funestus_sialome/Sup_tab2/links/AF-22-cds.txt","AF-22")</f>
        <v>AF-22</v>
      </c>
      <c r="G7">
        <v>22.098</v>
      </c>
      <c r="H7">
        <v>9.1</v>
      </c>
      <c r="L7" s="7">
        <v>0</v>
      </c>
      <c r="M7" s="7">
        <v>7.960199</v>
      </c>
      <c r="N7" s="7">
        <v>5.472637</v>
      </c>
      <c r="O7" s="2" t="str">
        <f>HYPERLINK("http://exon.niaid.nih.gov/transcriptome/An_funestus_sialome/Sup_tab2/links/AGFRAG\AF-22-AGFRAG.txt","2R_Piece#618")</f>
        <v>2R_Piece#618</v>
      </c>
      <c r="P7" s="3">
        <v>1E-86</v>
      </c>
      <c r="Q7">
        <v>200</v>
      </c>
      <c r="R7">
        <v>79</v>
      </c>
      <c r="S7">
        <v>11838</v>
      </c>
      <c r="T7" s="4" t="str">
        <f>HYPERLINK("http://www.ensembl.org/Anopheles_gambiae/contigview?chr=2R&amp;region=&amp;start=15431838&amp;end=15442434","2R")</f>
        <v>2R</v>
      </c>
      <c r="U7">
        <v>15436838</v>
      </c>
      <c r="V7">
        <v>15437434</v>
      </c>
      <c r="W7" s="2" t="str">
        <f>HYPERLINK("http://exon.niaid.nih.gov/transcriptome/An_funestus_sialome/Sup_tab2/links/AGPROT\AF-22-AGPROT.txt","ENSANGP00000017682")</f>
        <v>ENSANGP00000017682</v>
      </c>
      <c r="X7" s="3" t="str">
        <f>HYPERLINK("http://www.ensembl.org/Anopheles_gambiae/protview?peptide=ENSANGP00000017682","1E-087")</f>
        <v>1E-087</v>
      </c>
      <c r="Y7">
        <v>80</v>
      </c>
      <c r="Z7">
        <v>35</v>
      </c>
      <c r="AA7" s="2" t="str">
        <f>HYPERLINK("http://exon.niaid.nih.gov/transcriptome/An_funestus_sialome/Sup_tab2/links/AGTB2\AF-22-AGTB2.txt","salivary maltase                                       318   3e-090")</f>
        <v>salivary maltase                                       318   3e-090</v>
      </c>
      <c r="AB7" s="8">
        <v>3E-90</v>
      </c>
      <c r="AC7" t="s">
        <v>77</v>
      </c>
      <c r="AD7">
        <v>79</v>
      </c>
      <c r="AE7">
        <v>34</v>
      </c>
      <c r="AF7" s="5" t="s">
        <v>404</v>
      </c>
      <c r="AG7" t="s">
        <v>323</v>
      </c>
      <c r="AH7" s="2" t="str">
        <f>HYPERLINK("http://exon.niaid.nih.gov/transcriptome/An_funestus_sialome/Sup_tab2/links/NR\AF-22-NR.txt","ENSANGP00000017682 [Anopheles gambiae")</f>
        <v>ENSANGP00000017682 [Anopheles gambiae</v>
      </c>
      <c r="AI7" s="6" t="str">
        <f>HYPERLINK("http://www.ncbi.nlm.nih.gov/sutils/blink.cgi?pid=55233274","1E-085")</f>
        <v>1E-085</v>
      </c>
      <c r="AJ7" t="s">
        <v>127</v>
      </c>
      <c r="AK7">
        <v>80</v>
      </c>
      <c r="AL7">
        <v>35</v>
      </c>
      <c r="AM7" t="s">
        <v>59</v>
      </c>
      <c r="AN7" s="2" t="s">
        <v>128</v>
      </c>
      <c r="AO7" s="3">
        <f>HYPERLINK("http://exon.niaid.nih.gov/transcriptome/An_funestus_sialome/Sup_tab2/links/GO\AF-22-GO.txt",3E-34)</f>
        <v>0</v>
      </c>
      <c r="AP7" t="s">
        <v>129</v>
      </c>
      <c r="AQ7" t="s">
        <v>65</v>
      </c>
      <c r="AR7" t="s">
        <v>66</v>
      </c>
      <c r="AS7" t="s">
        <v>130</v>
      </c>
      <c r="AT7" s="1">
        <v>3E-34</v>
      </c>
      <c r="AU7" s="2" t="str">
        <f>HYPERLINK("http://exon.niaid.nih.gov/transcriptome/An_funestus_sialome/Sup_tab2/links/KOG\AF-22-KOG.txt","Alpha-amylase")</f>
        <v>Alpha-amylase</v>
      </c>
      <c r="AV7" s="3" t="str">
        <f>HYPERLINK("http://www.ncbi.nlm.nih.gov/COG/new/shokog.cgi?KOG0471","4E-023")</f>
        <v>4E-023</v>
      </c>
      <c r="AW7" t="s">
        <v>40</v>
      </c>
      <c r="AX7" s="2" t="s">
        <v>4</v>
      </c>
      <c r="AY7" s="3" t="s">
        <v>4</v>
      </c>
      <c r="AZ7" t="s">
        <v>4</v>
      </c>
      <c r="BA7" s="2" t="s">
        <v>4</v>
      </c>
      <c r="BB7" s="3" t="s">
        <v>4</v>
      </c>
      <c r="BC7" s="2" t="str">
        <f>HYPERLINK("http://exon.niaid.nih.gov/transcriptome/An_funestus_sialome/Sup_tab2/links/SMART\AF-22-SMART.txt","Aamy")</f>
        <v>Aamy</v>
      </c>
      <c r="BD7" s="3" t="str">
        <f>HYPERLINK("http://smart.embl-heidelberg.de/smart/do_annotation.pl?DOMAIN=Aamy&amp;BLAST=DUMMY","0.30")</f>
        <v>0.30</v>
      </c>
    </row>
    <row r="8" spans="1:56" ht="11.25">
      <c r="A8" t="str">
        <f>HYPERLINK("http://exon.niaid.nih.gov/transcriptome/An_funestus_sialome/Sup_tab2/links/AF-36-pep.txt","AF-36")</f>
        <v>AF-36</v>
      </c>
      <c r="B8" s="4" t="s">
        <v>8</v>
      </c>
      <c r="C8" s="4">
        <v>141</v>
      </c>
      <c r="D8" t="str">
        <f>HYPERLINK("http://exon.niaid.nih.gov/transcriptome/An_funestus_sialome/Sup_tab2/links/AF-36-cds.txt","AF-36")</f>
        <v>AF-36</v>
      </c>
      <c r="G8">
        <v>16.018</v>
      </c>
      <c r="H8">
        <v>8.65</v>
      </c>
      <c r="L8" s="7">
        <v>0</v>
      </c>
      <c r="M8" s="7">
        <v>5.673759</v>
      </c>
      <c r="N8" s="7">
        <v>2.836879</v>
      </c>
      <c r="O8" s="2" t="str">
        <f>HYPERLINK("http://exon.niaid.nih.gov/transcriptome/An_funestus_sialome/Sup_tab2/links/AGFRAG\AF-36-AGFRAG.txt","3L_Piece#1401")</f>
        <v>3L_Piece#1401</v>
      </c>
      <c r="P8" s="3">
        <v>2E-63</v>
      </c>
      <c r="Q8">
        <v>141</v>
      </c>
      <c r="R8">
        <v>80</v>
      </c>
      <c r="S8">
        <v>20608</v>
      </c>
      <c r="T8" s="4" t="str">
        <f>HYPERLINK("http://www.ensembl.org/Anopheles_gambiae/contigview?chr=3L&amp;region=&amp;start=35015608&amp;end=35026030","3L")</f>
        <v>3L</v>
      </c>
      <c r="U8">
        <v>35020608</v>
      </c>
      <c r="V8">
        <v>35021030</v>
      </c>
      <c r="W8" s="2" t="str">
        <f>HYPERLINK("http://exon.niaid.nih.gov/transcriptome/An_funestus_sialome/Sup_tab2/links/AGPROT\AF-36-AGPROT.txt","ENSANGP00000015382")</f>
        <v>ENSANGP00000015382</v>
      </c>
      <c r="X8" s="3" t="str">
        <f>HYPERLINK("http://www.ensembl.org/Anopheles_gambiae/protview?peptide=ENSANGP00000015382","9E-065")</f>
        <v>9E-065</v>
      </c>
      <c r="Y8">
        <v>80</v>
      </c>
      <c r="Z8">
        <v>25</v>
      </c>
      <c r="AA8" s="2" t="str">
        <f>HYPERLINK("http://exon.niaid.nih.gov/transcriptome/An_funestus_sialome/Sup_tab2/links/AGTB2\AF-36-AGTB2.txt","salivary apyrase                                              240   5e-067")</f>
        <v>salivary apyrase                                              240   5e-067</v>
      </c>
      <c r="AB8" s="8">
        <v>5E-67</v>
      </c>
      <c r="AC8" t="s">
        <v>195</v>
      </c>
      <c r="AD8">
        <v>80</v>
      </c>
      <c r="AE8">
        <v>25</v>
      </c>
      <c r="AF8" s="5" t="s">
        <v>342</v>
      </c>
      <c r="AG8" t="s">
        <v>343</v>
      </c>
      <c r="AH8" s="2" t="str">
        <f>HYPERLINK("http://exon.niaid.nih.gov/transcriptome/An_funestus_sialome/Sup_tab2/links/NR\AF-36-NR.txt","putative apyrase [Anopheles gambiae] ")</f>
        <v>putative apyrase [Anopheles gambiae] </v>
      </c>
      <c r="AI8" s="6" t="str">
        <f>HYPERLINK("http://www.ncbi.nlm.nih.gov/sutils/blink.cgi?pid=4582526","1E-062")</f>
        <v>1E-062</v>
      </c>
      <c r="AJ8" t="s">
        <v>196</v>
      </c>
      <c r="AK8">
        <v>80</v>
      </c>
      <c r="AL8">
        <v>25</v>
      </c>
      <c r="AM8" t="s">
        <v>120</v>
      </c>
      <c r="AN8" s="2" t="s">
        <v>197</v>
      </c>
      <c r="AO8" s="3">
        <f>HYPERLINK("http://exon.niaid.nih.gov/transcriptome/An_funestus_sialome/Sup_tab2/links/GO\AF-36-GO.txt",0.0000000000001)</f>
        <v>0</v>
      </c>
      <c r="AP8" t="s">
        <v>198</v>
      </c>
      <c r="AQ8" t="s">
        <v>45</v>
      </c>
      <c r="AR8" t="s">
        <v>96</v>
      </c>
      <c r="AS8" t="s">
        <v>199</v>
      </c>
      <c r="AT8">
        <v>1E-12</v>
      </c>
      <c r="AU8" s="2" t="str">
        <f>HYPERLINK("http://exon.niaid.nih.gov/transcriptome/An_funestus_sialome/Sup_tab2/links/KOG\AF-36-KOG.txt","5' nucleotidase")</f>
        <v>5' nucleotidase</v>
      </c>
      <c r="AV8" s="3" t="str">
        <f>HYPERLINK("http://www.ncbi.nlm.nih.gov/COG/new/shokog.cgi?KOG4419","2E-006")</f>
        <v>2E-006</v>
      </c>
      <c r="AW8" t="s">
        <v>173</v>
      </c>
      <c r="AX8" s="2" t="str">
        <f>HYPERLINK("http://exon.niaid.nih.gov/transcriptome/An_funestus_sialome/Sup_tab2/links/CDD\AF-36-CDD.txt","5_nucleotid_C")</f>
        <v>5_nucleotid_C</v>
      </c>
      <c r="AY8" s="3" t="str">
        <f>HYPERLINK("http://www.ncbi.nlm.nih.gov/Structure/cdd/cddsrv.cgi?uid=pfam02872&amp;version=v4.0","9E-015")</f>
        <v>9E-015</v>
      </c>
      <c r="AZ8" t="s">
        <v>200</v>
      </c>
      <c r="BA8" s="2" t="str">
        <f>HYPERLINK("http://exon.niaid.nih.gov/transcriptome/An_funestus_sialome/Sup_tab2/links/PFAM\AF-36-PFAM.txt","5_nucleotid_C")</f>
        <v>5_nucleotid_C</v>
      </c>
      <c r="BB8" s="3" t="str">
        <f>HYPERLINK("http://pfam.wustl.edu/cgi-bin/getdesc?acc=PF02872","5E-015")</f>
        <v>5E-015</v>
      </c>
      <c r="BC8" s="2" t="s">
        <v>4</v>
      </c>
      <c r="BD8" s="3" t="s">
        <v>4</v>
      </c>
    </row>
    <row r="9" spans="1:56" ht="11.25">
      <c r="A9" t="str">
        <f>HYPERLINK("http://exon.niaid.nih.gov/transcriptome/An_funestus_sialome/Sup_tab2/links/AF-35-pep.txt","AF-35")</f>
        <v>AF-35</v>
      </c>
      <c r="B9" s="4" t="s">
        <v>7</v>
      </c>
      <c r="C9" s="4">
        <v>207</v>
      </c>
      <c r="D9" t="str">
        <f>HYPERLINK("http://exon.niaid.nih.gov/transcriptome/An_funestus_sialome/Sup_tab2/links/AF-35-cds.txt","AF-35")</f>
        <v>AF-35</v>
      </c>
      <c r="G9">
        <v>23.556</v>
      </c>
      <c r="H9">
        <v>6.04</v>
      </c>
      <c r="L9" s="7">
        <v>0</v>
      </c>
      <c r="M9" s="7">
        <v>4.830918</v>
      </c>
      <c r="N9" s="7">
        <v>4.347826</v>
      </c>
      <c r="O9" s="2" t="str">
        <f>HYPERLINK("http://exon.niaid.nih.gov/transcriptome/An_funestus_sialome/Sup_tab2/links/AGFRAG\AF-35-AGFRAG.txt","2L_Piece#1572")</f>
        <v>2L_Piece#1572</v>
      </c>
      <c r="P9" s="3">
        <v>5E-83</v>
      </c>
      <c r="Q9">
        <v>144</v>
      </c>
      <c r="R9">
        <v>72</v>
      </c>
      <c r="S9">
        <v>9951</v>
      </c>
      <c r="T9" s="4" t="str">
        <f>HYPERLINK("http://www.ensembl.org/Anopheles_gambiae/contigview?chr=2L&amp;region=&amp;start=39279951&amp;end=39290382","2L")</f>
        <v>2L</v>
      </c>
      <c r="U9">
        <v>39284951</v>
      </c>
      <c r="V9">
        <v>39285382</v>
      </c>
      <c r="W9" s="2" t="str">
        <f>HYPERLINK("http://exon.niaid.nih.gov/transcriptome/An_funestus_sialome/Sup_tab2/links/AGPROT\AF-35-AGPROT.txt","ENSANGP00000029656")</f>
        <v>ENSANGP00000029656</v>
      </c>
      <c r="X9" s="3" t="str">
        <f>HYPERLINK("http://www.ensembl.org/Anopheles_gambiae/protview?peptide=ENSANGP00000029656","2E-089")</f>
        <v>2E-089</v>
      </c>
      <c r="Y9">
        <v>75</v>
      </c>
      <c r="Z9">
        <v>41</v>
      </c>
      <c r="AA9" s="2" t="str">
        <f>HYPERLINK("http://exon.niaid.nih.gov/transcriptome/An_funestus_sialome/Sup_tab2/links/AGTB2\AF-35-AGTB2.txt","salivary protein of the G1 family of anopheline proteins         21   1.3")</f>
        <v>salivary protein of the G1 family of anopheline proteins         21   1.3</v>
      </c>
      <c r="AB9" s="8">
        <v>1.3</v>
      </c>
      <c r="AC9" t="s">
        <v>186</v>
      </c>
      <c r="AD9">
        <v>45</v>
      </c>
      <c r="AE9">
        <v>5</v>
      </c>
      <c r="AF9" s="5" t="s">
        <v>393</v>
      </c>
      <c r="AG9" t="s">
        <v>394</v>
      </c>
      <c r="AH9" s="2" t="str">
        <f>HYPERLINK("http://exon.niaid.nih.gov/transcriptome/An_funestus_sialome/Sup_tab2/links/NR\AF-35-NR.txt","ENSANGP00000029656 [Anopheles gambiae")</f>
        <v>ENSANGP00000029656 [Anopheles gambiae</v>
      </c>
      <c r="AI9" s="6" t="str">
        <f>HYPERLINK("http://www.ncbi.nlm.nih.gov/sutils/blink.cgi?pid=55245934","3E-087")</f>
        <v>3E-087</v>
      </c>
      <c r="AJ9" t="s">
        <v>187</v>
      </c>
      <c r="AK9">
        <v>75</v>
      </c>
      <c r="AL9">
        <v>41</v>
      </c>
      <c r="AM9" t="s">
        <v>59</v>
      </c>
      <c r="AN9" s="2" t="s">
        <v>188</v>
      </c>
      <c r="AO9" s="3">
        <f>HYPERLINK("http://exon.niaid.nih.gov/transcriptome/An_funestus_sialome/Sup_tab2/links/GO\AF-35-GO.txt",8E-67)</f>
        <v>0</v>
      </c>
      <c r="AP9" t="s">
        <v>189</v>
      </c>
      <c r="AQ9" t="s">
        <v>65</v>
      </c>
      <c r="AR9" t="s">
        <v>66</v>
      </c>
      <c r="AS9" t="s">
        <v>190</v>
      </c>
      <c r="AT9" s="1">
        <v>8E-67</v>
      </c>
      <c r="AU9" s="2" t="str">
        <f>HYPERLINK("http://exon.niaid.nih.gov/transcriptome/An_funestus_sialome/Sup_tab2/links/KOG\AF-35-KOG.txt","Adenine deaminase/adenosine deaminase")</f>
        <v>Adenine deaminase/adenosine deaminase</v>
      </c>
      <c r="AV9" s="3" t="str">
        <f>HYPERLINK("http://www.ncbi.nlm.nih.gov/COG/new/shokog.cgi?KOG1097","3E-052")</f>
        <v>3E-052</v>
      </c>
      <c r="AW9" t="s">
        <v>173</v>
      </c>
      <c r="AX9" s="2" t="str">
        <f>HYPERLINK("http://exon.niaid.nih.gov/transcriptome/An_funestus_sialome/Sup_tab2/links/CDD\AF-35-CDD.txt","ADGF")</f>
        <v>ADGF</v>
      </c>
      <c r="AY9" s="3" t="str">
        <f>HYPERLINK("http://www.ncbi.nlm.nih.gov/Structure/cdd/cddsrv.cgi?uid=cd01321&amp;version=v4.0","1E-073")</f>
        <v>1E-073</v>
      </c>
      <c r="AZ9" t="s">
        <v>191</v>
      </c>
      <c r="BA9" s="2" t="str">
        <f>HYPERLINK("http://exon.niaid.nih.gov/transcriptome/An_funestus_sialome/Sup_tab2/links/PFAM\AF-35-PFAM.txt","A_deaminase")</f>
        <v>A_deaminase</v>
      </c>
      <c r="BB9" s="3" t="str">
        <f>HYPERLINK("http://pfam.wustl.edu/cgi-bin/getdesc?acc=PF00962","1E-033")</f>
        <v>1E-033</v>
      </c>
      <c r="BC9" s="2" t="s">
        <v>4</v>
      </c>
      <c r="BD9" s="3" t="s">
        <v>4</v>
      </c>
    </row>
    <row r="10" spans="1:56" ht="12" thickBot="1">
      <c r="A10" t="str">
        <f>HYPERLINK("http://exon.niaid.nih.gov/transcriptome/An_funestus_sialome/Sup_tab2/links/AF-32-pep.txt","AF-32")</f>
        <v>AF-32</v>
      </c>
      <c r="B10" s="4" t="s">
        <v>6</v>
      </c>
      <c r="C10" s="4">
        <v>139</v>
      </c>
      <c r="D10" t="str">
        <f>HYPERLINK("http://exon.niaid.nih.gov/transcriptome/An_funestus_sialome/Sup_tab2/links/AF-32-cds.txt","AF-32")</f>
        <v>AF-32</v>
      </c>
      <c r="G10">
        <v>16.125</v>
      </c>
      <c r="H10">
        <v>5.41</v>
      </c>
      <c r="L10" s="7">
        <v>0</v>
      </c>
      <c r="M10" s="7">
        <v>5.035971</v>
      </c>
      <c r="N10" s="7">
        <v>2.877698</v>
      </c>
      <c r="O10" s="2" t="str">
        <f>HYPERLINK("http://exon.niaid.nih.gov/transcriptome/An_funestus_sialome/Sup_tab2/links/AGFRAG\AF-32-AGFRAG.txt","UNKN_Piece#126")</f>
        <v>UNKN_Piece#126</v>
      </c>
      <c r="P10" s="3">
        <v>7E-55</v>
      </c>
      <c r="Q10">
        <v>137</v>
      </c>
      <c r="R10">
        <v>72</v>
      </c>
      <c r="S10">
        <v>2449</v>
      </c>
      <c r="T10" s="4" t="str">
        <f>HYPERLINK("http://www.ensembl.org/Anopheles_gambiae/contigview?chr=UNKN&amp;region=&amp;start=3122449&amp;end=3132859","UNKN")</f>
        <v>UNKN</v>
      </c>
      <c r="U10">
        <v>3127449</v>
      </c>
      <c r="V10">
        <v>3127859</v>
      </c>
      <c r="W10" s="2" t="str">
        <f>HYPERLINK("http://exon.niaid.nih.gov/transcriptome/An_funestus_sialome/Sup_tab2/links/AGPROT\AF-32-AGPROT.txt","ENSANGP00000016300")</f>
        <v>ENSANGP00000016300</v>
      </c>
      <c r="X10" s="3" t="str">
        <f>HYPERLINK("http://www.ensembl.org/Anopheles_gambiae/protview?peptide=ENSANGP00000016300","5E-056")</f>
        <v>5E-056</v>
      </c>
      <c r="Y10">
        <v>72</v>
      </c>
      <c r="Z10">
        <v>24</v>
      </c>
      <c r="AA10" s="2" t="str">
        <f>HYPERLINK("http://exon.niaid.nih.gov/transcriptome/An_funestus_sialome/Sup_tab2/links/AGTB2\AF-32-AGTB2.txt","putative 5' nucleotidase                                       211   2e-058")</f>
        <v>putative 5' nucleotidase                                       211   2e-058</v>
      </c>
      <c r="AB10" s="8">
        <v>2E-58</v>
      </c>
      <c r="AC10" t="s">
        <v>168</v>
      </c>
      <c r="AD10">
        <v>72</v>
      </c>
      <c r="AE10">
        <v>24</v>
      </c>
      <c r="AF10" s="5" t="s">
        <v>345</v>
      </c>
      <c r="AG10" t="s">
        <v>346</v>
      </c>
      <c r="AH10" s="2" t="str">
        <f>HYPERLINK("http://exon.niaid.nih.gov/transcriptome/An_funestus_sialome/Sup_tab2/links/NR\AF-32-NR.txt","salivary apyrase [Anopheles stephensi]     217   9e-056")</f>
        <v>salivary apyrase [Anopheles stephensi]     217   9e-056</v>
      </c>
      <c r="AI10" s="6" t="str">
        <f>HYPERLINK("http://www.ncbi.nlm.nih.gov/sutils/blink.cgi?pid=27372911","9E-056")</f>
        <v>9E-056</v>
      </c>
      <c r="AJ10" t="s">
        <v>169</v>
      </c>
      <c r="AK10">
        <v>75</v>
      </c>
      <c r="AL10">
        <v>24</v>
      </c>
      <c r="AM10" t="s">
        <v>34</v>
      </c>
      <c r="AN10" s="2" t="s">
        <v>170</v>
      </c>
      <c r="AO10" s="3">
        <f>HYPERLINK("http://exon.niaid.nih.gov/transcriptome/An_funestus_sialome/Sup_tab2/links/GO\AF-32-GO.txt",0.00000003)</f>
        <v>0</v>
      </c>
      <c r="AP10" t="s">
        <v>171</v>
      </c>
      <c r="AQ10" t="s">
        <v>65</v>
      </c>
      <c r="AR10" t="s">
        <v>66</v>
      </c>
      <c r="AS10" t="s">
        <v>172</v>
      </c>
      <c r="AT10">
        <v>4E-08</v>
      </c>
      <c r="AU10" s="2" t="str">
        <f>HYPERLINK("http://exon.niaid.nih.gov/transcriptome/An_funestus_sialome/Sup_tab2/links/KOG\AF-32-KOG.txt","5' nucleotidase")</f>
        <v>5' nucleotidase</v>
      </c>
      <c r="AV10" s="3" t="str">
        <f>HYPERLINK("http://www.ncbi.nlm.nih.gov/COG/new/shokog.cgi?KOG4419","0.002")</f>
        <v>0.002</v>
      </c>
      <c r="AW10" t="s">
        <v>173</v>
      </c>
      <c r="AX10" s="2" t="str">
        <f>HYPERLINK("http://exon.niaid.nih.gov/transcriptome/An_funestus_sialome/Sup_tab2/links/CDD\AF-32-CDD.txt","5_nucleotid_C")</f>
        <v>5_nucleotid_C</v>
      </c>
      <c r="AY10" s="3" t="str">
        <f>HYPERLINK("http://www.ncbi.nlm.nih.gov/Structure/cdd/cddsrv.cgi?uid=pfam02872&amp;version=v4.0","1E-011")</f>
        <v>1E-011</v>
      </c>
      <c r="AZ10" t="s">
        <v>174</v>
      </c>
      <c r="BA10" s="2" t="str">
        <f>HYPERLINK("http://exon.niaid.nih.gov/transcriptome/An_funestus_sialome/Sup_tab2/links/PFAM\AF-32-PFAM.txt","5_nucleotid_C")</f>
        <v>5_nucleotid_C</v>
      </c>
      <c r="BB10" s="3" t="str">
        <f>HYPERLINK("http://pfam.wustl.edu/cgi-bin/getdesc?acc=PF02872","7E-012")</f>
        <v>7E-012</v>
      </c>
      <c r="BC10" s="2" t="s">
        <v>4</v>
      </c>
      <c r="BD10" s="3" t="s">
        <v>4</v>
      </c>
    </row>
    <row r="11" spans="1:56" s="26" customFormat="1" ht="11.25" customHeight="1">
      <c r="A11" s="25" t="s">
        <v>439</v>
      </c>
      <c r="C11" s="27"/>
      <c r="E11" s="28"/>
      <c r="K11" s="28"/>
      <c r="L11" s="29"/>
      <c r="M11" s="29"/>
      <c r="N11" s="29"/>
      <c r="P11" s="30"/>
      <c r="X11" s="30"/>
      <c r="AB11" s="31"/>
      <c r="AI11" s="32"/>
      <c r="AO11" s="30"/>
      <c r="AV11" s="30"/>
      <c r="AY11" s="30"/>
      <c r="BB11" s="30"/>
      <c r="BD11" s="30"/>
    </row>
    <row r="12" spans="1:28" s="34" customFormat="1" ht="11.25">
      <c r="A12" s="33" t="s">
        <v>412</v>
      </c>
      <c r="C12" s="35"/>
      <c r="E12" s="36"/>
      <c r="K12" s="36"/>
      <c r="L12" s="37"/>
      <c r="M12" s="37"/>
      <c r="N12" s="37"/>
      <c r="AB12" s="42"/>
    </row>
    <row r="13" spans="1:56" ht="11.25">
      <c r="A13" t="str">
        <f>HYPERLINK("http://exon.niaid.nih.gov/transcriptome/An_funestus_sialome/Sup_tab2/links/AF-20-pep.txt","AF-20")</f>
        <v>AF-20</v>
      </c>
      <c r="B13" s="4" t="s">
        <v>3</v>
      </c>
      <c r="C13" s="4">
        <v>165</v>
      </c>
      <c r="D13" t="str">
        <f>HYPERLINK("http://exon.niaid.nih.gov/transcriptome/An_funestus_sialome/Sup_tab2/links/AF-20-cds.txt","AF-20")</f>
        <v>AF-20</v>
      </c>
      <c r="E13" s="22" t="str">
        <f>HYPERLINK("http://exon.niaid.nih.gov/transcriptome/An_funestus_sialome/Sup_tab2/links/AF-20-SigP.txt","SIG")</f>
        <v>SIG</v>
      </c>
      <c r="F13" t="s">
        <v>417</v>
      </c>
      <c r="G13">
        <v>18.83</v>
      </c>
      <c r="H13">
        <v>8.07</v>
      </c>
      <c r="I13">
        <v>16.356</v>
      </c>
      <c r="J13">
        <v>7.76</v>
      </c>
      <c r="K13" s="22" t="str">
        <f>HYPERLINK("http://exon.niaid.nih.gov/transcriptome/An_funestus_sialome/Sup_tab2/links/AF-20-netoglyc.txt","0")</f>
        <v>0</v>
      </c>
      <c r="L13" s="7">
        <v>0</v>
      </c>
      <c r="M13" s="7">
        <v>4.242424</v>
      </c>
      <c r="N13" s="7">
        <v>3.030303</v>
      </c>
      <c r="O13" s="2" t="str">
        <f>HYPERLINK("http://exon.niaid.nih.gov/transcriptome/An_funestus_sialome/Sup_tab2/links/AGFRAG\AF-20-AGFRAG.txt","3R_Piece#343")</f>
        <v>3R_Piece#343</v>
      </c>
      <c r="P13" s="3">
        <v>3E-56</v>
      </c>
      <c r="Q13">
        <v>89</v>
      </c>
      <c r="R13">
        <v>75</v>
      </c>
      <c r="S13">
        <v>8331</v>
      </c>
      <c r="T13" s="4" t="str">
        <f>HYPERLINK("http://www.ensembl.org/Anopheles_gambiae/contigview?chr=3R&amp;region=&amp;start=8553331&amp;end=8563332","3R")</f>
        <v>3R</v>
      </c>
      <c r="U13">
        <v>8558331</v>
      </c>
      <c r="V13">
        <v>8558332</v>
      </c>
      <c r="W13" s="2" t="str">
        <f>HYPERLINK("http://exon.niaid.nih.gov/transcriptome/An_funestus_sialome/Sup_tab2/links/AGPROT\AF-20-AGPROT.txt","ENSANGP00000018328")</f>
        <v>ENSANGP00000018328</v>
      </c>
      <c r="X13" s="3" t="str">
        <f>HYPERLINK("http://www.ensembl.org/Anopheles_gambiae/protview?peptide=ENSANGP00000018328","4E-065")</f>
        <v>4E-065</v>
      </c>
      <c r="Y13">
        <v>70</v>
      </c>
      <c r="Z13">
        <v>99</v>
      </c>
      <c r="AA13" s="2" t="str">
        <f>HYPERLINK("http://exon.niaid.nih.gov/transcriptome/An_funestus_sialome/Sup_tab2/links/AGTB2\AF-20-AGTB2.txt","Short form D7 salivary protein                                   242   2e-067")</f>
        <v>Short form D7 salivary protein                                   242   2e-067</v>
      </c>
      <c r="AB13" s="8">
        <v>2E-67</v>
      </c>
      <c r="AC13" t="s">
        <v>118</v>
      </c>
      <c r="AD13">
        <v>70</v>
      </c>
      <c r="AE13">
        <v>99</v>
      </c>
      <c r="AF13" s="5" t="s">
        <v>341</v>
      </c>
      <c r="AG13" t="s">
        <v>325</v>
      </c>
      <c r="AH13" s="2" t="str">
        <f>HYPERLINK("http://exon.niaid.nih.gov/transcriptome/An_funestus_sialome/Sup_tab2/links/NR\AF-20-NR.txt","D7-related 4 protein [Anopheles gambi")</f>
        <v>D7-related 4 protein [Anopheles gambi</v>
      </c>
      <c r="AI13" s="6" t="str">
        <f>HYPERLINK("http://www.ncbi.nlm.nih.gov/sutils/blink.cgi?pid=17016228","7E-064")</f>
        <v>7E-064</v>
      </c>
      <c r="AJ13" t="s">
        <v>119</v>
      </c>
      <c r="AK13">
        <v>70</v>
      </c>
      <c r="AL13">
        <v>99</v>
      </c>
      <c r="AM13" t="s">
        <v>120</v>
      </c>
      <c r="AN13" s="2" t="s">
        <v>4</v>
      </c>
      <c r="AO13" s="3" t="s">
        <v>4</v>
      </c>
      <c r="AP13" t="s">
        <v>4</v>
      </c>
      <c r="AQ13" t="s">
        <v>4</v>
      </c>
      <c r="AR13" t="s">
        <v>4</v>
      </c>
      <c r="AS13" t="s">
        <v>4</v>
      </c>
      <c r="AT13" t="s">
        <v>4</v>
      </c>
      <c r="AU13" s="2" t="s">
        <v>4</v>
      </c>
      <c r="AV13" s="3" t="s">
        <v>4</v>
      </c>
      <c r="AW13" t="s">
        <v>4</v>
      </c>
      <c r="AX13" s="2" t="s">
        <v>4</v>
      </c>
      <c r="AY13" s="3" t="s">
        <v>4</v>
      </c>
      <c r="AZ13" t="s">
        <v>4</v>
      </c>
      <c r="BA13" s="2" t="str">
        <f>HYPERLINK("http://exon.niaid.nih.gov/transcriptome/An_funestus_sialome/Sup_tab2/links/PFAM\AF-20-PFAM.txt","PBP_GOBP")</f>
        <v>PBP_GOBP</v>
      </c>
      <c r="BB13" s="3" t="str">
        <f>HYPERLINK("http://pfam.wustl.edu/cgi-bin/getdesc?acc=PF01395","0.003")</f>
        <v>0.003</v>
      </c>
      <c r="BC13" s="2" t="str">
        <f>HYPERLINK("http://exon.niaid.nih.gov/transcriptome/An_funestus_sialome/Sup_tab2/links/SMART\AF-20-SMART.txt","PhBP")</f>
        <v>PhBP</v>
      </c>
      <c r="BD13" s="3" t="str">
        <f>HYPERLINK("http://smart.embl-heidelberg.de/smart/do_annotation.pl?DOMAIN=PhBP&amp;BLAST=DUMMY","4E-006")</f>
        <v>4E-006</v>
      </c>
    </row>
    <row r="14" spans="1:56" ht="11.25">
      <c r="A14" t="str">
        <f>HYPERLINK("http://exon.niaid.nih.gov/transcriptome/An_funestus_sialome/Sup_tab2/links/AF-21-pep.txt","AF-21")</f>
        <v>AF-21</v>
      </c>
      <c r="B14" s="4" t="s">
        <v>3</v>
      </c>
      <c r="C14" s="4">
        <v>166</v>
      </c>
      <c r="D14" t="str">
        <f>HYPERLINK("http://exon.niaid.nih.gov/transcriptome/An_funestus_sialome/Sup_tab2/links/AF-21-cds.txt","AF-21")</f>
        <v>AF-21</v>
      </c>
      <c r="E14" s="22" t="str">
        <f>HYPERLINK("http://exon.niaid.nih.gov/transcriptome/An_funestus_sialome/Sup_tab2/links/AF-21-SigP.txt","SIG")</f>
        <v>SIG</v>
      </c>
      <c r="F14" t="s">
        <v>418</v>
      </c>
      <c r="G14">
        <v>18.706</v>
      </c>
      <c r="H14">
        <v>9.36</v>
      </c>
      <c r="I14">
        <v>16.453</v>
      </c>
      <c r="J14">
        <v>9.3</v>
      </c>
      <c r="K14" s="22" t="str">
        <f>HYPERLINK("http://exon.niaid.nih.gov/transcriptome/An_funestus_sialome/Sup_tab2/links/AF-21-netoglyc.txt","0")</f>
        <v>0</v>
      </c>
      <c r="L14" s="7">
        <v>0</v>
      </c>
      <c r="M14" s="7">
        <v>5.421687</v>
      </c>
      <c r="N14" s="7">
        <v>3.012048</v>
      </c>
      <c r="O14" s="2" t="str">
        <f>HYPERLINK("http://exon.niaid.nih.gov/transcriptome/An_funestus_sialome/Sup_tab2/links/AGFRAG\AF-21-AGFRAG.txt","3R_Piece#343")</f>
        <v>3R_Piece#343</v>
      </c>
      <c r="P14" s="3">
        <v>6E-58</v>
      </c>
      <c r="Q14">
        <v>90</v>
      </c>
      <c r="R14">
        <v>78</v>
      </c>
      <c r="S14">
        <v>12939</v>
      </c>
      <c r="T14" s="4" t="str">
        <f>HYPERLINK("http://www.ensembl.org/Anopheles_gambiae/contigview?chr=3R&amp;region=&amp;start=8557939&amp;end=8567940","3R")</f>
        <v>3R</v>
      </c>
      <c r="U14">
        <v>8562939</v>
      </c>
      <c r="V14">
        <v>8562940</v>
      </c>
      <c r="W14" s="2" t="str">
        <f>HYPERLINK("http://exon.niaid.nih.gov/transcriptome/An_funestus_sialome/Sup_tab2/links/AGPROT\AF-21-AGPROT.txt","ENSANGP00000018340")</f>
        <v>ENSANGP00000018340</v>
      </c>
      <c r="X14" s="3" t="str">
        <f>HYPERLINK("http://www.ensembl.org/Anopheles_gambiae/protview?peptide=ENSANGP00000018340","5E-067")</f>
        <v>5E-067</v>
      </c>
      <c r="Y14">
        <v>73</v>
      </c>
      <c r="Z14">
        <v>100</v>
      </c>
      <c r="AA14" s="2" t="str">
        <f>HYPERLINK("http://exon.niaid.nih.gov/transcriptome/An_funestus_sialome/Sup_tab2/links/AGTB2\AF-21-AGTB2.txt","Short form D7 salivary protein most similar to hama")</f>
        <v>Short form D7 salivary protein most similar to hama</v>
      </c>
      <c r="AB14" s="8">
        <v>2E-69</v>
      </c>
      <c r="AC14" t="s">
        <v>121</v>
      </c>
      <c r="AD14">
        <v>73</v>
      </c>
      <c r="AE14">
        <v>100</v>
      </c>
      <c r="AF14" s="5" t="s">
        <v>338</v>
      </c>
      <c r="AG14" t="s">
        <v>325</v>
      </c>
      <c r="AH14" s="2" t="str">
        <f>HYPERLINK("http://exon.niaid.nih.gov/transcriptome/An_funestus_sialome/Sup_tab2/links/NR\AF-21-NR.txt","ENSANGP00000018340 [Anopheles gambiae")</f>
        <v>ENSANGP00000018340 [Anopheles gambiae</v>
      </c>
      <c r="AI14" s="6" t="str">
        <f>HYPERLINK("http://www.ncbi.nlm.nih.gov/sutils/blink.cgi?pid=55237410","5E-065")</f>
        <v>5E-065</v>
      </c>
      <c r="AJ14" t="s">
        <v>122</v>
      </c>
      <c r="AK14">
        <v>73</v>
      </c>
      <c r="AL14">
        <v>100</v>
      </c>
      <c r="AM14" t="s">
        <v>59</v>
      </c>
      <c r="AN14" s="2" t="s">
        <v>123</v>
      </c>
      <c r="AO14" s="3">
        <f>HYPERLINK("http://exon.niaid.nih.gov/transcriptome/An_funestus_sialome/Sup_tab2/links/GO\AF-21-GO.txt",0.84)</f>
        <v>0</v>
      </c>
      <c r="AP14" t="s">
        <v>124</v>
      </c>
      <c r="AQ14" t="s">
        <v>65</v>
      </c>
      <c r="AR14" t="s">
        <v>125</v>
      </c>
      <c r="AS14" t="s">
        <v>126</v>
      </c>
      <c r="AT14">
        <v>0.84</v>
      </c>
      <c r="AU14" s="2" t="s">
        <v>4</v>
      </c>
      <c r="AV14" s="3" t="s">
        <v>4</v>
      </c>
      <c r="AW14" t="s">
        <v>4</v>
      </c>
      <c r="AX14" s="2" t="s">
        <v>4</v>
      </c>
      <c r="AY14" s="3" t="s">
        <v>4</v>
      </c>
      <c r="AZ14" t="s">
        <v>4</v>
      </c>
      <c r="BA14" s="2" t="str">
        <f>HYPERLINK("http://exon.niaid.nih.gov/transcriptome/An_funestus_sialome/Sup_tab2/links/PFAM\AF-21-PFAM.txt","PBP_GOBP")</f>
        <v>PBP_GOBP</v>
      </c>
      <c r="BB14" s="3" t="str">
        <f>HYPERLINK("http://pfam.wustl.edu/cgi-bin/getdesc?acc=PF01395","0.022")</f>
        <v>0.022</v>
      </c>
      <c r="BC14" s="2" t="str">
        <f>HYPERLINK("http://exon.niaid.nih.gov/transcriptome/An_funestus_sialome/Sup_tab2/links/SMART\AF-21-SMART.txt","PhBP")</f>
        <v>PhBP</v>
      </c>
      <c r="BD14" s="3" t="str">
        <f>HYPERLINK("http://smart.embl-heidelberg.de/smart/do_annotation.pl?DOMAIN=PhBP&amp;BLAST=DUMMY","2E-005")</f>
        <v>2E-005</v>
      </c>
    </row>
    <row r="15" spans="1:56" ht="11.25">
      <c r="A15" t="str">
        <f>HYPERLINK("http://exon.niaid.nih.gov/transcriptome/An_funestus_sialome/Sup_tab2/links/AF-26-pep.txt","AF-26")</f>
        <v>AF-26</v>
      </c>
      <c r="B15" s="4" t="s">
        <v>3</v>
      </c>
      <c r="C15" s="4">
        <v>169</v>
      </c>
      <c r="D15" t="str">
        <f>HYPERLINK("http://exon.niaid.nih.gov/transcriptome/An_funestus_sialome/Sup_tab2/links/AF-26-cds.txt","AF-26")</f>
        <v>AF-26</v>
      </c>
      <c r="E15" s="22" t="str">
        <f>HYPERLINK("http://exon.niaid.nih.gov/transcriptome/An_funestus_sialome/Sup_tab2/links/AF-26-SigP.txt","SIG")</f>
        <v>SIG</v>
      </c>
      <c r="F15" t="s">
        <v>418</v>
      </c>
      <c r="G15">
        <v>18.62</v>
      </c>
      <c r="H15">
        <v>6.14</v>
      </c>
      <c r="I15">
        <v>16.34</v>
      </c>
      <c r="J15">
        <v>5.45</v>
      </c>
      <c r="K15" s="22" t="str">
        <f>HYPERLINK("http://exon.niaid.nih.gov/transcriptome/An_funestus_sialome/Sup_tab2/links/AF-26-netoglyc.txt","0")</f>
        <v>0</v>
      </c>
      <c r="L15" s="7">
        <v>0</v>
      </c>
      <c r="M15" s="7">
        <v>5.325444</v>
      </c>
      <c r="N15" s="7">
        <v>2.366864</v>
      </c>
      <c r="O15" s="2" t="str">
        <f>HYPERLINK("http://exon.niaid.nih.gov/transcriptome/An_funestus_sialome/Sup_tab2/links/AGFRAG\AF-26-AGFRAG.txt","3R_Piece#343")</f>
        <v>3R_Piece#343</v>
      </c>
      <c r="P15" s="3">
        <v>1E-70</v>
      </c>
      <c r="Q15">
        <v>173</v>
      </c>
      <c r="R15">
        <v>74</v>
      </c>
      <c r="S15">
        <v>9930</v>
      </c>
      <c r="T15" s="4" t="str">
        <f>HYPERLINK("http://www.ensembl.org/Anopheles_gambiae/contigview?chr=3R&amp;region=&amp;start=8554930&amp;end=8565111","3R")</f>
        <v>3R</v>
      </c>
      <c r="U15">
        <v>8559930</v>
      </c>
      <c r="V15">
        <v>8560111</v>
      </c>
      <c r="W15" s="2" t="str">
        <f>HYPERLINK("http://exon.niaid.nih.gov/transcriptome/An_funestus_sialome/Sup_tab2/links/AGPROT\AF-26-AGPROT.txt","ENSANGP00000018371")</f>
        <v>ENSANGP00000018371</v>
      </c>
      <c r="X15" s="3" t="str">
        <f>HYPERLINK("http://www.ensembl.org/Anopheles_gambiae/protview?peptide=ENSANGP00000018371","1E-080")</f>
        <v>1E-080</v>
      </c>
      <c r="Y15">
        <v>86</v>
      </c>
      <c r="Z15">
        <v>100</v>
      </c>
      <c r="AA15" s="2" t="str">
        <f>HYPERLINK("http://exon.niaid.nih.gov/transcriptome/An_funestus_sialome/Sup_tab2/links/AGTB2\AF-26-AGTB2.txt","protein Short form D7 salivary protein                   294   5e-083")</f>
        <v>protein Short form D7 salivary protein                   294   5e-083</v>
      </c>
      <c r="AB15" s="8">
        <v>5E-83</v>
      </c>
      <c r="AC15" t="s">
        <v>146</v>
      </c>
      <c r="AD15">
        <v>86</v>
      </c>
      <c r="AE15">
        <v>100</v>
      </c>
      <c r="AF15" s="5" t="s">
        <v>335</v>
      </c>
      <c r="AG15" t="s">
        <v>325</v>
      </c>
      <c r="AH15" s="2" t="str">
        <f>HYPERLINK("http://exon.niaid.nih.gov/transcriptome/An_funestus_sialome/Sup_tab2/links/NR\AF-26-NR.txt","short form D7r2 salivary protein [Ano")</f>
        <v>short form D7r2 salivary protein [Ano</v>
      </c>
      <c r="AI15" s="6" t="str">
        <f>HYPERLINK("http://www.ncbi.nlm.nih.gov/sutils/blink.cgi?pid=16225965","1E-078")</f>
        <v>1E-078</v>
      </c>
      <c r="AJ15" t="s">
        <v>147</v>
      </c>
      <c r="AK15">
        <v>86</v>
      </c>
      <c r="AL15">
        <v>100</v>
      </c>
      <c r="AM15" t="s">
        <v>148</v>
      </c>
      <c r="AN15" s="2" t="s">
        <v>149</v>
      </c>
      <c r="AO15" s="3">
        <f>HYPERLINK("http://exon.niaid.nih.gov/transcriptome/An_funestus_sialome/Sup_tab2/links/GO\AF-26-GO.txt",0.17)</f>
        <v>0</v>
      </c>
      <c r="AP15" t="s">
        <v>150</v>
      </c>
      <c r="AQ15" t="s">
        <v>65</v>
      </c>
      <c r="AR15" t="s">
        <v>151</v>
      </c>
      <c r="AS15" t="s">
        <v>152</v>
      </c>
      <c r="AT15">
        <v>0.17</v>
      </c>
      <c r="AU15" s="2" t="s">
        <v>4</v>
      </c>
      <c r="AV15" s="3" t="s">
        <v>4</v>
      </c>
      <c r="AW15" t="s">
        <v>4</v>
      </c>
      <c r="AX15" s="2" t="s">
        <v>4</v>
      </c>
      <c r="AY15" s="3" t="s">
        <v>4</v>
      </c>
      <c r="AZ15" t="s">
        <v>4</v>
      </c>
      <c r="BA15" s="2" t="str">
        <f>HYPERLINK("http://exon.niaid.nih.gov/transcriptome/An_funestus_sialome/Sup_tab2/links/PFAM\AF-26-PFAM.txt","PBP_GOBP")</f>
        <v>PBP_GOBP</v>
      </c>
      <c r="BB15" s="3" t="str">
        <f>HYPERLINK("http://pfam.wustl.edu/cgi-bin/getdesc?acc=PF01395","2E-004")</f>
        <v>2E-004</v>
      </c>
      <c r="BC15" s="2" t="str">
        <f>HYPERLINK("http://exon.niaid.nih.gov/transcriptome/An_funestus_sialome/Sup_tab2/links/SMART\AF-26-SMART.txt","PhBP")</f>
        <v>PhBP</v>
      </c>
      <c r="BD15" s="3" t="str">
        <f>HYPERLINK("http://smart.embl-heidelberg.de/smart/do_annotation.pl?DOMAIN=PhBP&amp;BLAST=DUMMY","6E-009")</f>
        <v>6E-009</v>
      </c>
    </row>
    <row r="16" spans="1:56" ht="11.25">
      <c r="A16" t="str">
        <f>HYPERLINK("http://exon.niaid.nih.gov/transcriptome/An_funestus_sialome/Sup_tab2/links/AF-25-pep.txt","AF-25")</f>
        <v>AF-25</v>
      </c>
      <c r="B16" s="4" t="s">
        <v>3</v>
      </c>
      <c r="C16" s="4">
        <v>169</v>
      </c>
      <c r="D16" t="str">
        <f>HYPERLINK("http://exon.niaid.nih.gov/transcriptome/An_funestus_sialome/Sup_tab2/links/AF-25-cds.txt","AF-25")</f>
        <v>AF-25</v>
      </c>
      <c r="E16" s="22" t="str">
        <f>HYPERLINK("http://exon.niaid.nih.gov/transcriptome/An_funestus_sialome/Sup_tab2/links/AF-25-SigP.txt","SIG")</f>
        <v>SIG</v>
      </c>
      <c r="F16" t="s">
        <v>418</v>
      </c>
      <c r="G16">
        <v>18.973</v>
      </c>
      <c r="H16">
        <v>5.73</v>
      </c>
      <c r="I16">
        <v>16.65</v>
      </c>
      <c r="J16">
        <v>5.05</v>
      </c>
      <c r="K16" s="22" t="str">
        <f>HYPERLINK("http://exon.niaid.nih.gov/transcriptome/An_funestus_sialome/Sup_tab2/links/AF-25-netoglyc.txt","0")</f>
        <v>0</v>
      </c>
      <c r="L16" s="7">
        <v>0</v>
      </c>
      <c r="M16" s="7">
        <v>5.325444</v>
      </c>
      <c r="N16" s="7">
        <v>1.775148</v>
      </c>
      <c r="O16" s="2" t="str">
        <f>HYPERLINK("http://exon.niaid.nih.gov/transcriptome/An_funestus_sialome/Sup_tab2/links/AGFRAG\AF-25-AGFRAG.txt","3R_Piece#343")</f>
        <v>3R_Piece#343</v>
      </c>
      <c r="P16" s="3">
        <v>7E-51</v>
      </c>
      <c r="Q16">
        <v>169</v>
      </c>
      <c r="R16">
        <v>59</v>
      </c>
      <c r="S16">
        <v>11741</v>
      </c>
      <c r="T16" s="4" t="str">
        <f>HYPERLINK("http://www.ensembl.org/Anopheles_gambiae/contigview?chr=3R&amp;region=&amp;start=8556741&amp;end=8566922","3R")</f>
        <v>3R</v>
      </c>
      <c r="U16">
        <v>8561741</v>
      </c>
      <c r="V16">
        <v>8561922</v>
      </c>
      <c r="W16" s="2" t="str">
        <f>HYPERLINK("http://exon.niaid.nih.gov/transcriptome/An_funestus_sialome/Sup_tab2/links/AGPROT\AF-25-AGPROT.txt","ENSANGP00000025580")</f>
        <v>ENSANGP00000025580</v>
      </c>
      <c r="X16" s="3" t="str">
        <f>HYPERLINK("http://www.ensembl.org/Anopheles_gambiae/protview?peptide=ENSANGP00000025580","7E-061")</f>
        <v>7E-061</v>
      </c>
      <c r="Y16">
        <v>64</v>
      </c>
      <c r="Z16">
        <v>99</v>
      </c>
      <c r="AA16" s="2" t="str">
        <f>HYPERLINK("http://exon.niaid.nih.gov/transcriptome/An_funestus_sialome/Sup_tab2/links/AGTB2\AF-25-AGTB2.txt","Short form D7 salivary protein                           228   3e-063")</f>
        <v>Short form D7 salivary protein                           228   3e-063</v>
      </c>
      <c r="AB16" s="8">
        <v>3E-63</v>
      </c>
      <c r="AC16" t="s">
        <v>142</v>
      </c>
      <c r="AD16">
        <v>64</v>
      </c>
      <c r="AE16">
        <v>99</v>
      </c>
      <c r="AF16" s="5" t="s">
        <v>344</v>
      </c>
      <c r="AG16" t="s">
        <v>325</v>
      </c>
      <c r="AH16" s="2" t="str">
        <f>HYPERLINK("http://exon.niaid.nih.gov/transcriptome/An_funestus_sialome/Sup_tab2/links/NR\AF-25-NR.txt","D7-related 3 protein [Anopheles gambi")</f>
        <v>D7-related 3 protein [Anopheles gambi</v>
      </c>
      <c r="AI16" s="6" t="str">
        <f>HYPERLINK("http://www.ncbi.nlm.nih.gov/sutils/blink.cgi?pid=17016226","5E-059")</f>
        <v>5E-059</v>
      </c>
      <c r="AJ16" t="s">
        <v>143</v>
      </c>
      <c r="AK16">
        <v>64</v>
      </c>
      <c r="AL16">
        <v>99</v>
      </c>
      <c r="AM16" t="s">
        <v>120</v>
      </c>
      <c r="AN16" s="2" t="s">
        <v>4</v>
      </c>
      <c r="AO16" s="3" t="s">
        <v>4</v>
      </c>
      <c r="AP16" t="s">
        <v>4</v>
      </c>
      <c r="AQ16" t="s">
        <v>4</v>
      </c>
      <c r="AR16" t="s">
        <v>4</v>
      </c>
      <c r="AS16" t="s">
        <v>4</v>
      </c>
      <c r="AT16" t="s">
        <v>4</v>
      </c>
      <c r="AU16" s="2" t="str">
        <f>HYPERLINK("http://exon.niaid.nih.gov/transcriptome/An_funestus_sialome/Sup_tab2/links/KOG\AF-25-KOG.txt","Myosin class I heavy chain")</f>
        <v>Myosin class I heavy chain</v>
      </c>
      <c r="AV16" s="3" t="str">
        <f>HYPERLINK("http://www.ncbi.nlm.nih.gov/COG/new/shokog.cgi?KOG0162","0.21")</f>
        <v>0.21</v>
      </c>
      <c r="AW16" t="s">
        <v>144</v>
      </c>
      <c r="AX16" s="2" t="str">
        <f>HYPERLINK("http://exon.niaid.nih.gov/transcriptome/An_funestus_sialome/Sup_tab2/links/CDD\AF-25-CDD.txt","COG5022")</f>
        <v>COG5022</v>
      </c>
      <c r="AY16" s="3" t="str">
        <f>HYPERLINK("http://www.ncbi.nlm.nih.gov/Structure/cdd/cddsrv.cgi?uid=COG5022&amp;version=v4.0","0.031")</f>
        <v>0.031</v>
      </c>
      <c r="AZ16" t="s">
        <v>145</v>
      </c>
      <c r="BA16" s="2" t="str">
        <f>HYPERLINK("http://exon.niaid.nih.gov/transcriptome/An_funestus_sialome/Sup_tab2/links/PFAM\AF-25-PFAM.txt","PBP_GOBP")</f>
        <v>PBP_GOBP</v>
      </c>
      <c r="BB16" s="3" t="str">
        <f>HYPERLINK("http://pfam.wustl.edu/cgi-bin/getdesc?acc=PF01395","0.007")</f>
        <v>0.007</v>
      </c>
      <c r="BC16" s="2" t="str">
        <f>HYPERLINK("http://exon.niaid.nih.gov/transcriptome/An_funestus_sialome/Sup_tab2/links/SMART\AF-25-SMART.txt","PhBP")</f>
        <v>PhBP</v>
      </c>
      <c r="BD16" s="3" t="str">
        <f>HYPERLINK("http://smart.embl-heidelberg.de/smart/do_annotation.pl?DOMAIN=PhBP&amp;BLAST=DUMMY","5E-008")</f>
        <v>5E-008</v>
      </c>
    </row>
    <row r="17" spans="1:56" ht="11.25">
      <c r="A17" t="str">
        <f>HYPERLINK("http://exon.niaid.nih.gov/transcriptome/An_funestus_sialome/Sup_tab2/links/AF-27-pep.txt","AF-27")</f>
        <v>AF-27</v>
      </c>
      <c r="B17" s="4" t="s">
        <v>3</v>
      </c>
      <c r="C17" s="4">
        <v>315</v>
      </c>
      <c r="D17" t="str">
        <f>HYPERLINK("http://exon.niaid.nih.gov/transcriptome/An_funestus_sialome/Sup_tab2/links/AF-27-cds.txt","AF-27")</f>
        <v>AF-27</v>
      </c>
      <c r="E17" s="22" t="str">
        <f>HYPERLINK("http://exon.niaid.nih.gov/transcriptome/An_funestus_sialome/Sup_tab2/links/AF-27-SigP.txt","SIG")</f>
        <v>SIG</v>
      </c>
      <c r="F17" t="s">
        <v>419</v>
      </c>
      <c r="G17">
        <v>36.303</v>
      </c>
      <c r="H17">
        <v>8.45</v>
      </c>
      <c r="I17">
        <v>34.431</v>
      </c>
      <c r="J17">
        <v>8.45</v>
      </c>
      <c r="K17" s="22" t="str">
        <f>HYPERLINK("http://exon.niaid.nih.gov/transcriptome/An_funestus_sialome/Sup_tab2/links/AF-27-netoglyc.txt","1")</f>
        <v>1</v>
      </c>
      <c r="L17" s="7">
        <v>0.3174603</v>
      </c>
      <c r="M17" s="7">
        <v>4.761905</v>
      </c>
      <c r="N17" s="7">
        <v>4.126984</v>
      </c>
      <c r="O17" s="2" t="str">
        <f>HYPERLINK("http://exon.niaid.nih.gov/transcriptome/An_funestus_sialome/Sup_tab2/links/AGFRAG\AF-27-AGFRAG.txt","3R_Piece#342")</f>
        <v>3R_Piece#342</v>
      </c>
      <c r="P17" s="3">
        <v>1E-131</v>
      </c>
      <c r="Q17">
        <v>246</v>
      </c>
      <c r="R17">
        <v>69</v>
      </c>
      <c r="S17">
        <v>21323</v>
      </c>
      <c r="T17" s="4" t="str">
        <f>HYPERLINK("http://www.ensembl.org/Anopheles_gambiae/contigview?chr=3R&amp;region=&amp;start=8541323&amp;end=8552060","3R")</f>
        <v>3R</v>
      </c>
      <c r="U17">
        <v>8546323</v>
      </c>
      <c r="V17">
        <v>8547060</v>
      </c>
      <c r="W17" s="2" t="str">
        <f>HYPERLINK("http://exon.niaid.nih.gov/transcriptome/An_funestus_sialome/Sup_tab2/links/AGPROT\AF-27-AGPROT.txt","ENSANGP00000025174")</f>
        <v>ENSANGP00000025174</v>
      </c>
      <c r="X17" s="3" t="str">
        <f>HYPERLINK("http://www.ensembl.org/Anopheles_gambiae/protview?peptide=ENSANGP00000025174","1E-118")</f>
        <v>1E-118</v>
      </c>
      <c r="Y17">
        <v>62</v>
      </c>
      <c r="Z17">
        <v>100</v>
      </c>
      <c r="AA17" s="2" t="str">
        <f>HYPERLINK("http://exon.niaid.nih.gov/transcriptome/An_funestus_sialome/Sup_tab2/links/AGTB2\AF-27-AGTB2.txt","long form D7 salivary protein                                    512   e-148")</f>
        <v>long form D7 salivary protein                                    512   e-148</v>
      </c>
      <c r="AB17" s="8">
        <v>1E-148</v>
      </c>
      <c r="AC17" t="s">
        <v>153</v>
      </c>
      <c r="AD17">
        <v>75</v>
      </c>
      <c r="AE17">
        <v>100</v>
      </c>
      <c r="AF17" s="5" t="s">
        <v>328</v>
      </c>
      <c r="AG17" t="s">
        <v>326</v>
      </c>
      <c r="AH17" s="2" t="str">
        <f>HYPERLINK("http://exon.niaid.nih.gov/transcriptome/An_funestus_sialome/Sup_tab2/links/NR\AF-27-NR.txt","long form D7clu2 salivary protein [An")</f>
        <v>long form D7clu2 salivary protein [An</v>
      </c>
      <c r="AI17" s="6" t="str">
        <f>HYPERLINK("http://www.ncbi.nlm.nih.gov/sutils/blink.cgi?pid=16225974","1E-146")</f>
        <v>1E-146</v>
      </c>
      <c r="AJ17" t="s">
        <v>154</v>
      </c>
      <c r="AK17">
        <v>77</v>
      </c>
      <c r="AL17">
        <v>100</v>
      </c>
      <c r="AM17" t="s">
        <v>34</v>
      </c>
      <c r="AN17" s="2" t="s">
        <v>155</v>
      </c>
      <c r="AO17" s="3">
        <f>HYPERLINK("http://exon.niaid.nih.gov/transcriptome/An_funestus_sialome/Sup_tab2/links/GO\AF-27-GO.txt",0.3)</f>
        <v>0</v>
      </c>
      <c r="AP17" t="s">
        <v>156</v>
      </c>
      <c r="AQ17" t="s">
        <v>45</v>
      </c>
      <c r="AR17" t="s">
        <v>157</v>
      </c>
      <c r="AS17" t="s">
        <v>158</v>
      </c>
      <c r="AT17">
        <v>0.3</v>
      </c>
      <c r="AU17" s="2" t="s">
        <v>4</v>
      </c>
      <c r="AV17" s="3" t="s">
        <v>4</v>
      </c>
      <c r="AW17" t="s">
        <v>4</v>
      </c>
      <c r="AX17" s="2" t="s">
        <v>4</v>
      </c>
      <c r="AY17" s="3" t="s">
        <v>4</v>
      </c>
      <c r="AZ17" t="s">
        <v>4</v>
      </c>
      <c r="BA17" s="2" t="str">
        <f>HYPERLINK("http://exon.niaid.nih.gov/transcriptome/An_funestus_sialome/Sup_tab2/links/PFAM\AF-27-PFAM.txt","PBP_GOBP")</f>
        <v>PBP_GOBP</v>
      </c>
      <c r="BB17" s="3" t="str">
        <f>HYPERLINK("http://pfam.wustl.edu/cgi-bin/getdesc?acc=PF01395","2E-008")</f>
        <v>2E-008</v>
      </c>
      <c r="BC17" s="2" t="str">
        <f>HYPERLINK("http://exon.niaid.nih.gov/transcriptome/An_funestus_sialome/Sup_tab2/links/SMART\AF-27-SMART.txt","PhBP")</f>
        <v>PhBP</v>
      </c>
      <c r="BD17" s="3" t="str">
        <f>HYPERLINK("http://smart.embl-heidelberg.de/smart/do_annotation.pl?DOMAIN=PhBP&amp;BLAST=DUMMY","2E-005")</f>
        <v>2E-005</v>
      </c>
    </row>
    <row r="18" spans="1:56" s="34" customFormat="1" ht="11.25">
      <c r="A18" s="33" t="s">
        <v>443</v>
      </c>
      <c r="C18" s="35"/>
      <c r="E18" s="36"/>
      <c r="K18" s="36"/>
      <c r="L18" s="37"/>
      <c r="M18" s="37"/>
      <c r="N18" s="37"/>
      <c r="O18" s="38"/>
      <c r="P18" s="39"/>
      <c r="W18" s="38"/>
      <c r="X18" s="39"/>
      <c r="AA18" s="38"/>
      <c r="AB18" s="40"/>
      <c r="AF18" s="38"/>
      <c r="AH18" s="38"/>
      <c r="AI18" s="41"/>
      <c r="AN18" s="38"/>
      <c r="AO18" s="39"/>
      <c r="AU18" s="38"/>
      <c r="AV18" s="39"/>
      <c r="AX18" s="38"/>
      <c r="AY18" s="39"/>
      <c r="BA18" s="38"/>
      <c r="BB18" s="39"/>
      <c r="BC18" s="38"/>
      <c r="BD18" s="39"/>
    </row>
    <row r="19" spans="1:56" ht="11.25">
      <c r="A19" t="str">
        <f>HYPERLINK("http://exon.niaid.nih.gov/transcriptome/An_funestus_sialome/Sup_tab2/links/AFC-383-pep.txt","AFC-383")</f>
        <v>AFC-383</v>
      </c>
      <c r="B19" s="4" t="s">
        <v>3</v>
      </c>
      <c r="C19" s="4">
        <v>106</v>
      </c>
      <c r="D19" t="str">
        <f>HYPERLINK("http://exon.niaid.nih.gov/transcriptome/An_funestus_sialome/Sup_tab2/links/AFC-383-cds.txt","AFC-383")</f>
        <v>AFC-383</v>
      </c>
      <c r="E19" s="22" t="str">
        <f>HYPERLINK("http://exon.niaid.nih.gov/transcriptome/An_funestus_sialome/Sup_tab2/links/AFC-383-SigP.txt","SIG")</f>
        <v>SIG</v>
      </c>
      <c r="F19" t="s">
        <v>418</v>
      </c>
      <c r="G19">
        <v>11.458</v>
      </c>
      <c r="H19">
        <v>5.61</v>
      </c>
      <c r="I19">
        <v>9.311</v>
      </c>
      <c r="J19">
        <v>5.04</v>
      </c>
      <c r="K19" s="22" t="str">
        <f>HYPERLINK("http://exon.niaid.nih.gov/transcriptome/An_funestus_sialome/Sup_tab2/links/AFC-383-netoglyc.txt","0")</f>
        <v>0</v>
      </c>
      <c r="L19" s="7">
        <v>0</v>
      </c>
      <c r="M19" s="7">
        <v>14.15094</v>
      </c>
      <c r="N19" s="7">
        <v>8.490566</v>
      </c>
      <c r="O19" s="2" t="str">
        <f>HYPERLINK("http://exon.niaid.nih.gov/transcriptome/An_funestus_sialome/Sup_tab2/links/AGFRAG\AFC-383-AGFRAG.txt","2L_Piece#1291")</f>
        <v>2L_Piece#1291</v>
      </c>
      <c r="P19" s="3">
        <v>2E-46</v>
      </c>
      <c r="Q19">
        <v>86</v>
      </c>
      <c r="R19">
        <v>94</v>
      </c>
      <c r="S19">
        <v>23603</v>
      </c>
      <c r="T19" s="4" t="str">
        <f>HYPERLINK("http://www.ensembl.org/Anopheles_gambiae/contigview?chr=2L&amp;region=&amp;start=32268603&amp;end=32278604","2L")</f>
        <v>2L</v>
      </c>
      <c r="U19">
        <v>32273603</v>
      </c>
      <c r="V19">
        <v>32273604</v>
      </c>
      <c r="W19" s="2" t="str">
        <f>HYPERLINK("http://exon.niaid.nih.gov/transcriptome/An_funestus_sialome/Sup_tab2/links/AGPROT\AFC-383-AGPROT.txt","ENSANGP00000026278")</f>
        <v>ENSANGP00000026278</v>
      </c>
      <c r="X19" s="3" t="str">
        <f>HYPERLINK("http://www.ensembl.org/Anopheles_gambiae/protview?peptide=ENSANGP00000026278","6E-042")</f>
        <v>6E-042</v>
      </c>
      <c r="Y19">
        <v>93</v>
      </c>
      <c r="Z19">
        <v>83</v>
      </c>
      <c r="AA19" s="2" t="str">
        <f>HYPERLINK("http://exon.niaid.nih.gov/transcriptome/An_funestus_sialome/Sup_tab2/links/AGTB2\AFC-383-AGTB2.txt","putative secreted salivary peptide of unknown function          25   0.028")</f>
        <v>putative secreted salivary peptide of unknown function          25   0.028</v>
      </c>
      <c r="AB19" s="8">
        <v>0.028</v>
      </c>
      <c r="AC19" t="s">
        <v>306</v>
      </c>
      <c r="AD19">
        <v>42</v>
      </c>
      <c r="AE19">
        <v>31</v>
      </c>
      <c r="AF19" s="5" t="s">
        <v>371</v>
      </c>
      <c r="AG19" t="s">
        <v>372</v>
      </c>
      <c r="AH19" s="2" t="str">
        <f>HYPERLINK("http://exon.niaid.nih.gov/transcriptome/An_funestus_sialome/Sup_tab2/links/NR\AFC-383-NR.txt","probable GGY family antimicrobial pep")</f>
        <v>probable GGY family antimicrobial pep</v>
      </c>
      <c r="AI19" s="6" t="str">
        <f>HYPERLINK("http://www.ncbi.nlm.nih.gov/sutils/blink.cgi?pid=94469250","3E-041")</f>
        <v>3E-041</v>
      </c>
      <c r="AJ19" t="s">
        <v>307</v>
      </c>
      <c r="AK19">
        <v>76</v>
      </c>
      <c r="AL19">
        <v>104</v>
      </c>
      <c r="AM19" t="s">
        <v>308</v>
      </c>
      <c r="AN19" s="2" t="s">
        <v>309</v>
      </c>
      <c r="AO19" s="3">
        <f>HYPERLINK("http://exon.niaid.nih.gov/transcriptome/An_funestus_sialome/Sup_tab2/links/GO\AFC-383-GO.txt",0.0006)</f>
        <v>0</v>
      </c>
      <c r="AP19" t="s">
        <v>310</v>
      </c>
      <c r="AQ19" t="s">
        <v>45</v>
      </c>
      <c r="AR19" t="s">
        <v>46</v>
      </c>
      <c r="AS19" t="s">
        <v>311</v>
      </c>
      <c r="AT19">
        <v>0.002</v>
      </c>
      <c r="AU19" s="2" t="str">
        <f>HYPERLINK("http://exon.niaid.nih.gov/transcriptome/An_funestus_sialome/Sup_tab2/links/KOG\AFC-383-KOG.txt","Heterogeneous nuclear ribonucleoprotein R (RRM superfamily)")</f>
        <v>Heterogeneous nuclear ribonucleoprotein R (RRM superfamily)</v>
      </c>
      <c r="AV19" s="3" t="str">
        <f>HYPERLINK("http://www.ncbi.nlm.nih.gov/COG/new/shokog.cgi?KOG0117","0.027")</f>
        <v>0.027</v>
      </c>
      <c r="AW19" t="s">
        <v>312</v>
      </c>
      <c r="AX19" s="2" t="str">
        <f>HYPERLINK("http://exon.niaid.nih.gov/transcriptome/An_funestus_sialome/Sup_tab2/links/CDD\AFC-383-CDD.txt","Hydrophobin")</f>
        <v>Hydrophobin</v>
      </c>
      <c r="AY19" s="3" t="str">
        <f>HYPERLINK("http://www.ncbi.nlm.nih.gov/Structure/cdd/cddsrv.cgi?uid=pfam01185&amp;version=v4.0","0.27")</f>
        <v>0.27</v>
      </c>
      <c r="AZ19" t="s">
        <v>313</v>
      </c>
      <c r="BA19" s="2" t="str">
        <f>HYPERLINK("http://exon.niaid.nih.gov/transcriptome/An_funestus_sialome/Sup_tab2/links/PFAM\AFC-383-PFAM.txt","Hydrophobin")</f>
        <v>Hydrophobin</v>
      </c>
      <c r="BB19" s="3" t="str">
        <f>HYPERLINK("http://pfam.wustl.edu/cgi-bin/getdesc?acc=PF01185","0.14")</f>
        <v>0.14</v>
      </c>
      <c r="BC19" s="2" t="s">
        <v>4</v>
      </c>
      <c r="BD19" s="3" t="s">
        <v>4</v>
      </c>
    </row>
    <row r="20" spans="1:56" ht="12" thickBot="1">
      <c r="A20" t="str">
        <f>HYPERLINK("http://exon.niaid.nih.gov/transcriptome/An_funestus_sialome/Sup_tab2/links/AFC-151-pep.txt","AFC-151")</f>
        <v>AFC-151</v>
      </c>
      <c r="B20" s="4" t="s">
        <v>3</v>
      </c>
      <c r="C20" s="4">
        <v>128</v>
      </c>
      <c r="D20" t="str">
        <f>HYPERLINK("http://exon.niaid.nih.gov/transcriptome/An_funestus_sialome/Sup_tab2/links/AFC-151-cds.txt","AFC-151")</f>
        <v>AFC-151</v>
      </c>
      <c r="E20" s="22" t="str">
        <f>HYPERLINK("http://exon.niaid.nih.gov/transcriptome/An_funestus_sialome/Sup_tab2/links/AFC-151-SigP.txt","SIG")</f>
        <v>SIG</v>
      </c>
      <c r="F20" t="s">
        <v>432</v>
      </c>
      <c r="G20">
        <v>13.584</v>
      </c>
      <c r="H20">
        <v>8.76</v>
      </c>
      <c r="I20">
        <v>11.999</v>
      </c>
      <c r="J20">
        <v>8.13</v>
      </c>
      <c r="K20" s="22" t="str">
        <f>HYPERLINK("http://exon.niaid.nih.gov/transcriptome/An_funestus_sialome/Sup_tab2/links/AFC-151-netoglyc.txt","8")</f>
        <v>8</v>
      </c>
      <c r="L20" s="7">
        <v>6.25</v>
      </c>
      <c r="M20" s="7">
        <v>1.5625</v>
      </c>
      <c r="N20" s="7">
        <v>8.59375</v>
      </c>
      <c r="O20" s="2" t="str">
        <f>HYPERLINK("http://exon.niaid.nih.gov/transcriptome/An_funestus_sialome/Sup_tab2/links/AGFRAG\AFC-151-AGFRAG.txt","2L_Piece#1064")</f>
        <v>2L_Piece#1064</v>
      </c>
      <c r="P20" s="3">
        <v>3E-62</v>
      </c>
      <c r="Q20">
        <v>124</v>
      </c>
      <c r="R20">
        <v>96</v>
      </c>
      <c r="S20">
        <v>14397</v>
      </c>
      <c r="T20" s="4" t="str">
        <f>HYPERLINK("http://www.ensembl.org/Anopheles_gambiae/contigview?chr=2L&amp;region=&amp;start=26584397&amp;end=26594578","2L")</f>
        <v>2L</v>
      </c>
      <c r="U20">
        <v>26589397</v>
      </c>
      <c r="V20">
        <v>26589578</v>
      </c>
      <c r="W20" s="2" t="str">
        <f>HYPERLINK("http://exon.niaid.nih.gov/transcriptome/An_funestus_sialome/Sup_tab2/links/AGPROT\AFC-151-AGPROT.txt","ENSANGP00000017701")</f>
        <v>ENSANGP00000017701</v>
      </c>
      <c r="X20" s="3" t="str">
        <f>HYPERLINK("http://www.ensembl.org/Anopheles_gambiae/protview?peptide=ENSANGP00000017701","3E-032")</f>
        <v>3E-032</v>
      </c>
      <c r="Y20">
        <v>61</v>
      </c>
      <c r="Z20">
        <v>71</v>
      </c>
      <c r="AA20" s="2" t="str">
        <f>HYPERLINK("http://exon.niaid.nih.gov/transcriptome/An_funestus_sialome/Sup_tab2/links/AGTB2\AFC-151-AGTB2.txt","putative secreted salivary protein similar to drosophila")</f>
        <v>putative secreted salivary protein similar to drosophila</v>
      </c>
      <c r="AB20" s="8">
        <v>9E-68</v>
      </c>
      <c r="AC20" t="s">
        <v>290</v>
      </c>
      <c r="AD20">
        <v>96</v>
      </c>
      <c r="AE20">
        <v>100</v>
      </c>
      <c r="AF20" s="5" t="s">
        <v>339</v>
      </c>
      <c r="AG20" t="s">
        <v>340</v>
      </c>
      <c r="AH20" s="2" t="str">
        <f>HYPERLINK("http://exon.niaid.nih.gov/transcriptome/An_funestus_sialome/Sup_tab2/links/NR\AFC-151-NR.txt","ENSANGP00000017701 [Anopheles gambiae")</f>
        <v>ENSANGP00000017701 [Anopheles gambiae</v>
      </c>
      <c r="AI20" s="6" t="str">
        <f>HYPERLINK("http://www.ncbi.nlm.nih.gov/sutils/blink.cgi?pid=55238963","4E-030")</f>
        <v>4E-030</v>
      </c>
      <c r="AJ20" t="s">
        <v>291</v>
      </c>
      <c r="AK20">
        <v>61</v>
      </c>
      <c r="AL20">
        <v>71</v>
      </c>
      <c r="AM20" t="s">
        <v>59</v>
      </c>
      <c r="AN20" s="2" t="s">
        <v>292</v>
      </c>
      <c r="AO20" s="3">
        <f>HYPERLINK("http://exon.niaid.nih.gov/transcriptome/An_funestus_sialome/Sup_tab2/links/GO\AFC-151-GO.txt",0.0001)</f>
        <v>0</v>
      </c>
      <c r="AP20" t="s">
        <v>293</v>
      </c>
      <c r="AQ20" t="s">
        <v>82</v>
      </c>
      <c r="AR20" t="s">
        <v>294</v>
      </c>
      <c r="AS20" t="s">
        <v>295</v>
      </c>
      <c r="AT20">
        <v>0.0001</v>
      </c>
      <c r="AU20" s="2" t="s">
        <v>4</v>
      </c>
      <c r="AV20" s="3" t="s">
        <v>4</v>
      </c>
      <c r="AW20" t="s">
        <v>4</v>
      </c>
      <c r="AX20" s="2" t="s">
        <v>4</v>
      </c>
      <c r="AY20" s="3" t="s">
        <v>4</v>
      </c>
      <c r="AZ20" t="s">
        <v>4</v>
      </c>
      <c r="BA20" s="2" t="str">
        <f>HYPERLINK("http://exon.niaid.nih.gov/transcriptome/An_funestus_sialome/Sup_tab2/links/PFAM\AFC-151-PFAM.txt","Retinin_C")</f>
        <v>Retinin_C</v>
      </c>
      <c r="BB20" s="3" t="str">
        <f>HYPERLINK("http://pfam.wustl.edu/cgi-bin/getdesc?acc=PF04527","4E-005")</f>
        <v>4E-005</v>
      </c>
      <c r="BC20" s="2" t="s">
        <v>4</v>
      </c>
      <c r="BD20" s="3" t="s">
        <v>4</v>
      </c>
    </row>
    <row r="21" spans="1:56" s="26" customFormat="1" ht="11.25" customHeight="1">
      <c r="A21" s="25" t="s">
        <v>440</v>
      </c>
      <c r="C21" s="27"/>
      <c r="E21" s="28"/>
      <c r="K21" s="28"/>
      <c r="L21" s="29"/>
      <c r="M21" s="29"/>
      <c r="N21" s="29"/>
      <c r="P21" s="30"/>
      <c r="X21" s="30"/>
      <c r="AB21" s="31"/>
      <c r="AI21" s="32"/>
      <c r="AO21" s="30"/>
      <c r="AV21" s="30"/>
      <c r="AY21" s="30"/>
      <c r="BB21" s="30"/>
      <c r="BD21" s="30"/>
    </row>
    <row r="22" spans="1:56" s="34" customFormat="1" ht="11.25">
      <c r="A22" s="33" t="s">
        <v>410</v>
      </c>
      <c r="C22" s="35"/>
      <c r="E22" s="36"/>
      <c r="K22" s="36"/>
      <c r="L22" s="37"/>
      <c r="M22" s="37"/>
      <c r="N22" s="37"/>
      <c r="O22" s="38"/>
      <c r="P22" s="39"/>
      <c r="W22" s="38"/>
      <c r="X22" s="39"/>
      <c r="AA22" s="38"/>
      <c r="AB22" s="40"/>
      <c r="AF22" s="38"/>
      <c r="AH22" s="38"/>
      <c r="AI22" s="41"/>
      <c r="AN22" s="38"/>
      <c r="AO22" s="39"/>
      <c r="AU22" s="38"/>
      <c r="AV22" s="39"/>
      <c r="AX22" s="38"/>
      <c r="AY22" s="39"/>
      <c r="BA22" s="38"/>
      <c r="BB22" s="39"/>
      <c r="BC22" s="38"/>
      <c r="BD22" s="39"/>
    </row>
    <row r="23" spans="1:56" ht="11.25">
      <c r="A23" t="str">
        <f>HYPERLINK("http://exon.niaid.nih.gov/transcriptome/An_funestus_sialome/Sup_tab2/links/AF-2-pep.txt","AF-2")</f>
        <v>AF-2</v>
      </c>
      <c r="B23" s="4" t="s">
        <v>3</v>
      </c>
      <c r="C23" s="4">
        <v>257</v>
      </c>
      <c r="D23" t="str">
        <f>HYPERLINK("http://exon.niaid.nih.gov/transcriptome/An_funestus_sialome/Sup_tab2/links/AF-2-cds.txt","AF-2")</f>
        <v>AF-2</v>
      </c>
      <c r="E23" s="22" t="str">
        <f>HYPERLINK("http://exon.niaid.nih.gov/transcriptome/An_funestus_sialome/Sup_tab2/links/AF-2-SigP.txt","SIG")</f>
        <v>SIG</v>
      </c>
      <c r="F23" t="s">
        <v>421</v>
      </c>
      <c r="G23">
        <v>27.681</v>
      </c>
      <c r="H23">
        <v>4.11</v>
      </c>
      <c r="I23">
        <v>25.754</v>
      </c>
      <c r="J23">
        <v>4.09</v>
      </c>
      <c r="K23" s="22" t="str">
        <f>HYPERLINK("http://exon.niaid.nih.gov/transcriptome/An_funestus_sialome/Sup_tab2/links/AF-2-netoglyc.txt","22")</f>
        <v>22</v>
      </c>
      <c r="L23" s="7">
        <v>8.560311</v>
      </c>
      <c r="M23" s="7">
        <v>8.949416</v>
      </c>
      <c r="N23" s="7">
        <v>2.33463</v>
      </c>
      <c r="O23" s="2" t="str">
        <f>HYPERLINK("http://exon.niaid.nih.gov/transcriptome/An_funestus_sialome/Sup_tab2/links/AGFRAG\AF-2-AGFRAG.txt","3R_Piece#1907")</f>
        <v>3R_Piece#1907</v>
      </c>
      <c r="P23" s="3">
        <v>8E-73</v>
      </c>
      <c r="Q23">
        <v>147</v>
      </c>
      <c r="R23">
        <v>68</v>
      </c>
      <c r="S23">
        <v>17586</v>
      </c>
      <c r="T23" s="4" t="str">
        <f>HYPERLINK("http://www.ensembl.org/Anopheles_gambiae/contigview?chr=3R&amp;region=&amp;start=47662586&amp;end=47672767","3R")</f>
        <v>3R</v>
      </c>
      <c r="U23">
        <v>47667586</v>
      </c>
      <c r="V23">
        <v>47667767</v>
      </c>
      <c r="W23" s="2" t="str">
        <f>HYPERLINK("http://exon.niaid.nih.gov/transcriptome/An_funestus_sialome/Sup_tab2/links/AGPROT\AF-2-AGPROT.txt","ENSANGP00000028522")</f>
        <v>ENSANGP00000028522</v>
      </c>
      <c r="X23" s="3" t="str">
        <f>HYPERLINK("http://www.ensembl.org/Anopheles_gambiae/protview?peptide=ENSANGP00000028522","2E-085")</f>
        <v>2E-085</v>
      </c>
      <c r="Y23">
        <v>63</v>
      </c>
      <c r="Z23">
        <v>104</v>
      </c>
      <c r="AA23" s="2" t="str">
        <f>HYPERLINK("http://exon.niaid.nih.gov/transcriptome/An_funestus_sialome/Sup_tab2/links/AGTB2\AF-2-AGTB2.txt","member of the 30 kDag salivary antigen family                  310   8e-088")</f>
        <v>member of the 30 kDag salivary antigen family                  310   8e-088</v>
      </c>
      <c r="AB23" s="8">
        <v>8E-88</v>
      </c>
      <c r="AC23" t="s">
        <v>98</v>
      </c>
      <c r="AD23">
        <v>63</v>
      </c>
      <c r="AE23">
        <v>104</v>
      </c>
      <c r="AF23" s="5" t="s">
        <v>334</v>
      </c>
      <c r="AG23" t="s">
        <v>324</v>
      </c>
      <c r="AH23" s="2" t="str">
        <f>HYPERLINK("http://exon.niaid.nih.gov/transcriptome/An_funestus_sialome/Sup_tab2/links/NR\AF-2-NR.txt","anti-platelet aggregation protein [A")</f>
        <v>anti-platelet aggregation protein [A</v>
      </c>
      <c r="AI23" s="6" t="str">
        <f>HYPERLINK("http://www.ncbi.nlm.nih.gov/sutils/blink.cgi?pid=83016745","4E-084")</f>
        <v>4E-084</v>
      </c>
      <c r="AJ23" t="s">
        <v>110</v>
      </c>
      <c r="AK23">
        <v>63</v>
      </c>
      <c r="AL23">
        <v>102</v>
      </c>
      <c r="AM23" t="s">
        <v>34</v>
      </c>
      <c r="AN23" s="2" t="s">
        <v>111</v>
      </c>
      <c r="AO23" s="3">
        <f>HYPERLINK("http://exon.niaid.nih.gov/transcriptome/An_funestus_sialome/Sup_tab2/links/GO\AF-2-GO.txt",0.000000002)</f>
        <v>0</v>
      </c>
      <c r="AP23" t="s">
        <v>112</v>
      </c>
      <c r="AQ23" t="s">
        <v>113</v>
      </c>
      <c r="AR23" t="s">
        <v>114</v>
      </c>
      <c r="AS23" t="s">
        <v>115</v>
      </c>
      <c r="AT23">
        <v>2E-09</v>
      </c>
      <c r="AU23" s="2" t="str">
        <f>HYPERLINK("http://exon.niaid.nih.gov/transcriptome/An_funestus_sialome/Sup_tab2/links/KOG\AF-2-KOG.txt","HIV-1 Vpr-binding protein")</f>
        <v>HIV-1 Vpr-binding protein</v>
      </c>
      <c r="AV23" s="3" t="str">
        <f>HYPERLINK("http://www.ncbi.nlm.nih.gov/COG/new/shokog.cgi?KOG1832","2E-005")</f>
        <v>2E-005</v>
      </c>
      <c r="AW23" t="s">
        <v>116</v>
      </c>
      <c r="AX23" s="2" t="str">
        <f>HYPERLINK("http://exon.niaid.nih.gov/transcriptome/An_funestus_sialome/Sup_tab2/links/CDD\AF-2-CDD.txt","CobT")</f>
        <v>CobT</v>
      </c>
      <c r="AY23" s="3" t="str">
        <f>HYPERLINK("http://www.ncbi.nlm.nih.gov/Structure/cdd/cddsrv.cgi?uid=pfam06213&amp;version=v4.0","5E-006")</f>
        <v>5E-006</v>
      </c>
      <c r="AZ23" t="s">
        <v>117</v>
      </c>
      <c r="BA23" s="2" t="str">
        <f>HYPERLINK("http://exon.niaid.nih.gov/transcriptome/An_funestus_sialome/Sup_tab2/links/PFAM\AF-2-PFAM.txt","CobT")</f>
        <v>CobT</v>
      </c>
      <c r="BB23" s="3" t="str">
        <f>HYPERLINK("http://pfam.wustl.edu/cgi-bin/getdesc?acc=PF06213","2E-006")</f>
        <v>2E-006</v>
      </c>
      <c r="BC23" s="2" t="s">
        <v>4</v>
      </c>
      <c r="BD23" s="3" t="s">
        <v>4</v>
      </c>
    </row>
    <row r="24" spans="1:56" s="34" customFormat="1" ht="11.25">
      <c r="A24" s="33" t="s">
        <v>414</v>
      </c>
      <c r="C24" s="35"/>
      <c r="E24" s="36"/>
      <c r="K24" s="36"/>
      <c r="L24" s="37"/>
      <c r="M24" s="37"/>
      <c r="N24" s="37"/>
      <c r="O24" s="38"/>
      <c r="P24" s="39"/>
      <c r="W24" s="38"/>
      <c r="X24" s="39"/>
      <c r="AA24" s="38"/>
      <c r="AB24" s="40"/>
      <c r="AF24" s="38"/>
      <c r="AH24" s="38"/>
      <c r="AI24" s="41"/>
      <c r="AN24" s="38"/>
      <c r="AO24" s="39"/>
      <c r="AU24" s="38"/>
      <c r="AV24" s="39"/>
      <c r="AX24" s="38"/>
      <c r="AY24" s="39"/>
      <c r="BA24" s="38"/>
      <c r="BB24" s="39"/>
      <c r="BC24" s="38"/>
      <c r="BD24" s="39"/>
    </row>
    <row r="25" spans="1:56" ht="11.25">
      <c r="A25" t="str">
        <f>HYPERLINK("http://exon.niaid.nih.gov/transcriptome/An_funestus_sialome/Sup_tab2/links/AFC-347-pep.txt","AFC-347")</f>
        <v>AFC-347</v>
      </c>
      <c r="B25" s="4" t="s">
        <v>9</v>
      </c>
      <c r="C25" s="4">
        <v>190</v>
      </c>
      <c r="D25" t="str">
        <f>HYPERLINK("http://exon.niaid.nih.gov/transcriptome/An_funestus_sialome/Sup_tab2/links/AFC-347-cds.txt","AFC-347")</f>
        <v>AFC-347</v>
      </c>
      <c r="F25" t="s">
        <v>4</v>
      </c>
      <c r="G25">
        <v>20.506</v>
      </c>
      <c r="H25">
        <v>8.34</v>
      </c>
      <c r="K25" s="22" t="str">
        <f>HYPERLINK("http://exon.niaid.nih.gov/transcriptome/An_funestus_sialome/Sup_tab2/links/AFC-347-netoglyc.txt","20")</f>
        <v>20</v>
      </c>
      <c r="L25" s="7">
        <v>10.52632</v>
      </c>
      <c r="M25" s="7">
        <v>5.263158</v>
      </c>
      <c r="N25" s="7">
        <v>5.263158</v>
      </c>
      <c r="O25" s="2" t="str">
        <f>HYPERLINK("http://exon.niaid.nih.gov/transcriptome/An_funestus_sialome/Sup_tab2/links/AGFRAG\AFC-347-AGFRAG.txt","2R_Piece#1848")</f>
        <v>2R_Piece#1848</v>
      </c>
      <c r="P25" s="3">
        <v>2E-64</v>
      </c>
      <c r="Q25">
        <v>219</v>
      </c>
      <c r="R25">
        <v>64</v>
      </c>
      <c r="S25">
        <v>13766</v>
      </c>
      <c r="T25" s="4" t="str">
        <f>HYPERLINK("http://www.ensembl.org/Anopheles_gambiae/contigview?chr=2R&amp;region=&amp;start=46183766&amp;end=46194413","2R")</f>
        <v>2R</v>
      </c>
      <c r="U25">
        <v>46188766</v>
      </c>
      <c r="V25">
        <v>46189413</v>
      </c>
      <c r="W25" s="2" t="str">
        <f>HYPERLINK("http://exon.niaid.nih.gov/transcriptome/An_funestus_sialome/Sup_tab2/links/AGPROT\AFC-347-AGPROT.txt","ENSANGP00000018919")</f>
        <v>ENSANGP00000018919</v>
      </c>
      <c r="X25" s="3" t="str">
        <f>HYPERLINK("http://www.ensembl.org/Anopheles_gambiae/protview?peptide=ENSANGP00000018919","1E-069")</f>
        <v>1E-069</v>
      </c>
      <c r="Y25">
        <v>72</v>
      </c>
      <c r="Z25">
        <v>100</v>
      </c>
      <c r="AA25" s="2" t="str">
        <f>HYPERLINK("http://exon.niaid.nih.gov/transcriptome/An_funestus_sialome/Sup_tab2/links/AGTB2\AFC-347-AGTB2.txt","salivary mucin                                                  258   4e-072")</f>
        <v>salivary mucin                                                  258   4e-072</v>
      </c>
      <c r="AB25" s="8">
        <v>4E-72</v>
      </c>
      <c r="AC25" t="s">
        <v>300</v>
      </c>
      <c r="AD25">
        <v>72</v>
      </c>
      <c r="AE25">
        <v>100</v>
      </c>
      <c r="AF25" s="5" t="s">
        <v>337</v>
      </c>
      <c r="AG25" t="s">
        <v>327</v>
      </c>
      <c r="AH25" s="2" t="str">
        <f>HYPERLINK("http://exon.niaid.nih.gov/transcriptome/An_funestus_sialome/Sup_tab2/links/NR\AFC-347-NR.txt","ENSANGP00000018919 [Anopheles gambiae")</f>
        <v>ENSANGP00000018919 [Anopheles gambiae</v>
      </c>
      <c r="AI25" s="6" t="str">
        <f>HYPERLINK("http://www.ncbi.nlm.nih.gov/sutils/blink.cgi?pid=30178168","1E-067")</f>
        <v>1E-067</v>
      </c>
      <c r="AJ25" t="s">
        <v>301</v>
      </c>
      <c r="AK25">
        <v>72</v>
      </c>
      <c r="AL25">
        <v>100</v>
      </c>
      <c r="AM25" t="s">
        <v>120</v>
      </c>
      <c r="AN25" s="2" t="s">
        <v>302</v>
      </c>
      <c r="AO25" s="3">
        <f>HYPERLINK("http://exon.niaid.nih.gov/transcriptome/An_funestus_sialome/Sup_tab2/links/GO\AFC-347-GO.txt",0.0001)</f>
        <v>0</v>
      </c>
      <c r="AP25" t="s">
        <v>303</v>
      </c>
      <c r="AQ25" t="s">
        <v>37</v>
      </c>
      <c r="AR25" t="s">
        <v>304</v>
      </c>
      <c r="AS25" t="s">
        <v>305</v>
      </c>
      <c r="AT25">
        <v>0.0001</v>
      </c>
      <c r="AU25" s="2" t="s">
        <v>4</v>
      </c>
      <c r="AV25" s="3" t="s">
        <v>4</v>
      </c>
      <c r="AW25" t="s">
        <v>4</v>
      </c>
      <c r="AX25" s="2" t="s">
        <v>4</v>
      </c>
      <c r="AY25" s="3" t="s">
        <v>4</v>
      </c>
      <c r="AZ25" t="s">
        <v>4</v>
      </c>
      <c r="BA25" s="2" t="str">
        <f>HYPERLINK("http://exon.niaid.nih.gov/transcriptome/An_funestus_sialome/Sup_tab2/links/PFAM\AFC-347-PFAM.txt","SSP160")</f>
        <v>SSP160</v>
      </c>
      <c r="BB25" s="3" t="str">
        <f>HYPERLINK("http://pfam.wustl.edu/cgi-bin/getdesc?acc=PF06933","0.54")</f>
        <v>0.54</v>
      </c>
      <c r="BC25" s="2" t="s">
        <v>4</v>
      </c>
      <c r="BD25" s="3" t="s">
        <v>4</v>
      </c>
    </row>
    <row r="26" spans="1:56" ht="11.25">
      <c r="A26" t="str">
        <f>HYPERLINK("http://exon.niaid.nih.gov/transcriptome/An_funestus_sialome/Sup_tab2/links/AF-46-pep.txt","AF-46")</f>
        <v>AF-46</v>
      </c>
      <c r="B26" s="4" t="s">
        <v>3</v>
      </c>
      <c r="C26" s="4">
        <v>151</v>
      </c>
      <c r="D26" t="str">
        <f>HYPERLINK("http://exon.niaid.nih.gov/transcriptome/An_funestus_sialome/Sup_tab2/links/AF-46-cds.txt","AF-46")</f>
        <v>AF-46</v>
      </c>
      <c r="E26" s="22" t="str">
        <f>HYPERLINK("http://exon.niaid.nih.gov/transcriptome/An_funestus_sialome/Sup_tab2/links/AF-46-SigP.txt","SIG")</f>
        <v>SIG</v>
      </c>
      <c r="F26" t="s">
        <v>423</v>
      </c>
      <c r="G26">
        <v>15.594</v>
      </c>
      <c r="H26">
        <v>5.73</v>
      </c>
      <c r="I26">
        <v>13.082</v>
      </c>
      <c r="J26">
        <v>4.73</v>
      </c>
      <c r="K26" s="22" t="str">
        <f>HYPERLINK("http://exon.niaid.nih.gov/transcriptome/An_funestus_sialome/Sup_tab2/links/AF-46-netoglyc.txt","53")</f>
        <v>53</v>
      </c>
      <c r="L26" s="7">
        <v>35.09934</v>
      </c>
      <c r="M26" s="7">
        <v>3.311258</v>
      </c>
      <c r="N26" s="7">
        <v>0.6622517</v>
      </c>
      <c r="O26" s="2" t="str">
        <f>HYPERLINK("http://exon.niaid.nih.gov/transcriptome/An_funestus_sialome/Sup_tab2/links/AGFRAG\AF-46-AGFRAG.txt","2R_Piece#1076")</f>
        <v>2R_Piece#1076</v>
      </c>
      <c r="P26" s="3">
        <v>4E-35</v>
      </c>
      <c r="Q26">
        <v>149</v>
      </c>
      <c r="R26">
        <v>59</v>
      </c>
      <c r="S26">
        <v>22107</v>
      </c>
      <c r="T26" s="4" t="str">
        <f>HYPERLINK("http://www.ensembl.org/Anopheles_gambiae/contigview?chr=2R&amp;region=&amp;start=26892107&amp;end=26902553","2R")</f>
        <v>2R</v>
      </c>
      <c r="U26">
        <v>26897107</v>
      </c>
      <c r="V26">
        <v>26897553</v>
      </c>
      <c r="W26" s="2" t="str">
        <f>HYPERLINK("http://exon.niaid.nih.gov/transcriptome/An_funestus_sialome/Sup_tab2/links/AGPROT\AF-46-AGPROT.txt","ENSANGP00000022154")</f>
        <v>ENSANGP00000022154</v>
      </c>
      <c r="X26" s="3" t="str">
        <f>HYPERLINK("http://www.ensembl.org/Anopheles_gambiae/protview?peptide=ENSANGP00000022154","4E-039")</f>
        <v>4E-039</v>
      </c>
      <c r="Y26">
        <v>56</v>
      </c>
      <c r="Z26">
        <v>97</v>
      </c>
      <c r="AA26" s="2" t="str">
        <f>HYPERLINK("http://exon.niaid.nih.gov/transcriptome/An_funestus_sialome/Sup_tab2/links/AGTB2\AF-46-AGTB2.txt","protein - 60 glycosylation sites                           150   7e-040")</f>
        <v>protein - 60 glycosylation sites                           150   7e-040</v>
      </c>
      <c r="AB26" s="8">
        <v>7E-40</v>
      </c>
      <c r="AC26" t="s">
        <v>227</v>
      </c>
      <c r="AD26">
        <v>56</v>
      </c>
      <c r="AE26">
        <v>100</v>
      </c>
      <c r="AF26" s="5" t="s">
        <v>354</v>
      </c>
      <c r="AG26" t="s">
        <v>327</v>
      </c>
      <c r="AH26" s="2" t="str">
        <f>HYPERLINK("http://exon.niaid.nih.gov/transcriptome/An_funestus_sialome/Sup_tab2/links/NR\AF-46-NR.txt","putative 13.5 kDa salivary protein [A")</f>
        <v>putative 13.5 kDa salivary protein [A</v>
      </c>
      <c r="AI26" s="6" t="str">
        <f>HYPERLINK("http://www.ncbi.nlm.nih.gov/sutils/blink.cgi?pid=27372923","4E-040")</f>
        <v>4E-040</v>
      </c>
      <c r="AJ26" t="s">
        <v>228</v>
      </c>
      <c r="AK26">
        <v>63</v>
      </c>
      <c r="AL26">
        <v>103</v>
      </c>
      <c r="AM26" t="s">
        <v>34</v>
      </c>
      <c r="AN26" s="2" t="s">
        <v>229</v>
      </c>
      <c r="AO26" s="3">
        <f>HYPERLINK("http://exon.niaid.nih.gov/transcriptome/An_funestus_sialome/Sup_tab2/links/GO\AF-46-GO.txt",0.00000000000001)</f>
        <v>0</v>
      </c>
      <c r="AP26" t="s">
        <v>53</v>
      </c>
      <c r="AQ26" t="s">
        <v>53</v>
      </c>
      <c r="AS26" t="s">
        <v>54</v>
      </c>
      <c r="AT26">
        <v>1E-14</v>
      </c>
      <c r="AU26" s="2" t="str">
        <f>HYPERLINK("http://exon.niaid.nih.gov/transcriptome/An_funestus_sialome/Sup_tab2/links/KOG\AF-46-KOG.txt","MAPK-activating protein DENN")</f>
        <v>MAPK-activating protein DENN</v>
      </c>
      <c r="AV26" s="3" t="str">
        <f>HYPERLINK("http://www.ncbi.nlm.nih.gov/COG/new/shokog.cgi?KOG3570","0.012")</f>
        <v>0.012</v>
      </c>
      <c r="AW26" t="s">
        <v>48</v>
      </c>
      <c r="AX26" s="2" t="str">
        <f>HYPERLINK("http://exon.niaid.nih.gov/transcriptome/An_funestus_sialome/Sup_tab2/links/CDD\AF-46-CDD.txt","COG3889")</f>
        <v>COG3889</v>
      </c>
      <c r="AY26" s="3" t="str">
        <f>HYPERLINK("http://www.ncbi.nlm.nih.gov/Structure/cdd/cddsrv.cgi?uid=COG3889&amp;version=v4.0","3E-004")</f>
        <v>3E-004</v>
      </c>
      <c r="AZ26" t="s">
        <v>230</v>
      </c>
      <c r="BA26" s="2" t="str">
        <f>HYPERLINK("http://exon.niaid.nih.gov/transcriptome/An_funestus_sialome/Sup_tab2/links/PFAM\AF-46-PFAM.txt","Dicty_REP")</f>
        <v>Dicty_REP</v>
      </c>
      <c r="BB26" s="3" t="str">
        <f>HYPERLINK("http://pfam.wustl.edu/cgi-bin/getdesc?acc=PF05086","8E-005")</f>
        <v>8E-005</v>
      </c>
      <c r="BC26" s="2" t="str">
        <f>HYPERLINK("http://exon.niaid.nih.gov/transcriptome/An_funestus_sialome/Sup_tab2/links/SMART\AF-46-SMART.txt","LPD_N")</f>
        <v>LPD_N</v>
      </c>
      <c r="BD26" s="3" t="str">
        <f>HYPERLINK("http://smart.embl-heidelberg.de/smart/do_annotation.pl?DOMAIN=LPD_N&amp;BLAST=DUMMY","0.33")</f>
        <v>0.33</v>
      </c>
    </row>
    <row r="27" spans="1:56" ht="11.25">
      <c r="A27" t="str">
        <f>HYPERLINK("http://exon.niaid.nih.gov/transcriptome/An_funestus_sialome/Sup_tab2/links/AF-6-pep.txt","AF-6")</f>
        <v>AF-6</v>
      </c>
      <c r="B27" s="4" t="s">
        <v>3</v>
      </c>
      <c r="C27" s="4">
        <v>203</v>
      </c>
      <c r="D27" t="str">
        <f>HYPERLINK("http://exon.niaid.nih.gov/transcriptome/An_funestus_sialome/Sup_tab2/links/AF-6-cds.txt","AF-6")</f>
        <v>AF-6</v>
      </c>
      <c r="E27" s="22" t="str">
        <f>HYPERLINK("http://exon.niaid.nih.gov/transcriptome/An_funestus_sialome/Sup_tab2/links/AF-6-SigP.txt","SIG")</f>
        <v>SIG</v>
      </c>
      <c r="F27" t="s">
        <v>419</v>
      </c>
      <c r="G27">
        <v>21.181</v>
      </c>
      <c r="H27">
        <v>4.52</v>
      </c>
      <c r="I27">
        <v>19.416</v>
      </c>
      <c r="J27">
        <v>4.46</v>
      </c>
      <c r="K27" s="22" t="str">
        <f>HYPERLINK("http://exon.niaid.nih.gov/transcriptome/An_funestus_sialome/Sup_tab2/links/AF-6-netoglyc.txt","58")</f>
        <v>58</v>
      </c>
      <c r="L27" s="7">
        <v>28.57143</v>
      </c>
      <c r="M27" s="7">
        <v>4.926108</v>
      </c>
      <c r="N27" s="7">
        <v>11.82266</v>
      </c>
      <c r="O27" s="2" t="str">
        <f>HYPERLINK("http://exon.niaid.nih.gov/transcriptome/An_funestus_sialome/Sup_tab2/links/AGFRAG\AF-6-AGFRAG.txt","2L_Piece#1305")</f>
        <v>2L_Piece#1305</v>
      </c>
      <c r="P27" s="3">
        <v>4E-76</v>
      </c>
      <c r="Q27">
        <v>211</v>
      </c>
      <c r="R27">
        <v>73</v>
      </c>
      <c r="S27">
        <v>3491</v>
      </c>
      <c r="T27" s="4" t="str">
        <f>HYPERLINK("http://www.ensembl.org/Anopheles_gambiae/contigview?chr=2L&amp;region=&amp;start=32598491&amp;end=32609099","2L")</f>
        <v>2L</v>
      </c>
      <c r="U27">
        <v>32603491</v>
      </c>
      <c r="V27">
        <v>32604099</v>
      </c>
      <c r="W27" s="2" t="str">
        <f>HYPERLINK("http://exon.niaid.nih.gov/transcriptome/An_funestus_sialome/Sup_tab2/links/AGPROT\AF-6-AGPROT.txt","ENSANGP00000009988")</f>
        <v>ENSANGP00000009988</v>
      </c>
      <c r="X27" s="3" t="str">
        <f>HYPERLINK("http://www.ensembl.org/Anopheles_gambiae/protview?peptide=ENSANGP00000009988","5E-075")</f>
        <v>5E-075</v>
      </c>
      <c r="Y27">
        <v>75</v>
      </c>
      <c r="Z27">
        <v>104</v>
      </c>
      <c r="AA27" s="2" t="str">
        <f>HYPERLINK("http://exon.niaid.nih.gov/transcriptome/An_funestus_sialome/Sup_tab2/links/AGTB2\AF-6-AGTB2.txt","protein - salivary mucin                                          275   2e-077")</f>
        <v>protein - salivary mucin                                          275   2e-077</v>
      </c>
      <c r="AB27" s="8">
        <v>2E-77</v>
      </c>
      <c r="AC27" t="s">
        <v>240</v>
      </c>
      <c r="AD27">
        <v>75</v>
      </c>
      <c r="AE27">
        <v>104</v>
      </c>
      <c r="AF27" s="5" t="s">
        <v>336</v>
      </c>
      <c r="AG27" t="s">
        <v>327</v>
      </c>
      <c r="AH27" s="2" t="str">
        <f>HYPERLINK("http://exon.niaid.nih.gov/transcriptome/An_funestus_sialome/Sup_tab2/links/NR\AF-6-NR.txt","putative 19.1 kDa salivary protein SG")</f>
        <v>putative 19.1 kDa salivary protein SG</v>
      </c>
      <c r="AI27" s="6" t="str">
        <f>HYPERLINK("http://www.ncbi.nlm.nih.gov/sutils/blink.cgi?pid=27372919","2E-077")</f>
        <v>2E-077</v>
      </c>
      <c r="AJ27" t="s">
        <v>241</v>
      </c>
      <c r="AK27">
        <v>74</v>
      </c>
      <c r="AL27">
        <v>106</v>
      </c>
      <c r="AM27" t="s">
        <v>34</v>
      </c>
      <c r="AN27" s="2" t="s">
        <v>242</v>
      </c>
      <c r="AO27" s="3">
        <f>HYPERLINK("http://exon.niaid.nih.gov/transcriptome/An_funestus_sialome/Sup_tab2/links/GO\AF-6-GO.txt",0.0000000000000000002)</f>
        <v>0</v>
      </c>
      <c r="AP27" t="s">
        <v>53</v>
      </c>
      <c r="AQ27" t="s">
        <v>53</v>
      </c>
      <c r="AS27" t="s">
        <v>54</v>
      </c>
      <c r="AT27" s="1">
        <v>2E-19</v>
      </c>
      <c r="AU27" s="2" t="str">
        <f>HYPERLINK("http://exon.niaid.nih.gov/transcriptome/An_funestus_sialome/Sup_tab2/links/KOG\AF-6-KOG.txt","Chitinase")</f>
        <v>Chitinase</v>
      </c>
      <c r="AV27" s="3" t="str">
        <f>HYPERLINK("http://www.ncbi.nlm.nih.gov/COG/new/shokog.cgi?KOG4701","0.018")</f>
        <v>0.018</v>
      </c>
      <c r="AW27" t="s">
        <v>243</v>
      </c>
      <c r="AX27" s="2" t="str">
        <f>HYPERLINK("http://exon.niaid.nih.gov/transcriptome/An_funestus_sialome/Sup_tab2/links/CDD\AF-6-CDD.txt","COG3889")</f>
        <v>COG3889</v>
      </c>
      <c r="AY27" s="3" t="str">
        <f>HYPERLINK("http://www.ncbi.nlm.nih.gov/Structure/cdd/cddsrv.cgi?uid=COG3889&amp;version=v4.0","1E-004")</f>
        <v>1E-004</v>
      </c>
      <c r="AZ27" t="s">
        <v>244</v>
      </c>
      <c r="BA27" s="2" t="str">
        <f>HYPERLINK("http://exon.niaid.nih.gov/transcriptome/An_funestus_sialome/Sup_tab2/links/PFAM\AF-6-PFAM.txt","SSP160")</f>
        <v>SSP160</v>
      </c>
      <c r="BB27" s="3" t="str">
        <f>HYPERLINK("http://pfam.wustl.edu/cgi-bin/getdesc?acc=PF06933","0.060")</f>
        <v>0.060</v>
      </c>
      <c r="BC27" s="2" t="str">
        <f>HYPERLINK("http://exon.niaid.nih.gov/transcriptome/An_funestus_sialome/Sup_tab2/links/SMART\AF-6-SMART.txt","MA")</f>
        <v>MA</v>
      </c>
      <c r="BD27" s="3" t="str">
        <f>HYPERLINK("http://smart.embl-heidelberg.de/smart/do_annotation.pl?DOMAIN=MA&amp;BLAST=DUMMY","0.92")</f>
        <v>0.92</v>
      </c>
    </row>
    <row r="28" spans="1:56" s="34" customFormat="1" ht="11.25">
      <c r="A28" s="33" t="s">
        <v>441</v>
      </c>
      <c r="C28" s="35"/>
      <c r="E28" s="36"/>
      <c r="K28" s="36"/>
      <c r="L28" s="37"/>
      <c r="M28" s="37"/>
      <c r="N28" s="37"/>
      <c r="O28" s="38"/>
      <c r="P28" s="39"/>
      <c r="W28" s="38"/>
      <c r="X28" s="39"/>
      <c r="AA28" s="38"/>
      <c r="AB28" s="40"/>
      <c r="AF28" s="38"/>
      <c r="AH28" s="38"/>
      <c r="AI28" s="41"/>
      <c r="AN28" s="38"/>
      <c r="AO28" s="39"/>
      <c r="AU28" s="38"/>
      <c r="AV28" s="39"/>
      <c r="AX28" s="38"/>
      <c r="AY28" s="39"/>
      <c r="BA28" s="38"/>
      <c r="BB28" s="39"/>
      <c r="BC28" s="38"/>
      <c r="BD28" s="39"/>
    </row>
    <row r="29" spans="1:56" ht="12" thickBot="1">
      <c r="A29" t="str">
        <f>HYPERLINK("http://exon.niaid.nih.gov/transcriptome/An_funestus_sialome/Sup_tab2/links/AF-41-pep.txt","AF-41")</f>
        <v>AF-41</v>
      </c>
      <c r="B29" s="4" t="s">
        <v>3</v>
      </c>
      <c r="C29" s="4">
        <v>88</v>
      </c>
      <c r="D29" t="str">
        <f>HYPERLINK("http://exon.niaid.nih.gov/transcriptome/An_funestus_sialome/Sup_tab2/links/AF-41-cds.txt","AF-41")</f>
        <v>AF-41</v>
      </c>
      <c r="E29" s="22" t="str">
        <f>HYPERLINK("http://exon.niaid.nih.gov/transcriptome/An_funestus_sialome/Sup_tab2/links/AF-41-SigP.txt","SIG")</f>
        <v>SIG</v>
      </c>
      <c r="F29" t="s">
        <v>421</v>
      </c>
      <c r="G29">
        <v>9.261</v>
      </c>
      <c r="H29">
        <v>6</v>
      </c>
      <c r="I29">
        <v>7.288</v>
      </c>
      <c r="J29">
        <v>4.91</v>
      </c>
      <c r="K29" s="22" t="str">
        <f>HYPERLINK("http://exon.niaid.nih.gov/transcriptome/An_funestus_sialome/Sup_tab2/links/AF-41-netoglyc.txt","1")</f>
        <v>1</v>
      </c>
      <c r="L29" s="7">
        <v>1.136364</v>
      </c>
      <c r="M29" s="7">
        <v>10.22727</v>
      </c>
      <c r="N29" s="7">
        <v>7.954545</v>
      </c>
      <c r="O29" s="2" t="str">
        <f>HYPERLINK("http://exon.niaid.nih.gov/transcriptome/An_funestus_sialome/Sup_tab2/links/AGFRAG\AF-41-AGFRAG.txt","2L_Piece#1561")</f>
        <v>2L_Piece#1561</v>
      </c>
      <c r="P29" s="3">
        <v>4E-24</v>
      </c>
      <c r="Q29">
        <v>70</v>
      </c>
      <c r="R29">
        <v>72</v>
      </c>
      <c r="S29">
        <v>16535</v>
      </c>
      <c r="T29" s="4" t="str">
        <f>HYPERLINK("http://www.ensembl.org/Anopheles_gambiae/contigview?chr=2L&amp;region=&amp;start=39011535&amp;end=39021744","2L")</f>
        <v>2L</v>
      </c>
      <c r="U29">
        <v>39016535</v>
      </c>
      <c r="V29">
        <v>39016744</v>
      </c>
      <c r="W29" s="2" t="str">
        <f>HYPERLINK("http://exon.niaid.nih.gov/transcriptome/An_funestus_sialome/Sup_tab2/links/AGPROT\AF-41-AGPROT.txt","ENSANGP00000024294")</f>
        <v>ENSANGP00000024294</v>
      </c>
      <c r="X29" s="3" t="str">
        <f>HYPERLINK("http://www.ensembl.org/Anopheles_gambiae/protview?peptide=ENSANGP00000024294","0.064")</f>
        <v>0.064</v>
      </c>
      <c r="Y29">
        <v>32</v>
      </c>
      <c r="Z29">
        <v>30</v>
      </c>
      <c r="AA29" s="2" t="str">
        <f>HYPERLINK("http://exon.niaid.nih.gov/transcriptome/An_funestus_sialome/Sup_tab2/links/AGTB2\AF-41-AGTB2.txt","salivary protein of the G1 family of anopheline proteins         18   1.9")</f>
        <v>salivary protein of the G1 family of anopheline proteins         18   1.9</v>
      </c>
      <c r="AB29" s="8">
        <v>1.9</v>
      </c>
      <c r="AC29" t="s">
        <v>215</v>
      </c>
      <c r="AD29">
        <v>50</v>
      </c>
      <c r="AE29">
        <v>4</v>
      </c>
      <c r="AF29" s="5" t="s">
        <v>396</v>
      </c>
      <c r="AG29" t="s">
        <v>397</v>
      </c>
      <c r="AH29" s="2" t="str">
        <f>HYPERLINK("http://exon.niaid.nih.gov/transcriptome/An_funestus_sialome/Sup_tab2/links/NR\AF-41-NR.txt","putative salivary secreted peptide [A")</f>
        <v>putative salivary secreted peptide [A</v>
      </c>
      <c r="AI29" s="6" t="str">
        <f>HYPERLINK("http://www.ncbi.nlm.nih.gov/sutils/blink.cgi?pid=56417524","7E-004")</f>
        <v>7E-004</v>
      </c>
      <c r="AJ29" t="s">
        <v>216</v>
      </c>
      <c r="AK29">
        <v>42</v>
      </c>
      <c r="AL29">
        <v>49</v>
      </c>
      <c r="AM29" t="s">
        <v>217</v>
      </c>
      <c r="AN29" s="2" t="s">
        <v>4</v>
      </c>
      <c r="AO29" s="3" t="s">
        <v>4</v>
      </c>
      <c r="AP29" t="s">
        <v>4</v>
      </c>
      <c r="AQ29" t="s">
        <v>4</v>
      </c>
      <c r="AR29" t="s">
        <v>4</v>
      </c>
      <c r="AS29" t="s">
        <v>4</v>
      </c>
      <c r="AT29" t="s">
        <v>4</v>
      </c>
      <c r="AU29" s="2" t="s">
        <v>4</v>
      </c>
      <c r="AV29" s="3" t="s">
        <v>4</v>
      </c>
      <c r="AW29" t="s">
        <v>4</v>
      </c>
      <c r="AX29" s="2" t="str">
        <f>HYPERLINK("http://exon.niaid.nih.gov/transcriptome/An_funestus_sialome/Sup_tab2/links/CDD\AF-41-CDD.txt","Chitin_synth_2")</f>
        <v>Chitin_synth_2</v>
      </c>
      <c r="AY29" s="3" t="str">
        <f>HYPERLINK("http://www.ncbi.nlm.nih.gov/Structure/cdd/cddsrv.cgi?uid=pfam03142&amp;version=v4.0","0.35")</f>
        <v>0.35</v>
      </c>
      <c r="AZ29" t="s">
        <v>218</v>
      </c>
      <c r="BA29" s="2" t="str">
        <f>HYPERLINK("http://exon.niaid.nih.gov/transcriptome/An_funestus_sialome/Sup_tab2/links/PFAM\AF-41-PFAM.txt","Chitin_synth_2")</f>
        <v>Chitin_synth_2</v>
      </c>
      <c r="BB29" s="3" t="str">
        <f>HYPERLINK("http://pfam.wustl.edu/cgi-bin/getdesc?acc=PF03142","0.19")</f>
        <v>0.19</v>
      </c>
      <c r="BC29" s="2" t="str">
        <f>HYPERLINK("http://exon.niaid.nih.gov/transcriptome/An_funestus_sialome/Sup_tab2/links/SMART\AF-41-SMART.txt","CLH")</f>
        <v>CLH</v>
      </c>
      <c r="BD29" s="3" t="str">
        <f>HYPERLINK("http://smart.embl-heidelberg.de/smart/do_annotation.pl?DOMAIN=CLH&amp;BLAST=DUMMY","0.48")</f>
        <v>0.48</v>
      </c>
    </row>
    <row r="30" spans="1:56" s="26" customFormat="1" ht="11.25" customHeight="1">
      <c r="A30" s="25" t="s">
        <v>442</v>
      </c>
      <c r="C30" s="27"/>
      <c r="E30" s="28"/>
      <c r="K30" s="28"/>
      <c r="L30" s="29"/>
      <c r="M30" s="29"/>
      <c r="N30" s="29"/>
      <c r="P30" s="30"/>
      <c r="X30" s="30"/>
      <c r="AB30" s="31"/>
      <c r="AI30" s="32"/>
      <c r="AO30" s="30"/>
      <c r="AV30" s="30"/>
      <c r="AY30" s="30"/>
      <c r="BB30" s="30"/>
      <c r="BD30" s="30"/>
    </row>
    <row r="31" spans="1:56" s="34" customFormat="1" ht="11.25">
      <c r="A31" s="33" t="s">
        <v>406</v>
      </c>
      <c r="C31" s="35"/>
      <c r="E31" s="36"/>
      <c r="K31" s="36"/>
      <c r="L31" s="37"/>
      <c r="M31" s="37"/>
      <c r="N31" s="37"/>
      <c r="O31" s="38"/>
      <c r="P31" s="39"/>
      <c r="W31" s="38"/>
      <c r="X31" s="39"/>
      <c r="AA31" s="38"/>
      <c r="AB31" s="40"/>
      <c r="AF31" s="38"/>
      <c r="AH31" s="38"/>
      <c r="AI31" s="41"/>
      <c r="AN31" s="38"/>
      <c r="AO31" s="39"/>
      <c r="AU31" s="38"/>
      <c r="AV31" s="39"/>
      <c r="AX31" s="38"/>
      <c r="AY31" s="39"/>
      <c r="BA31" s="38"/>
      <c r="BB31" s="39"/>
      <c r="BC31" s="38"/>
      <c r="BD31" s="39"/>
    </row>
    <row r="32" spans="1:56" ht="11.25">
      <c r="A32" t="str">
        <f>HYPERLINK("http://exon.niaid.nih.gov/transcriptome/An_funestus_sialome/Sup_tab2/links/AFC-48-pep.txt","AFC-48")</f>
        <v>AFC-48</v>
      </c>
      <c r="B32" s="4" t="s">
        <v>3</v>
      </c>
      <c r="C32" s="4">
        <v>384</v>
      </c>
      <c r="D32" t="str">
        <f>HYPERLINK("http://exon.niaid.nih.gov/transcriptome/An_funestus_sialome/Sup_tab2/links/AFC-48-cds.txt","AFC-48")</f>
        <v>AFC-48</v>
      </c>
      <c r="E32" s="22" t="str">
        <f>HYPERLINK("http://exon.niaid.nih.gov/transcriptome/An_funestus_sialome/Sup_tab2/links/AFC-48-SigP.txt","SIG")</f>
        <v>SIG</v>
      </c>
      <c r="F32" t="s">
        <v>423</v>
      </c>
      <c r="G32">
        <v>44.172</v>
      </c>
      <c r="H32">
        <v>7.63</v>
      </c>
      <c r="I32">
        <v>41.69</v>
      </c>
      <c r="J32">
        <v>7.05</v>
      </c>
      <c r="K32" s="22" t="str">
        <f>HYPERLINK("http://exon.niaid.nih.gov/transcriptome/An_funestus_sialome/Sup_tab2/links/AFC-48-netoglyc.txt","0")</f>
        <v>0</v>
      </c>
      <c r="L32" s="7">
        <v>0</v>
      </c>
      <c r="M32" s="7">
        <v>4.166667</v>
      </c>
      <c r="N32" s="7">
        <v>3.90625</v>
      </c>
      <c r="O32" s="2" t="str">
        <f>HYPERLINK("http://exon.niaid.nih.gov/transcriptome/An_funestus_sialome/Sup_tab2/links/AGFRAG\AFC-48-AGFRAG.txt","X_Piece#394")</f>
        <v>X_Piece#394</v>
      </c>
      <c r="P32" s="3">
        <v>1E-119</v>
      </c>
      <c r="Q32">
        <v>384</v>
      </c>
      <c r="R32">
        <v>56</v>
      </c>
      <c r="S32">
        <v>13313</v>
      </c>
      <c r="T32" s="4" t="str">
        <f>HYPERLINK("http://www.ensembl.org/Anopheles_gambiae/contigview?chr=X&amp;region=&amp;start=9833313&amp;end=9844461","X")</f>
        <v>X</v>
      </c>
      <c r="U32">
        <v>9838313</v>
      </c>
      <c r="V32">
        <v>9839461</v>
      </c>
      <c r="W32" s="2" t="str">
        <f>HYPERLINK("http://exon.niaid.nih.gov/transcriptome/An_funestus_sialome/Sup_tab2/links/AGPROT\AFC-48-AGPROT.txt","ENSANGP00000017327")</f>
        <v>ENSANGP00000017327</v>
      </c>
      <c r="X32" s="3" t="str">
        <f>HYPERLINK("http://www.ensembl.org/Anopheles_gambiae/protview?peptide=ENSANGP00000017327","1E-120")</f>
        <v>1E-120</v>
      </c>
      <c r="Y32">
        <v>56</v>
      </c>
      <c r="Z32">
        <v>100</v>
      </c>
      <c r="AA32" s="2" t="str">
        <f>HYPERLINK("http://exon.niaid.nih.gov/transcriptome/An_funestus_sialome/Sup_tab2/links/AGTB2\AFC-48-AGTB2.txt","salivary protein of the G1 family of anopheline proteins        427   e-122")</f>
        <v>salivary protein of the G1 family of anopheline proteins        427   e-122</v>
      </c>
      <c r="AB32" s="8">
        <v>1E-122</v>
      </c>
      <c r="AC32" t="s">
        <v>215</v>
      </c>
      <c r="AD32">
        <v>56</v>
      </c>
      <c r="AE32">
        <v>100</v>
      </c>
      <c r="AF32" s="5" t="s">
        <v>330</v>
      </c>
      <c r="AG32" t="s">
        <v>322</v>
      </c>
      <c r="AH32" s="2" t="str">
        <f>HYPERLINK("http://exon.niaid.nih.gov/transcriptome/An_funestus_sialome/Sup_tab2/links/NR\AFC-48-NR.txt","putative salivary protein SG1C [Anoph")</f>
        <v>putative salivary protein SG1C [Anoph</v>
      </c>
      <c r="AI32" s="6" t="str">
        <f>HYPERLINK("http://www.ncbi.nlm.nih.gov/sutils/blink.cgi?pid=27372941","1E-152")</f>
        <v>1E-152</v>
      </c>
      <c r="AJ32" t="s">
        <v>314</v>
      </c>
      <c r="AK32">
        <v>67</v>
      </c>
      <c r="AL32">
        <v>100</v>
      </c>
      <c r="AM32" t="s">
        <v>34</v>
      </c>
      <c r="AN32" s="2" t="s">
        <v>4</v>
      </c>
      <c r="AO32" s="3" t="s">
        <v>4</v>
      </c>
      <c r="AP32" t="s">
        <v>4</v>
      </c>
      <c r="AQ32" t="s">
        <v>4</v>
      </c>
      <c r="AR32" t="s">
        <v>4</v>
      </c>
      <c r="AS32" t="s">
        <v>4</v>
      </c>
      <c r="AT32" t="s">
        <v>4</v>
      </c>
      <c r="AU32" s="2" t="s">
        <v>4</v>
      </c>
      <c r="AV32" s="3" t="s">
        <v>4</v>
      </c>
      <c r="AW32" t="s">
        <v>4</v>
      </c>
      <c r="AX32" s="2" t="str">
        <f>HYPERLINK("http://exon.niaid.nih.gov/transcriptome/An_funestus_sialome/Sup_tab2/links/CDD\AFC-48-CDD.txt","COG2138")</f>
        <v>COG2138</v>
      </c>
      <c r="AY32" s="3" t="str">
        <f>HYPERLINK("http://www.ncbi.nlm.nih.gov/Structure/cdd/cddsrv.cgi?uid=COG2138&amp;version=v4.0","0.023")</f>
        <v>0.023</v>
      </c>
      <c r="AZ32" t="s">
        <v>316</v>
      </c>
      <c r="BA32" s="2" t="str">
        <f>HYPERLINK("http://exon.niaid.nih.gov/transcriptome/An_funestus_sialome/Sup_tab2/links/PFAM\AFC-48-PFAM.txt","BTAD")</f>
        <v>BTAD</v>
      </c>
      <c r="BB32" s="3" t="str">
        <f>HYPERLINK("http://pfam.wustl.edu/cgi-bin/getdesc?acc=PF03704","0.43")</f>
        <v>0.43</v>
      </c>
      <c r="BC32" s="2" t="s">
        <v>4</v>
      </c>
      <c r="BD32" s="3" t="s">
        <v>4</v>
      </c>
    </row>
    <row r="33" spans="1:56" ht="11.25">
      <c r="A33" t="str">
        <f>HYPERLINK("http://exon.niaid.nih.gov/transcriptome/An_funestus_sialome/Sup_tab2/links/AFC-47-pep.txt","AFC-47")</f>
        <v>AFC-47</v>
      </c>
      <c r="B33" s="4" t="s">
        <v>3</v>
      </c>
      <c r="C33" s="4">
        <v>384</v>
      </c>
      <c r="D33" t="str">
        <f>HYPERLINK("http://exon.niaid.nih.gov/transcriptome/An_funestus_sialome/Sup_tab2/links/AFC-47-cds.txt","AFC-47")</f>
        <v>AFC-47</v>
      </c>
      <c r="E33" s="22" t="str">
        <f>HYPERLINK("http://exon.niaid.nih.gov/transcriptome/An_funestus_sialome/Sup_tab2/links/AFC-47-SigP.txt","SIG")</f>
        <v>SIG</v>
      </c>
      <c r="F33" t="s">
        <v>423</v>
      </c>
      <c r="G33">
        <v>44.079</v>
      </c>
      <c r="H33">
        <v>8.74</v>
      </c>
      <c r="I33">
        <v>41.604</v>
      </c>
      <c r="J33">
        <v>8.66</v>
      </c>
      <c r="K33" s="22" t="str">
        <f>HYPERLINK("http://exon.niaid.nih.gov/transcriptome/An_funestus_sialome/Sup_tab2/links/AFC-47-netoglyc.txt","0")</f>
        <v>0</v>
      </c>
      <c r="L33" s="7">
        <v>0</v>
      </c>
      <c r="M33" s="7">
        <v>4.166667</v>
      </c>
      <c r="N33" s="7">
        <v>3.90625</v>
      </c>
      <c r="O33" s="2" t="str">
        <f>HYPERLINK("http://exon.niaid.nih.gov/transcriptome/An_funestus_sialome/Sup_tab2/links/AGFRAG\AFC-47-AGFRAG.txt","X_Piece#394")</f>
        <v>X_Piece#394</v>
      </c>
      <c r="P33" s="3">
        <v>1E-118</v>
      </c>
      <c r="Q33">
        <v>383</v>
      </c>
      <c r="R33">
        <v>55</v>
      </c>
      <c r="S33">
        <v>13313</v>
      </c>
      <c r="T33" s="4" t="str">
        <f>HYPERLINK("http://www.ensembl.org/Anopheles_gambiae/contigview?chr=X&amp;region=&amp;start=9833313&amp;end=9844461","X")</f>
        <v>X</v>
      </c>
      <c r="U33">
        <v>9838313</v>
      </c>
      <c r="V33">
        <v>9839461</v>
      </c>
      <c r="W33" s="2" t="str">
        <f>HYPERLINK("http://exon.niaid.nih.gov/transcriptome/An_funestus_sialome/Sup_tab2/links/AGPROT\AFC-47-AGPROT.txt","ENSANGP00000017327")</f>
        <v>ENSANGP00000017327</v>
      </c>
      <c r="X33" s="3" t="str">
        <f>HYPERLINK("http://www.ensembl.org/Anopheles_gambiae/protview?peptide=ENSANGP00000017327","1E-119")</f>
        <v>1E-119</v>
      </c>
      <c r="Y33">
        <v>55</v>
      </c>
      <c r="Z33">
        <v>99</v>
      </c>
      <c r="AA33" s="2" t="str">
        <f>HYPERLINK("http://exon.niaid.nih.gov/transcriptome/An_funestus_sialome/Sup_tab2/links/AGTB2\AFC-47-AGTB2.txt","salivary protein of the G1 family of anopheline proteins        424   e-121")</f>
        <v>salivary protein of the G1 family of anopheline proteins        424   e-121</v>
      </c>
      <c r="AB33" s="8">
        <v>1E-121</v>
      </c>
      <c r="AC33" t="s">
        <v>215</v>
      </c>
      <c r="AD33">
        <v>55</v>
      </c>
      <c r="AE33">
        <v>99</v>
      </c>
      <c r="AF33" s="5" t="s">
        <v>331</v>
      </c>
      <c r="AG33" t="s">
        <v>322</v>
      </c>
      <c r="AH33" s="2" t="str">
        <f>HYPERLINK("http://exon.niaid.nih.gov/transcriptome/An_funestus_sialome/Sup_tab2/links/NR\AFC-47-NR.txt","putative salivary protein SG1C [Anoph")</f>
        <v>putative salivary protein SG1C [Anoph</v>
      </c>
      <c r="AI33" s="6" t="str">
        <f>HYPERLINK("http://www.ncbi.nlm.nih.gov/sutils/blink.cgi?pid=27372941","1E-151")</f>
        <v>1E-151</v>
      </c>
      <c r="AJ33" t="s">
        <v>314</v>
      </c>
      <c r="AK33">
        <v>66</v>
      </c>
      <c r="AL33">
        <v>100</v>
      </c>
      <c r="AM33" t="s">
        <v>34</v>
      </c>
      <c r="AN33" s="2" t="s">
        <v>4</v>
      </c>
      <c r="AO33" s="3" t="s">
        <v>4</v>
      </c>
      <c r="AP33" t="s">
        <v>4</v>
      </c>
      <c r="AQ33" t="s">
        <v>4</v>
      </c>
      <c r="AR33" t="s">
        <v>4</v>
      </c>
      <c r="AS33" t="s">
        <v>4</v>
      </c>
      <c r="AT33" t="s">
        <v>4</v>
      </c>
      <c r="AU33" s="2" t="s">
        <v>4</v>
      </c>
      <c r="AV33" s="3" t="s">
        <v>4</v>
      </c>
      <c r="AW33" t="s">
        <v>4</v>
      </c>
      <c r="AX33" s="2" t="str">
        <f>HYPERLINK("http://exon.niaid.nih.gov/transcriptome/An_funestus_sialome/Sup_tab2/links/CDD\AFC-47-CDD.txt","COG2138")</f>
        <v>COG2138</v>
      </c>
      <c r="AY33" s="3" t="str">
        <f>HYPERLINK("http://www.ncbi.nlm.nih.gov/Structure/cdd/cddsrv.cgi?uid=COG2138&amp;version=v4.0","0.029")</f>
        <v>0.029</v>
      </c>
      <c r="AZ33" t="s">
        <v>315</v>
      </c>
      <c r="BA33" s="2" t="str">
        <f>HYPERLINK("http://exon.niaid.nih.gov/transcriptome/An_funestus_sialome/Sup_tab2/links/PFAM\AFC-47-PFAM.txt","BTAD")</f>
        <v>BTAD</v>
      </c>
      <c r="BB33" s="3" t="str">
        <f>HYPERLINK("http://pfam.wustl.edu/cgi-bin/getdesc?acc=PF03704","0.22")</f>
        <v>0.22</v>
      </c>
      <c r="BC33" s="2" t="s">
        <v>4</v>
      </c>
      <c r="BD33" s="3" t="s">
        <v>4</v>
      </c>
    </row>
    <row r="34" spans="1:56" ht="11.25">
      <c r="A34" t="str">
        <f>HYPERLINK("http://exon.niaid.nih.gov/transcriptome/An_funestus_sialome/Sup_tab2/links/AF-30-pep.txt","AF-30")</f>
        <v>AF-30</v>
      </c>
      <c r="B34" s="4" t="s">
        <v>3</v>
      </c>
      <c r="C34" s="4">
        <v>269</v>
      </c>
      <c r="D34" t="str">
        <f>HYPERLINK("http://exon.niaid.nih.gov/transcriptome/An_funestus_sialome/Sup_tab2/links/AF-30-cds.txt","AF-30")</f>
        <v>AF-30</v>
      </c>
      <c r="E34" s="22" t="str">
        <f>HYPERLINK("http://exon.niaid.nih.gov/transcriptome/An_funestus_sialome/Sup_tab2/links/AF-30-SigP.txt","CYT")</f>
        <v>CYT</v>
      </c>
      <c r="F34" t="s">
        <v>4</v>
      </c>
      <c r="G34">
        <v>31.135</v>
      </c>
      <c r="H34">
        <v>6.33</v>
      </c>
      <c r="K34" s="22" t="str">
        <f>HYPERLINK("http://exon.niaid.nih.gov/transcriptome/An_funestus_sialome/Sup_tab2/links/AF-30-netoglyc.txt","0")</f>
        <v>0</v>
      </c>
      <c r="L34" s="7">
        <v>0</v>
      </c>
      <c r="M34" s="7">
        <v>2.602231</v>
      </c>
      <c r="N34" s="7">
        <v>2.230483</v>
      </c>
      <c r="O34" s="2" t="str">
        <f>HYPERLINK("http://exon.niaid.nih.gov/transcriptome/An_funestus_sialome/Sup_tab2/links/AGFRAG\AF-30-AGFRAG.txt","X_Piece#443")</f>
        <v>X_Piece#443</v>
      </c>
      <c r="P34" s="3">
        <v>2E-89</v>
      </c>
      <c r="Q34">
        <v>268</v>
      </c>
      <c r="R34">
        <v>61</v>
      </c>
      <c r="S34">
        <v>24354</v>
      </c>
      <c r="T34" s="4" t="str">
        <f>HYPERLINK("http://www.ensembl.org/Anopheles_gambiae/contigview?chr=X&amp;region=&amp;start=11069354&amp;end=11079895","X")</f>
        <v>X</v>
      </c>
      <c r="U34">
        <v>11074354</v>
      </c>
      <c r="V34">
        <v>11074895</v>
      </c>
      <c r="W34" s="2" t="str">
        <f>HYPERLINK("http://exon.niaid.nih.gov/transcriptome/An_funestus_sialome/Sup_tab2/links/AGPROT\AF-30-AGPROT.txt","ENSANGP00000027418")</f>
        <v>ENSANGP00000027418</v>
      </c>
      <c r="X34" s="3" t="str">
        <f>HYPERLINK("http://www.ensembl.org/Anopheles_gambiae/protview?peptide=ENSANGP00000027418","1E-090")</f>
        <v>1E-090</v>
      </c>
      <c r="Y34">
        <v>61</v>
      </c>
      <c r="Z34">
        <v>99</v>
      </c>
      <c r="AA34" s="2" t="str">
        <f>HYPERLINK("http://exon.niaid.nih.gov/transcriptome/An_funestus_sialome/Sup_tab2/links/AGTB2\AF-30-AGTB2.txt","Long form salivary protein of the G1 family of a")</f>
        <v>Long form salivary protein of the G1 family of a</v>
      </c>
      <c r="AB34" s="8">
        <v>4E-93</v>
      </c>
      <c r="AC34" t="s">
        <v>161</v>
      </c>
      <c r="AD34">
        <v>61</v>
      </c>
      <c r="AE34">
        <v>68</v>
      </c>
      <c r="AF34" s="5" t="s">
        <v>333</v>
      </c>
      <c r="AG34" t="s">
        <v>322</v>
      </c>
      <c r="AH34" s="2" t="str">
        <f>HYPERLINK("http://exon.niaid.nih.gov/transcriptome/An_funestus_sialome/Sup_tab2/links/NR\AF-30-NR.txt","ENSANGP00000027418 [Anopheles gambiae")</f>
        <v>ENSANGP00000027418 [Anopheles gambiae</v>
      </c>
      <c r="AI34" s="6" t="str">
        <f>HYPERLINK("http://www.ncbi.nlm.nih.gov/sutils/blink.cgi?pid=55243179","1E-088")</f>
        <v>1E-088</v>
      </c>
      <c r="AJ34" t="s">
        <v>162</v>
      </c>
      <c r="AK34">
        <v>61</v>
      </c>
      <c r="AL34">
        <v>99</v>
      </c>
      <c r="AM34" t="s">
        <v>59</v>
      </c>
      <c r="AN34" s="2" t="s">
        <v>163</v>
      </c>
      <c r="AO34" s="3">
        <f>HYPERLINK("http://exon.niaid.nih.gov/transcriptome/An_funestus_sialome/Sup_tab2/links/GO\AF-30-GO.txt",0.028)</f>
        <v>0</v>
      </c>
      <c r="AP34" t="s">
        <v>164</v>
      </c>
      <c r="AQ34" t="s">
        <v>45</v>
      </c>
      <c r="AR34" t="s">
        <v>165</v>
      </c>
      <c r="AS34" t="s">
        <v>166</v>
      </c>
      <c r="AT34">
        <v>0.028</v>
      </c>
      <c r="AU34" s="2" t="s">
        <v>4</v>
      </c>
      <c r="AV34" s="3" t="s">
        <v>4</v>
      </c>
      <c r="AW34" t="s">
        <v>4</v>
      </c>
      <c r="AX34" s="2" t="str">
        <f>HYPERLINK("http://exon.niaid.nih.gov/transcriptome/An_funestus_sialome/Sup_tab2/links/CDD\AF-30-CDD.txt","KptA")</f>
        <v>KptA</v>
      </c>
      <c r="AY34" s="3" t="str">
        <f>HYPERLINK("http://www.ncbi.nlm.nih.gov/Structure/cdd/cddsrv.cgi?uid=COG1859&amp;version=v4.0","0.25")</f>
        <v>0.25</v>
      </c>
      <c r="AZ34" t="s">
        <v>167</v>
      </c>
      <c r="BA34" s="2" t="str">
        <f>HYPERLINK("http://exon.niaid.nih.gov/transcriptome/An_funestus_sialome/Sup_tab2/links/PFAM\AF-30-PFAM.txt","ICL")</f>
        <v>ICL</v>
      </c>
      <c r="BB34" s="3" t="str">
        <f>HYPERLINK("http://pfam.wustl.edu/cgi-bin/getdesc?acc=PF00463","0.88")</f>
        <v>0.88</v>
      </c>
      <c r="BC34" s="2" t="str">
        <f>HYPERLINK("http://exon.niaid.nih.gov/transcriptome/An_funestus_sialome/Sup_tab2/links/SMART\AF-30-SMART.txt","WNT1")</f>
        <v>WNT1</v>
      </c>
      <c r="BD34" s="3" t="str">
        <f>HYPERLINK("http://smart.embl-heidelberg.de/smart/do_annotation.pl?DOMAIN=WNT1&amp;BLAST=DUMMY","0.013")</f>
        <v>0.013</v>
      </c>
    </row>
    <row r="35" spans="1:56" ht="11.25">
      <c r="A35" t="str">
        <f>HYPERLINK("http://exon.niaid.nih.gov/transcriptome/An_funestus_sialome/Sup_tab2/links/AF-39-pep.txt","AF-39")</f>
        <v>AF-39</v>
      </c>
      <c r="B35" s="4" t="s">
        <v>7</v>
      </c>
      <c r="C35" s="4">
        <v>160</v>
      </c>
      <c r="D35" t="str">
        <f>HYPERLINK("http://exon.niaid.nih.gov/transcriptome/An_funestus_sialome/Sup_tab2/links/AF-39-cds.txt","AF-39")</f>
        <v>AF-39</v>
      </c>
      <c r="E35" s="22" t="s">
        <v>431</v>
      </c>
      <c r="F35" t="s">
        <v>4</v>
      </c>
      <c r="G35">
        <v>18.126</v>
      </c>
      <c r="H35">
        <v>6.81</v>
      </c>
      <c r="K35" s="22" t="str">
        <f>HYPERLINK("http://exon.niaid.nih.gov/transcriptome/An_funestus_sialome/Sup_tab2/links/AF-39-netoglyc.txt","0")</f>
        <v>0</v>
      </c>
      <c r="L35" s="7">
        <v>0</v>
      </c>
      <c r="M35" s="7">
        <v>3.75</v>
      </c>
      <c r="N35" s="7">
        <v>6.25</v>
      </c>
      <c r="O35" s="2" t="str">
        <f>HYPERLINK("http://exon.niaid.nih.gov/transcriptome/An_funestus_sialome/Sup_tab2/links/AGFRAG\AF-39-AGFRAG.txt","2R_Piece#161")</f>
        <v>2R_Piece#161</v>
      </c>
      <c r="P35" s="3">
        <v>6E-42</v>
      </c>
      <c r="Q35">
        <v>159</v>
      </c>
      <c r="R35">
        <v>55</v>
      </c>
      <c r="S35">
        <v>1924</v>
      </c>
      <c r="T35" s="4" t="str">
        <f>HYPERLINK("http://www.ensembl.org/Anopheles_gambiae/contigview?chr=2R&amp;region=&amp;start=3996924&amp;end=4007400","2R")</f>
        <v>2R</v>
      </c>
      <c r="U35">
        <v>4001924</v>
      </c>
      <c r="V35">
        <v>4002400</v>
      </c>
      <c r="W35" s="2" t="str">
        <f>HYPERLINK("http://exon.niaid.nih.gov/transcriptome/An_funestus_sialome/Sup_tab2/links/AGPROT\AF-39-AGPROT.txt","ENSANGP00000017522")</f>
        <v>ENSANGP00000017522</v>
      </c>
      <c r="X35" s="3" t="str">
        <f>HYPERLINK("http://www.ensembl.org/Anopheles_gambiae/protview?peptide=ENSANGP00000017522","3E-043")</f>
        <v>3E-043</v>
      </c>
      <c r="Y35">
        <v>55</v>
      </c>
      <c r="Z35">
        <v>41</v>
      </c>
      <c r="AA35" s="2" t="str">
        <f>HYPERLINK("http://exon.niaid.nih.gov/transcriptome/An_funestus_sialome/Sup_tab2/links/AGTB2\AF-39-AGTB2.txt","salivary protein of the G1 family of anopheline proteins         169   2e-045")</f>
        <v>salivary protein of the G1 family of anopheline proteins         169   2e-045</v>
      </c>
      <c r="AB35" s="8">
        <v>2E-45</v>
      </c>
      <c r="AC35" t="s">
        <v>181</v>
      </c>
      <c r="AD35">
        <v>55</v>
      </c>
      <c r="AE35">
        <v>41</v>
      </c>
      <c r="AF35" s="5" t="s">
        <v>332</v>
      </c>
      <c r="AG35" t="s">
        <v>322</v>
      </c>
      <c r="AH35" s="2" t="str">
        <f>HYPERLINK("http://exon.niaid.nih.gov/transcriptome/An_funestus_sialome/Sup_tab2/links/NR\AF-39-NR.txt","TRIO salivary gland protein precursor")</f>
        <v>TRIO salivary gland protein precursor</v>
      </c>
      <c r="AI35" s="6" t="str">
        <f>HYPERLINK("http://www.ncbi.nlm.nih.gov/sutils/blink.cgi?pid=29501528","3E-046")</f>
        <v>3E-046</v>
      </c>
      <c r="AJ35" t="s">
        <v>213</v>
      </c>
      <c r="AK35">
        <v>58</v>
      </c>
      <c r="AL35">
        <v>40</v>
      </c>
      <c r="AM35" t="s">
        <v>34</v>
      </c>
      <c r="AN35" s="2" t="s">
        <v>4</v>
      </c>
      <c r="AO35" s="3" t="s">
        <v>4</v>
      </c>
      <c r="AP35" t="s">
        <v>4</v>
      </c>
      <c r="AQ35" t="s">
        <v>4</v>
      </c>
      <c r="AR35" t="s">
        <v>4</v>
      </c>
      <c r="AS35" t="s">
        <v>4</v>
      </c>
      <c r="AT35" t="s">
        <v>4</v>
      </c>
      <c r="AU35" s="2" t="str">
        <f>HYPERLINK("http://exon.niaid.nih.gov/transcriptome/An_funestus_sialome/Sup_tab2/links/KOG\AF-39-KOG.txt","Dehydrogenase kinase")</f>
        <v>Dehydrogenase kinase</v>
      </c>
      <c r="AV35" s="3" t="str">
        <f>HYPERLINK("http://www.ncbi.nlm.nih.gov/COG/new/shokog.cgi?KOG0787","0.40")</f>
        <v>0.40</v>
      </c>
      <c r="AW35" t="s">
        <v>48</v>
      </c>
      <c r="AX35" s="2" t="str">
        <f>HYPERLINK("http://exon.niaid.nih.gov/transcriptome/An_funestus_sialome/Sup_tab2/links/CDD\AF-39-CDD.txt","FBPase_2")</f>
        <v>FBPase_2</v>
      </c>
      <c r="AY35" s="3" t="str">
        <f>HYPERLINK("http://www.ncbi.nlm.nih.gov/Structure/cdd/cddsrv.cgi?uid=pfam06874&amp;version=v4.0","0.34")</f>
        <v>0.34</v>
      </c>
      <c r="AZ35" t="s">
        <v>214</v>
      </c>
      <c r="BA35" s="2" t="str">
        <f>HYPERLINK("http://exon.niaid.nih.gov/transcriptome/An_funestus_sialome/Sup_tab2/links/PFAM\AF-39-PFAM.txt","FBPase_2")</f>
        <v>FBPase_2</v>
      </c>
      <c r="BB35" s="3" t="str">
        <f>HYPERLINK("http://pfam.wustl.edu/cgi-bin/getdesc?acc=PF06874","0.18")</f>
        <v>0.18</v>
      </c>
      <c r="BC35" s="2" t="s">
        <v>4</v>
      </c>
      <c r="BD35" s="3" t="s">
        <v>4</v>
      </c>
    </row>
    <row r="36" spans="1:56" ht="11.25">
      <c r="A36" t="str">
        <f>HYPERLINK("http://exon.niaid.nih.gov/transcriptome/An_funestus_sialome/Sup_tab2/links/AFC-223-pep.txt","AFC-223")</f>
        <v>AFC-223</v>
      </c>
      <c r="B36" s="4" t="s">
        <v>3</v>
      </c>
      <c r="C36" s="4">
        <v>390</v>
      </c>
      <c r="D36" t="str">
        <f>HYPERLINK("http://exon.niaid.nih.gov/transcriptome/An_funestus_sialome/Sup_tab2/links/AFC-223-cds.txt","AFC-223")</f>
        <v>AFC-223</v>
      </c>
      <c r="E36" s="22" t="str">
        <f>HYPERLINK("http://exon.niaid.nih.gov/transcriptome/An_funestus_sialome/Sup_tab2/links/AFC-223-SigP.txt","SIG")</f>
        <v>SIG</v>
      </c>
      <c r="F36" t="s">
        <v>417</v>
      </c>
      <c r="G36">
        <v>43.901</v>
      </c>
      <c r="H36">
        <v>8.78</v>
      </c>
      <c r="I36">
        <v>41.458</v>
      </c>
      <c r="J36">
        <v>8.9</v>
      </c>
      <c r="K36" s="22" t="str">
        <f>HYPERLINK("http://exon.niaid.nih.gov/transcriptome/An_funestus_sialome/Sup_tab2/links/AFC-223-netoglyc.txt","0")</f>
        <v>0</v>
      </c>
      <c r="L36" s="7">
        <v>0</v>
      </c>
      <c r="M36" s="7">
        <v>4.102564</v>
      </c>
      <c r="N36" s="7">
        <v>5.128205</v>
      </c>
      <c r="O36" s="2" t="str">
        <f>HYPERLINK("http://exon.niaid.nih.gov/transcriptome/An_funestus_sialome/Sup_tab2/links/AGFRAG\AFC-223-AGFRAG.txt","2R_Piece#161")</f>
        <v>2R_Piece#161</v>
      </c>
      <c r="P36" s="3">
        <v>1E-106</v>
      </c>
      <c r="Q36">
        <v>386</v>
      </c>
      <c r="R36">
        <v>52</v>
      </c>
      <c r="S36">
        <v>1252</v>
      </c>
      <c r="T36" s="4" t="str">
        <f>HYPERLINK("http://www.ensembl.org/Anopheles_gambiae/contigview?chr=2R&amp;region=&amp;start=3996252&amp;end=4007400","2R")</f>
        <v>2R</v>
      </c>
      <c r="U36">
        <v>4001252</v>
      </c>
      <c r="V36">
        <v>4002400</v>
      </c>
      <c r="W36" s="2" t="str">
        <f>HYPERLINK("http://exon.niaid.nih.gov/transcriptome/An_funestus_sialome/Sup_tab2/links/AGPROT\AFC-223-AGPROT.txt","ENSANGP00000017522")</f>
        <v>ENSANGP00000017522</v>
      </c>
      <c r="X36" s="3" t="str">
        <f>HYPERLINK("http://www.ensembl.org/Anopheles_gambiae/protview?peptide=ENSANGP00000017522","1E-108")</f>
        <v>1E-108</v>
      </c>
      <c r="Y36">
        <v>52</v>
      </c>
      <c r="Z36">
        <v>99</v>
      </c>
      <c r="AA36" s="2" t="str">
        <f>HYPERLINK("http://exon.niaid.nih.gov/transcriptome/An_funestus_sialome/Sup_tab2/links/AGTB2\AFC-223-AGTB2.txt","salivary protein of the G1 family of anopheline proteins         385   e-110")</f>
        <v>salivary protein of the G1 family of anopheline proteins         385   e-110</v>
      </c>
      <c r="AB36" s="8">
        <v>1E-110</v>
      </c>
      <c r="AC36" t="s">
        <v>181</v>
      </c>
      <c r="AD36">
        <v>52</v>
      </c>
      <c r="AE36">
        <v>99</v>
      </c>
      <c r="AF36" s="5" t="s">
        <v>332</v>
      </c>
      <c r="AG36" t="s">
        <v>322</v>
      </c>
      <c r="AH36" s="2" t="str">
        <f>HYPERLINK("http://exon.niaid.nih.gov/transcriptome/An_funestus_sialome/Sup_tab2/links/NR\AFC-223-NR.txt","TRIO salivary gland protein precursor")</f>
        <v>TRIO salivary gland protein precursor</v>
      </c>
      <c r="AI36" s="6" t="str">
        <f>HYPERLINK("http://www.ncbi.nlm.nih.gov/sutils/blink.cgi?pid=29501528","1E-123")</f>
        <v>1E-123</v>
      </c>
      <c r="AJ36" t="s">
        <v>213</v>
      </c>
      <c r="AK36">
        <v>58</v>
      </c>
      <c r="AL36">
        <v>99</v>
      </c>
      <c r="AM36" t="s">
        <v>34</v>
      </c>
      <c r="AN36" s="2" t="s">
        <v>298</v>
      </c>
      <c r="AO36" s="3">
        <f>HYPERLINK("http://exon.niaid.nih.gov/transcriptome/An_funestus_sialome/Sup_tab2/links/GO\AFC-223-GO.txt",0.4)</f>
        <v>0</v>
      </c>
      <c r="AP36" t="s">
        <v>221</v>
      </c>
      <c r="AQ36" t="s">
        <v>45</v>
      </c>
      <c r="AR36" t="s">
        <v>74</v>
      </c>
      <c r="AS36" t="s">
        <v>222</v>
      </c>
      <c r="AT36">
        <v>0.4</v>
      </c>
      <c r="AU36" s="2" t="str">
        <f>HYPERLINK("http://exon.niaid.nih.gov/transcriptome/An_funestus_sialome/Sup_tab2/links/KOG\AFC-223-KOG.txt","Dehydrogenase kinase")</f>
        <v>Dehydrogenase kinase</v>
      </c>
      <c r="AV36" s="3" t="str">
        <f>HYPERLINK("http://www.ncbi.nlm.nih.gov/COG/new/shokog.cgi?KOG0787","0.62")</f>
        <v>0.62</v>
      </c>
      <c r="AW36" t="s">
        <v>48</v>
      </c>
      <c r="AX36" s="2" t="str">
        <f>HYPERLINK("http://exon.niaid.nih.gov/transcriptome/An_funestus_sialome/Sup_tab2/links/CDD\AFC-223-CDD.txt","SEC21")</f>
        <v>SEC21</v>
      </c>
      <c r="AY36" s="3" t="str">
        <f>HYPERLINK("http://www.ncbi.nlm.nih.gov/Structure/cdd/cddsrv.cgi?uid=COG5240&amp;version=v4.0","0.27")</f>
        <v>0.27</v>
      </c>
      <c r="AZ36" t="s">
        <v>299</v>
      </c>
      <c r="BA36" s="2" t="s">
        <v>4</v>
      </c>
      <c r="BB36" s="3" t="s">
        <v>4</v>
      </c>
      <c r="BC36" s="2" t="str">
        <f>HYPERLINK("http://exon.niaid.nih.gov/transcriptome/An_funestus_sialome/Sup_tab2/links/SMART\AFC-223-SMART.txt","RasGAP")</f>
        <v>RasGAP</v>
      </c>
      <c r="BD36" s="3" t="str">
        <f>HYPERLINK("http://smart.embl-heidelberg.de/smart/do_annotation.pl?DOMAIN=RasGAP&amp;BLAST=DUMMY","0.20")</f>
        <v>0.20</v>
      </c>
    </row>
    <row r="37" spans="1:56" s="34" customFormat="1" ht="11.25">
      <c r="A37" s="33" t="s">
        <v>407</v>
      </c>
      <c r="C37" s="35"/>
      <c r="E37" s="36"/>
      <c r="K37" s="36"/>
      <c r="L37" s="37"/>
      <c r="M37" s="37"/>
      <c r="N37" s="37"/>
      <c r="O37" s="38"/>
      <c r="P37" s="39"/>
      <c r="W37" s="38"/>
      <c r="X37" s="39"/>
      <c r="AA37" s="38"/>
      <c r="AB37" s="40"/>
      <c r="AF37" s="38"/>
      <c r="AH37" s="38"/>
      <c r="AI37" s="41"/>
      <c r="AN37" s="38"/>
      <c r="AO37" s="39"/>
      <c r="AU37" s="38"/>
      <c r="AV37" s="39"/>
      <c r="AX37" s="38"/>
      <c r="AY37" s="39"/>
      <c r="BA37" s="38"/>
      <c r="BB37" s="39"/>
      <c r="BC37" s="38"/>
      <c r="BD37" s="39"/>
    </row>
    <row r="38" spans="1:56" ht="11.25">
      <c r="A38" t="str">
        <f>HYPERLINK("http://exon.niaid.nih.gov/transcriptome/An_funestus_sialome/Sup_tab2/links/AF-13-pep.txt","AF-13")</f>
        <v>AF-13</v>
      </c>
      <c r="B38" s="4" t="s">
        <v>3</v>
      </c>
      <c r="C38" s="4">
        <v>145</v>
      </c>
      <c r="D38" t="str">
        <f>HYPERLINK("http://exon.niaid.nih.gov/transcriptome/An_funestus_sialome/Sup_tab2/links/AF-13-cds.txt","AF-13")</f>
        <v>AF-13</v>
      </c>
      <c r="E38" s="22" t="str">
        <f>HYPERLINK("http://exon.niaid.nih.gov/transcriptome/An_funestus_sialome/Sup_tab2/links/AF-13-SigP.txt","SIG")</f>
        <v>SIG</v>
      </c>
      <c r="F38" t="s">
        <v>419</v>
      </c>
      <c r="G38">
        <v>15.131</v>
      </c>
      <c r="H38">
        <v>9.69</v>
      </c>
      <c r="I38">
        <v>13.167</v>
      </c>
      <c r="J38">
        <v>8.61</v>
      </c>
      <c r="K38" s="22" t="str">
        <f>HYPERLINK("http://exon.niaid.nih.gov/transcriptome/An_funestus_sialome/Sup_tab2/links/AF-13-netoglyc.txt","0")</f>
        <v>0</v>
      </c>
      <c r="L38" s="7">
        <v>0</v>
      </c>
      <c r="M38" s="7">
        <v>22.75862</v>
      </c>
      <c r="N38" s="7">
        <v>7.586207</v>
      </c>
      <c r="O38" s="2" t="str">
        <f>HYPERLINK("http://exon.niaid.nih.gov/transcriptome/An_funestus_sialome/Sup_tab2/links/AGFRAG\AF-13-AGFRAG.txt","2L_Piece#1304")</f>
        <v>2L_Piece#1304</v>
      </c>
      <c r="P38" s="3">
        <v>2E-41</v>
      </c>
      <c r="Q38">
        <v>177</v>
      </c>
      <c r="R38">
        <v>54</v>
      </c>
      <c r="S38">
        <v>22225</v>
      </c>
      <c r="T38" s="4" t="str">
        <f>HYPERLINK("http://www.ensembl.org/Anopheles_gambiae/contigview?chr=2L&amp;region=&amp;start=32592225&amp;end=32602400","2L")</f>
        <v>2L</v>
      </c>
      <c r="U38">
        <v>32597225</v>
      </c>
      <c r="V38">
        <v>32597400</v>
      </c>
      <c r="W38" s="2" t="str">
        <f>HYPERLINK("http://exon.niaid.nih.gov/transcriptome/An_funestus_sialome/Sup_tab2/links/AGPROT\AF-13-AGPROT.txt","ENSANGP00000010065")</f>
        <v>ENSANGP00000010065</v>
      </c>
      <c r="X38" s="3" t="str">
        <f>HYPERLINK("http://www.ensembl.org/Anopheles_gambiae/protview?peptide=ENSANGP00000010065","1E-042")</f>
        <v>1E-042</v>
      </c>
      <c r="Y38">
        <v>54</v>
      </c>
      <c r="Z38">
        <v>102</v>
      </c>
      <c r="AA38" s="2" t="str">
        <f>HYPERLINK("http://exon.niaid.nih.gov/transcriptome/An_funestus_sialome/Sup_tab2/links/AGTB2\AF-13-AGTB2.txt","salivary protein                                                 167   5e-045")</f>
        <v>salivary protein                                                 167   5e-045</v>
      </c>
      <c r="AB38" s="8">
        <v>5E-45</v>
      </c>
      <c r="AC38" t="s">
        <v>87</v>
      </c>
      <c r="AD38">
        <v>54</v>
      </c>
      <c r="AE38">
        <v>102</v>
      </c>
      <c r="AF38" s="5" t="s">
        <v>352</v>
      </c>
      <c r="AG38" t="s">
        <v>353</v>
      </c>
      <c r="AH38" s="2" t="str">
        <f>HYPERLINK("http://exon.niaid.nih.gov/transcriptome/An_funestus_sialome/Sup_tab2/links/NR\AF-13-NR.txt","ENSANGP00000010065 [Anopheles gambiae")</f>
        <v>ENSANGP00000010065 [Anopheles gambiae</v>
      </c>
      <c r="AI38" s="6" t="str">
        <f>HYPERLINK("http://www.ncbi.nlm.nih.gov/sutils/blink.cgi?pid=55239274","1E-040")</f>
        <v>1E-040</v>
      </c>
      <c r="AJ38" t="s">
        <v>88</v>
      </c>
      <c r="AK38">
        <v>54</v>
      </c>
      <c r="AL38">
        <v>102</v>
      </c>
      <c r="AM38" t="s">
        <v>59</v>
      </c>
      <c r="AN38" s="2" t="s">
        <v>89</v>
      </c>
      <c r="AO38" s="3">
        <f>HYPERLINK("http://exon.niaid.nih.gov/transcriptome/An_funestus_sialome/Sup_tab2/links/GO\AF-13-GO.txt",0.000000001)</f>
        <v>0</v>
      </c>
      <c r="AP38" t="s">
        <v>44</v>
      </c>
      <c r="AQ38" t="s">
        <v>45</v>
      </c>
      <c r="AR38" t="s">
        <v>46</v>
      </c>
      <c r="AS38" t="s">
        <v>47</v>
      </c>
      <c r="AT38">
        <v>1E-09</v>
      </c>
      <c r="AU38" s="2" t="str">
        <f>HYPERLINK("http://exon.niaid.nih.gov/transcriptome/An_funestus_sialome/Sup_tab2/links/KOG\AF-13-KOG.txt","Dosage compensation complex, subunit MLE")</f>
        <v>Dosage compensation complex, subunit MLE</v>
      </c>
      <c r="AV38" s="3" t="str">
        <f>HYPERLINK("http://www.ncbi.nlm.nih.gov/COG/new/shokog.cgi?KOG0921","0.004")</f>
        <v>0.004</v>
      </c>
      <c r="AW38" t="s">
        <v>90</v>
      </c>
      <c r="AX38" s="2" t="str">
        <f>HYPERLINK("http://exon.niaid.nih.gov/transcriptome/An_funestus_sialome/Sup_tab2/links/CDD\AF-13-CDD.txt","DUF390")</f>
        <v>DUF390</v>
      </c>
      <c r="AY38" s="3" t="str">
        <f>HYPERLINK("http://www.ncbi.nlm.nih.gov/Structure/cdd/cddsrv.cgi?uid=pfam04094&amp;version=v4.0","0.035")</f>
        <v>0.035</v>
      </c>
      <c r="AZ38" t="s">
        <v>91</v>
      </c>
      <c r="BA38" s="2" t="str">
        <f>HYPERLINK("http://exon.niaid.nih.gov/transcriptome/An_funestus_sialome/Sup_tab2/links/PFAM\AF-13-PFAM.txt","DUF390")</f>
        <v>DUF390</v>
      </c>
      <c r="BB38" s="3" t="str">
        <f>HYPERLINK("http://pfam.wustl.edu/cgi-bin/getdesc?acc=PF04094","0.019")</f>
        <v>0.019</v>
      </c>
      <c r="BC38" s="2" t="s">
        <v>4</v>
      </c>
      <c r="BD38" s="3" t="s">
        <v>4</v>
      </c>
    </row>
    <row r="39" spans="1:56" ht="11.25">
      <c r="A39" t="str">
        <f>HYPERLINK("http://exon.niaid.nih.gov/transcriptome/An_funestus_sialome/Sup_tab2/links/AF-10-pep.txt","AF-10")</f>
        <v>AF-10</v>
      </c>
      <c r="B39" s="4" t="s">
        <v>3</v>
      </c>
      <c r="C39" s="4">
        <v>112</v>
      </c>
      <c r="D39" t="str">
        <f>HYPERLINK("http://exon.niaid.nih.gov/transcriptome/An_funestus_sialome/Sup_tab2/links/AF-10-cds.txt","AF-10")</f>
        <v>AF-10</v>
      </c>
      <c r="E39" s="22" t="str">
        <f>HYPERLINK("http://exon.niaid.nih.gov/transcriptome/An_funestus_sialome/Sup_tab2/links/AF-10-SigP.txt","SIG")</f>
        <v>SIG</v>
      </c>
      <c r="F39" t="s">
        <v>420</v>
      </c>
      <c r="G39">
        <v>11.621</v>
      </c>
      <c r="H39">
        <v>3.97</v>
      </c>
      <c r="I39">
        <v>9.58</v>
      </c>
      <c r="J39">
        <v>3.65</v>
      </c>
      <c r="K39" s="22" t="str">
        <f>HYPERLINK("http://exon.niaid.nih.gov/transcriptome/An_funestus_sialome/Sup_tab2/links/AF-10-netoglyc.txt","0")</f>
        <v>0</v>
      </c>
      <c r="L39" s="7">
        <v>0</v>
      </c>
      <c r="M39" s="7">
        <v>17.85714</v>
      </c>
      <c r="N39" s="7">
        <v>6.25</v>
      </c>
      <c r="O39" s="2" t="str">
        <f>HYPERLINK("http://exon.niaid.nih.gov/transcriptome/An_funestus_sialome/Sup_tab2/links/AGFRAG\AF-10-AGFRAG.txt","2L_Piece#1305")</f>
        <v>2L_Piece#1305</v>
      </c>
      <c r="P39" s="3">
        <v>6E-30</v>
      </c>
      <c r="Q39">
        <v>115</v>
      </c>
      <c r="R39">
        <v>62</v>
      </c>
      <c r="S39">
        <v>2862</v>
      </c>
      <c r="T39" s="4" t="str">
        <f>HYPERLINK("http://www.ensembl.org/Anopheles_gambiae/contigview?chr=2L&amp;region=&amp;start=32597862&amp;end=32607863","2L")</f>
        <v>2L</v>
      </c>
      <c r="U39">
        <v>32602862</v>
      </c>
      <c r="V39">
        <v>32602863</v>
      </c>
      <c r="W39" s="2" t="str">
        <f>HYPERLINK("http://exon.niaid.nih.gov/transcriptome/An_funestus_sialome/Sup_tab2/links/AGPROT\AF-10-AGPROT.txt","ENSANGP00000010054")</f>
        <v>ENSANGP00000010054</v>
      </c>
      <c r="X39" s="3" t="str">
        <f>HYPERLINK("http://www.ensembl.org/Anopheles_gambiae/protview?peptide=ENSANGP00000010054","3E-031")</f>
        <v>3E-031</v>
      </c>
      <c r="Y39">
        <v>62</v>
      </c>
      <c r="Z39">
        <v>101</v>
      </c>
      <c r="AA39" s="2" t="str">
        <f>HYPERLINK("http://exon.niaid.nih.gov/transcriptome/An_funestus_sialome/Sup_tab2/links/AGTB2\AF-10-AGTB2.txt","salivary protein                                                  128   2e-033")</f>
        <v>salivary protein                                                  128   2e-033</v>
      </c>
      <c r="AB39" s="8">
        <v>2E-33</v>
      </c>
      <c r="AC39" t="s">
        <v>41</v>
      </c>
      <c r="AD39">
        <v>62</v>
      </c>
      <c r="AE39">
        <v>101</v>
      </c>
      <c r="AF39" s="5" t="s">
        <v>355</v>
      </c>
      <c r="AG39" t="s">
        <v>353</v>
      </c>
      <c r="AH39" s="2" t="str">
        <f>HYPERLINK("http://exon.niaid.nih.gov/transcriptome/An_funestus_sialome/Sup_tab2/links/NR\AF-10-NR.txt","putative salivary protein SG2B [Anoph")</f>
        <v>putative salivary protein SG2B [Anoph</v>
      </c>
      <c r="AI39" s="6" t="str">
        <f>HYPERLINK("http://www.ncbi.nlm.nih.gov/sutils/blink.cgi?pid=27372907","4E-043")</f>
        <v>4E-043</v>
      </c>
      <c r="AJ39" t="s">
        <v>42</v>
      </c>
      <c r="AK39">
        <v>75</v>
      </c>
      <c r="AL39">
        <v>94</v>
      </c>
      <c r="AM39" t="s">
        <v>34</v>
      </c>
      <c r="AN39" s="2" t="s">
        <v>43</v>
      </c>
      <c r="AO39" s="3">
        <f>HYPERLINK("http://exon.niaid.nih.gov/transcriptome/An_funestus_sialome/Sup_tab2/links/GO\AF-10-GO.txt",0.021)</f>
        <v>0</v>
      </c>
      <c r="AP39" t="s">
        <v>44</v>
      </c>
      <c r="AQ39" t="s">
        <v>45</v>
      </c>
      <c r="AR39" t="s">
        <v>46</v>
      </c>
      <c r="AS39" t="s">
        <v>47</v>
      </c>
      <c r="AT39">
        <v>0.06</v>
      </c>
      <c r="AU39" s="2" t="str">
        <f>HYPERLINK("http://exon.niaid.nih.gov/transcriptome/An_funestus_sialome/Sup_tab2/links/KOG\AF-10-KOG.txt","Rho guanine nucleotide exchange factor VAV3")</f>
        <v>Rho guanine nucleotide exchange factor VAV3</v>
      </c>
      <c r="AV39" s="3" t="str">
        <f>HYPERLINK("http://www.ncbi.nlm.nih.gov/COG/new/shokog.cgi?KOG2996","0.25")</f>
        <v>0.25</v>
      </c>
      <c r="AW39" t="s">
        <v>48</v>
      </c>
      <c r="AX39" s="2" t="str">
        <f>HYPERLINK("http://exon.niaid.nih.gov/transcriptome/An_funestus_sialome/Sup_tab2/links/CDD\AF-10-CDD.txt","SIN1")</f>
        <v>SIN1</v>
      </c>
      <c r="AY39" s="3" t="str">
        <f>HYPERLINK("http://www.ncbi.nlm.nih.gov/Structure/cdd/cddsrv.cgi?uid=pfam05422&amp;version=v4.0","0.008")</f>
        <v>0.008</v>
      </c>
      <c r="AZ39" t="s">
        <v>49</v>
      </c>
      <c r="BA39" s="2" t="str">
        <f>HYPERLINK("http://exon.niaid.nih.gov/transcriptome/An_funestus_sialome/Sup_tab2/links/PFAM\AF-10-PFAM.txt","SIN1")</f>
        <v>SIN1</v>
      </c>
      <c r="BB39" s="3" t="str">
        <f>HYPERLINK("http://pfam.wustl.edu/cgi-bin/getdesc?acc=PF05422","0.004")</f>
        <v>0.004</v>
      </c>
      <c r="BC39" s="2" t="str">
        <f>HYPERLINK("http://exon.niaid.nih.gov/transcriptome/An_funestus_sialome/Sup_tab2/links/SMART\AF-10-SMART.txt","JHBP")</f>
        <v>JHBP</v>
      </c>
      <c r="BD39" s="3" t="str">
        <f>HYPERLINK("http://smart.embl-heidelberg.de/smart/do_annotation.pl?DOMAIN=JHBP&amp;BLAST=DUMMY","0.28")</f>
        <v>0.28</v>
      </c>
    </row>
    <row r="40" spans="1:56" s="34" customFormat="1" ht="11.25">
      <c r="A40" s="33" t="s">
        <v>408</v>
      </c>
      <c r="C40" s="35"/>
      <c r="E40" s="36"/>
      <c r="K40" s="36"/>
      <c r="L40" s="37"/>
      <c r="M40" s="37"/>
      <c r="N40" s="37"/>
      <c r="O40" s="38"/>
      <c r="P40" s="39"/>
      <c r="W40" s="38"/>
      <c r="X40" s="39"/>
      <c r="AA40" s="38"/>
      <c r="AB40" s="40"/>
      <c r="AF40" s="38"/>
      <c r="AH40" s="38"/>
      <c r="AI40" s="41"/>
      <c r="AN40" s="38"/>
      <c r="AO40" s="39"/>
      <c r="AU40" s="38"/>
      <c r="AV40" s="39"/>
      <c r="AX40" s="38"/>
      <c r="AY40" s="39"/>
      <c r="BA40" s="38"/>
      <c r="BB40" s="39"/>
      <c r="BC40" s="38"/>
      <c r="BD40" s="39"/>
    </row>
    <row r="41" spans="1:56" ht="11.25">
      <c r="A41" t="str">
        <f>HYPERLINK("http://exon.niaid.nih.gov/transcriptome/An_funestus_sialome/Sup_tab2/links/AF-1-pep.txt","AF-1")</f>
        <v>AF-1</v>
      </c>
      <c r="B41" s="4" t="s">
        <v>3</v>
      </c>
      <c r="C41" s="4">
        <v>114</v>
      </c>
      <c r="D41" t="str">
        <f>HYPERLINK("http://exon.niaid.nih.gov/transcriptome/An_funestus_sialome/Sup_tab2/links/AF-1-cds.txt","AF-1")</f>
        <v>AF-1</v>
      </c>
      <c r="E41" s="22" t="str">
        <f>HYPERLINK("http://exon.niaid.nih.gov/transcriptome/An_funestus_sialome/Sup_tab2/links/AF-1-SigP.txt","SIG")</f>
        <v>SIG</v>
      </c>
      <c r="F41" t="s">
        <v>421</v>
      </c>
      <c r="G41">
        <v>13.071</v>
      </c>
      <c r="H41">
        <v>5.11</v>
      </c>
      <c r="I41">
        <v>10.947</v>
      </c>
      <c r="J41">
        <v>5.29</v>
      </c>
      <c r="K41" s="22" t="str">
        <f>HYPERLINK("http://exon.niaid.nih.gov/transcriptome/An_funestus_sialome/Sup_tab2/links/AF-1-netoglyc.txt","0")</f>
        <v>0</v>
      </c>
      <c r="L41" s="7">
        <v>0</v>
      </c>
      <c r="M41" s="7">
        <v>5.263158</v>
      </c>
      <c r="N41" s="7">
        <v>6.140351</v>
      </c>
      <c r="O41" s="2" t="str">
        <f>HYPERLINK("http://exon.niaid.nih.gov/transcriptome/An_funestus_sialome/Sup_tab2/links/AGFRAG\AF-1-AGFRAG.txt","X_Piece#97")</f>
        <v>X_Piece#97</v>
      </c>
      <c r="P41" s="3">
        <v>8E-48</v>
      </c>
      <c r="Q41">
        <v>115</v>
      </c>
      <c r="R41">
        <v>75</v>
      </c>
      <c r="S41">
        <v>5861</v>
      </c>
      <c r="T41" s="4" t="str">
        <f>HYPERLINK("http://www.ensembl.org/Anopheles_gambiae/contigview?chr=X&amp;region=&amp;start=2400861&amp;end=2410862","X")</f>
        <v>X</v>
      </c>
      <c r="U41">
        <v>2405861</v>
      </c>
      <c r="V41">
        <v>2405862</v>
      </c>
      <c r="W41" s="2" t="str">
        <f>HYPERLINK("http://exon.niaid.nih.gov/transcriptome/An_funestus_sialome/Sup_tab2/links/AGPROT\AF-1-AGPROT.txt","ENSANGP00000019455")</f>
        <v>ENSANGP00000019455</v>
      </c>
      <c r="X41" s="3" t="str">
        <f>HYPERLINK("http://www.ensembl.org/Anopheles_gambiae/protview?peptide=ENSANGP00000019455","4E-049")</f>
        <v>4E-049</v>
      </c>
      <c r="Y41">
        <v>75</v>
      </c>
      <c r="Z41">
        <v>100</v>
      </c>
      <c r="AA41" s="2" t="str">
        <f>HYPERLINK("http://exon.niaid.nih.gov/transcriptome/An_funestus_sialome/Sup_tab2/links/AGTB2\AF-1-AGTB2.txt","salivary peptide                                                 187   3e-051")</f>
        <v>salivary peptide                                                 187   3e-051</v>
      </c>
      <c r="AB41" s="8">
        <v>3E-51</v>
      </c>
      <c r="AC41" t="s">
        <v>32</v>
      </c>
      <c r="AD41">
        <v>75</v>
      </c>
      <c r="AE41">
        <v>100</v>
      </c>
      <c r="AF41" s="5" t="s">
        <v>350</v>
      </c>
      <c r="AG41" t="s">
        <v>351</v>
      </c>
      <c r="AH41" s="2" t="str">
        <f>HYPERLINK("http://exon.niaid.nih.gov/transcriptome/An_funestus_sialome/Sup_tab2/links/NR\AF-1-NR.txt","gSG6 salivary gland protein precursor")</f>
        <v>gSG6 salivary gland protein precursor</v>
      </c>
      <c r="AI41" s="6" t="str">
        <f>HYPERLINK("http://www.ncbi.nlm.nih.gov/sutils/blink.cgi?pid=29501530","7E-052")</f>
        <v>7E-052</v>
      </c>
      <c r="AJ41" t="s">
        <v>33</v>
      </c>
      <c r="AK41">
        <v>81</v>
      </c>
      <c r="AL41">
        <v>99</v>
      </c>
      <c r="AM41" t="s">
        <v>34</v>
      </c>
      <c r="AN41" s="2" t="s">
        <v>35</v>
      </c>
      <c r="AO41" s="3">
        <f>HYPERLINK("http://exon.niaid.nih.gov/transcriptome/An_funestus_sialome/Sup_tab2/links/GO\AF-1-GO.txt",0.51)</f>
        <v>0</v>
      </c>
      <c r="AP41" t="s">
        <v>36</v>
      </c>
      <c r="AQ41" t="s">
        <v>37</v>
      </c>
      <c r="AR41" t="s">
        <v>38</v>
      </c>
      <c r="AS41" t="s">
        <v>39</v>
      </c>
      <c r="AT41">
        <v>0.87</v>
      </c>
      <c r="AU41" s="2" t="str">
        <f>HYPERLINK("http://exon.niaid.nih.gov/transcriptome/An_funestus_sialome/Sup_tab2/links/KOG\AF-1-KOG.txt","Beta-fructofuranosidase (invertase)")</f>
        <v>Beta-fructofuranosidase (invertase)</v>
      </c>
      <c r="AV41" s="3" t="str">
        <f>HYPERLINK("http://www.ncbi.nlm.nih.gov/COG/new/shokog.cgi?KOG0228","0.31")</f>
        <v>0.31</v>
      </c>
      <c r="AW41" t="s">
        <v>40</v>
      </c>
      <c r="AX41" s="2" t="s">
        <v>4</v>
      </c>
      <c r="AY41" s="3" t="s">
        <v>4</v>
      </c>
      <c r="AZ41" t="s">
        <v>4</v>
      </c>
      <c r="BA41" s="2" t="str">
        <f>HYPERLINK("http://exon.niaid.nih.gov/transcriptome/An_funestus_sialome/Sup_tab2/links/PFAM\AF-1-PFAM.txt","Glyco_hydro_32")</f>
        <v>Glyco_hydro_32</v>
      </c>
      <c r="BB41" s="3" t="str">
        <f>HYPERLINK("http://pfam.wustl.edu/cgi-bin/getdesc?acc=PF00251","0.25")</f>
        <v>0.25</v>
      </c>
      <c r="BC41" s="2" t="str">
        <f>HYPERLINK("http://exon.niaid.nih.gov/transcriptome/An_funestus_sialome/Sup_tab2/links/SMART\AF-1-SMART.txt","Glyco_32")</f>
        <v>Glyco_32</v>
      </c>
      <c r="BD41" s="3" t="str">
        <f>HYPERLINK("http://smart.embl-heidelberg.de/smart/do_annotation.pl?DOMAIN=Glyco_32&amp;BLAST=DUMMY","0.14")</f>
        <v>0.14</v>
      </c>
    </row>
    <row r="42" spans="1:56" s="34" customFormat="1" ht="11.25">
      <c r="A42" s="33" t="s">
        <v>409</v>
      </c>
      <c r="C42" s="35"/>
      <c r="E42" s="36"/>
      <c r="K42" s="36"/>
      <c r="L42" s="37"/>
      <c r="M42" s="37"/>
      <c r="N42" s="37"/>
      <c r="O42" s="38"/>
      <c r="P42" s="39"/>
      <c r="W42" s="38"/>
      <c r="X42" s="39"/>
      <c r="AA42" s="38"/>
      <c r="AB42" s="40"/>
      <c r="AF42" s="38"/>
      <c r="AH42" s="38"/>
      <c r="AI42" s="41"/>
      <c r="AN42" s="38"/>
      <c r="AO42" s="39"/>
      <c r="AU42" s="38"/>
      <c r="AV42" s="39"/>
      <c r="AX42" s="38"/>
      <c r="AY42" s="39"/>
      <c r="BA42" s="38"/>
      <c r="BB42" s="39"/>
      <c r="BC42" s="38"/>
      <c r="BD42" s="39"/>
    </row>
    <row r="43" spans="1:56" ht="11.25">
      <c r="A43" t="str">
        <f>HYPERLINK("http://exon.niaid.nih.gov/transcriptome/An_funestus_sialome/Sup_tab2/links/AF-5-pep.txt","AF-5")</f>
        <v>AF-5</v>
      </c>
      <c r="B43" s="4" t="s">
        <v>3</v>
      </c>
      <c r="C43" s="4">
        <v>142</v>
      </c>
      <c r="D43" t="str">
        <f>HYPERLINK("http://exon.niaid.nih.gov/transcriptome/An_funestus_sialome/Sup_tab2/links/AF-5-cds.txt","AF-5")</f>
        <v>AF-5</v>
      </c>
      <c r="E43" s="22" t="str">
        <f>HYPERLINK("http://exon.niaid.nih.gov/transcriptome/An_funestus_sialome/Sup_tab2/links/AF-5-SigP.txt","SIG")</f>
        <v>SIG</v>
      </c>
      <c r="F43" t="s">
        <v>422</v>
      </c>
      <c r="G43">
        <v>16.163</v>
      </c>
      <c r="H43">
        <v>6.81</v>
      </c>
      <c r="I43">
        <v>13.547</v>
      </c>
      <c r="J43">
        <v>7.03</v>
      </c>
      <c r="K43" s="22" t="str">
        <f>HYPERLINK("http://exon.niaid.nih.gov/transcriptome/An_funestus_sialome/Sup_tab2/links/AF-5-netoglyc.txt","1")</f>
        <v>1</v>
      </c>
      <c r="L43" s="7">
        <v>0.7042254</v>
      </c>
      <c r="M43" s="7">
        <v>3.521127</v>
      </c>
      <c r="N43" s="7">
        <v>4.929577</v>
      </c>
      <c r="O43" s="2" t="str">
        <f>HYPERLINK("http://exon.niaid.nih.gov/transcriptome/An_funestus_sialome/Sup_tab2/links/AGFRAG\AF-5-AGFRAG.txt","3R_Piece#279")</f>
        <v>3R_Piece#279</v>
      </c>
      <c r="P43" s="3">
        <v>1E-39</v>
      </c>
      <c r="Q43">
        <v>158</v>
      </c>
      <c r="R43">
        <v>55</v>
      </c>
      <c r="S43">
        <v>12740</v>
      </c>
      <c r="T43" s="4" t="str">
        <f>HYPERLINK("http://www.ensembl.org/Anopheles_gambiae/contigview?chr=3R&amp;region=&amp;start=6957740&amp;end=6967921","3R")</f>
        <v>3R</v>
      </c>
      <c r="U43">
        <v>6962740</v>
      </c>
      <c r="V43">
        <v>6962921</v>
      </c>
      <c r="W43" s="2" t="str">
        <f>HYPERLINK("http://exon.niaid.nih.gov/transcriptome/An_funestus_sialome/Sup_tab2/links/AGPROT\AF-5-AGPROT.txt","ENSANGP00000021970")</f>
        <v>ENSANGP00000021970</v>
      </c>
      <c r="X43" s="3" t="str">
        <f>HYPERLINK("http://www.ensembl.org/Anopheles_gambiae/protview?peptide=ENSANGP00000021970","2E-051")</f>
        <v>2E-051</v>
      </c>
      <c r="Y43">
        <v>69</v>
      </c>
      <c r="Z43">
        <v>97</v>
      </c>
      <c r="AA43" s="2" t="str">
        <f>HYPERLINK("http://exon.niaid.nih.gov/transcriptome/An_funestus_sialome/Sup_tab2/links/AGTB2\AF-5-AGTB2.txt","salivary protein                                                 196   1e-053")</f>
        <v>salivary protein                                                 196   1e-053</v>
      </c>
      <c r="AB43" s="8">
        <v>1E-53</v>
      </c>
      <c r="AC43" t="s">
        <v>231</v>
      </c>
      <c r="AD43">
        <v>69</v>
      </c>
      <c r="AE43">
        <v>97</v>
      </c>
      <c r="AF43" s="5" t="s">
        <v>348</v>
      </c>
      <c r="AG43" t="s">
        <v>349</v>
      </c>
      <c r="AH43" s="2" t="str">
        <f>HYPERLINK("http://exon.niaid.nih.gov/transcriptome/An_funestus_sialome/Sup_tab2/links/NR\AF-5-NR.txt","ENSANGP00000021970 [Anopheles gambiae")</f>
        <v>ENSANGP00000021970 [Anopheles gambiae</v>
      </c>
      <c r="AI43" s="6" t="str">
        <f>HYPERLINK("http://www.ncbi.nlm.nih.gov/sutils/blink.cgi?pid=55237472","2E-049")</f>
        <v>2E-049</v>
      </c>
      <c r="AJ43" t="s">
        <v>232</v>
      </c>
      <c r="AK43">
        <v>69</v>
      </c>
      <c r="AL43">
        <v>97</v>
      </c>
      <c r="AM43" t="s">
        <v>59</v>
      </c>
      <c r="AN43" s="2" t="s">
        <v>233</v>
      </c>
      <c r="AO43" s="3">
        <f>HYPERLINK("http://exon.niaid.nih.gov/transcriptome/An_funestus_sialome/Sup_tab2/links/GO\AF-5-GO.txt",0.56)</f>
        <v>0</v>
      </c>
      <c r="AP43" t="s">
        <v>4</v>
      </c>
      <c r="AQ43" t="s">
        <v>4</v>
      </c>
      <c r="AR43" t="s">
        <v>4</v>
      </c>
      <c r="AS43" t="s">
        <v>4</v>
      </c>
      <c r="AT43" t="s">
        <v>4</v>
      </c>
      <c r="AU43" s="2" t="s">
        <v>4</v>
      </c>
      <c r="AV43" s="3" t="s">
        <v>4</v>
      </c>
      <c r="AW43" t="s">
        <v>4</v>
      </c>
      <c r="AX43" s="2" t="str">
        <f>HYPERLINK("http://exon.niaid.nih.gov/transcriptome/An_funestus_sialome/Sup_tab2/links/CDD\AF-5-CDD.txt","FcbT3")</f>
        <v>FcbT3</v>
      </c>
      <c r="AY43" s="3" t="str">
        <f>HYPERLINK("http://www.ncbi.nlm.nih.gov/Structure/cdd/cddsrv.cgi?uid=COG4664&amp;version=v4.0","0.30")</f>
        <v>0.30</v>
      </c>
      <c r="AZ43" t="s">
        <v>234</v>
      </c>
      <c r="BA43" s="2" t="s">
        <v>4</v>
      </c>
      <c r="BB43" s="3" t="s">
        <v>4</v>
      </c>
      <c r="BC43" s="2" t="s">
        <v>4</v>
      </c>
      <c r="BD43" s="3" t="s">
        <v>4</v>
      </c>
    </row>
    <row r="44" spans="1:56" ht="11.25">
      <c r="A44" t="str">
        <f>HYPERLINK("http://exon.niaid.nih.gov/transcriptome/An_funestus_sialome/Sup_tab2/links/AF-54-pep.txt","AF-54")</f>
        <v>AF-54</v>
      </c>
      <c r="B44" s="4" t="s">
        <v>3</v>
      </c>
      <c r="C44" s="4">
        <v>141</v>
      </c>
      <c r="D44" t="str">
        <f>HYPERLINK("http://exon.niaid.nih.gov/transcriptome/An_funestus_sialome/Sup_tab2/links/AF-54-cds.txt","AF-54")</f>
        <v>AF-54</v>
      </c>
      <c r="E44" s="22" t="str">
        <f>HYPERLINK("http://exon.niaid.nih.gov/transcriptome/An_funestus_sialome/Sup_tab2/links/AF-54-SigP.txt","SIG")</f>
        <v>SIG</v>
      </c>
      <c r="F44" t="s">
        <v>422</v>
      </c>
      <c r="G44">
        <v>16.68</v>
      </c>
      <c r="H44">
        <v>9.81</v>
      </c>
      <c r="I44">
        <v>13.976</v>
      </c>
      <c r="J44">
        <v>9.91</v>
      </c>
      <c r="K44" s="22" t="str">
        <f>HYPERLINK("http://exon.niaid.nih.gov/transcriptome/An_funestus_sialome/Sup_tab2/links/AF-54-netoglyc.txt","0")</f>
        <v>0</v>
      </c>
      <c r="L44" s="7">
        <v>0</v>
      </c>
      <c r="M44" s="7">
        <v>2.12766</v>
      </c>
      <c r="N44" s="7">
        <v>2.836879</v>
      </c>
      <c r="O44" s="2" t="str">
        <f>HYPERLINK("http://exon.niaid.nih.gov/transcriptome/An_funestus_sialome/Sup_tab2/links/AGFRAG\AF-54-AGFRAG.txt","UNKN_Piece#2316")</f>
        <v>UNKN_Piece#2316</v>
      </c>
      <c r="P44" s="3">
        <v>6E-50</v>
      </c>
      <c r="Q44">
        <v>171</v>
      </c>
      <c r="R44">
        <v>54</v>
      </c>
      <c r="S44">
        <v>8004</v>
      </c>
      <c r="T44" s="4" t="str">
        <f>HYPERLINK("http://www.ensembl.org/Anopheles_gambiae/contigview?chr=UNKN&amp;region=&amp;start=57878004&amp;end=57888185","UNKN")</f>
        <v>UNKN</v>
      </c>
      <c r="U44">
        <v>57883004</v>
      </c>
      <c r="V44">
        <v>57883185</v>
      </c>
      <c r="W44" s="2" t="str">
        <f>HYPERLINK("http://exon.niaid.nih.gov/transcriptome/An_funestus_sialome/Sup_tab2/links/AGPROT\AF-54-AGPROT.txt","ENSANGP00000021970")</f>
        <v>ENSANGP00000021970</v>
      </c>
      <c r="X44" s="3" t="str">
        <f>HYPERLINK("http://www.ensembl.org/Anopheles_gambiae/protview?peptide=ENSANGP00000021970","5E-023")</f>
        <v>5E-023</v>
      </c>
      <c r="Y44">
        <v>37</v>
      </c>
      <c r="Z44">
        <v>97</v>
      </c>
      <c r="AA44" s="2" t="str">
        <f>HYPERLINK("http://exon.niaid.nih.gov/transcriptome/An_funestus_sialome/Sup_tab2/links/AGTB2\AF-54-AGTB2.txt","salivary protein                                               211   2e-058")</f>
        <v>salivary protein                                               211   2e-058</v>
      </c>
      <c r="AB44" s="8">
        <v>2E-58</v>
      </c>
      <c r="AC44" t="s">
        <v>203</v>
      </c>
      <c r="AD44">
        <v>67</v>
      </c>
      <c r="AE44">
        <v>99</v>
      </c>
      <c r="AF44" s="5" t="s">
        <v>347</v>
      </c>
      <c r="AG44" t="s">
        <v>349</v>
      </c>
      <c r="AH44" s="2" t="str">
        <f>HYPERLINK("http://exon.niaid.nih.gov/transcriptome/An_funestus_sialome/Sup_tab2/links/NR\AF-54-NR.txt","putative salivary protein gSG7 [Anoph")</f>
        <v>putative salivary protein gSG7 [Anoph</v>
      </c>
      <c r="AI44" s="6" t="str">
        <f>HYPERLINK("http://www.ncbi.nlm.nih.gov/sutils/blink.cgi?pid=27372909","1E-054")</f>
        <v>1E-054</v>
      </c>
      <c r="AJ44" t="s">
        <v>239</v>
      </c>
      <c r="AK44">
        <v>70</v>
      </c>
      <c r="AL44">
        <v>99</v>
      </c>
      <c r="AM44" t="s">
        <v>34</v>
      </c>
      <c r="AN44" s="2" t="s">
        <v>4</v>
      </c>
      <c r="AO44" s="3" t="s">
        <v>4</v>
      </c>
      <c r="AP44" t="s">
        <v>4</v>
      </c>
      <c r="AQ44" t="s">
        <v>4</v>
      </c>
      <c r="AR44" t="s">
        <v>4</v>
      </c>
      <c r="AS44" t="s">
        <v>4</v>
      </c>
      <c r="AT44" t="s">
        <v>4</v>
      </c>
      <c r="AU44" s="2" t="s">
        <v>4</v>
      </c>
      <c r="AV44" s="3" t="s">
        <v>4</v>
      </c>
      <c r="AW44" t="s">
        <v>4</v>
      </c>
      <c r="AX44" s="2" t="s">
        <v>4</v>
      </c>
      <c r="AY44" s="3" t="s">
        <v>4</v>
      </c>
      <c r="AZ44" t="s">
        <v>4</v>
      </c>
      <c r="BA44" s="2" t="str">
        <f>HYPERLINK("http://exon.niaid.nih.gov/transcriptome/An_funestus_sialome/Sup_tab2/links/PFAM\AF-54-PFAM.txt","DiHfolate_red")</f>
        <v>DiHfolate_red</v>
      </c>
      <c r="BB44" s="3" t="str">
        <f>HYPERLINK("http://pfam.wustl.edu/cgi-bin/getdesc?acc=PF00186","0.85")</f>
        <v>0.85</v>
      </c>
      <c r="BC44" s="2" t="s">
        <v>4</v>
      </c>
      <c r="BD44" s="3" t="s">
        <v>4</v>
      </c>
    </row>
    <row r="45" spans="1:56" s="34" customFormat="1" ht="11.25">
      <c r="A45" s="33" t="s">
        <v>415</v>
      </c>
      <c r="C45" s="35"/>
      <c r="E45" s="36"/>
      <c r="K45" s="36"/>
      <c r="L45" s="37"/>
      <c r="M45" s="37"/>
      <c r="N45" s="37"/>
      <c r="O45" s="38"/>
      <c r="P45" s="39"/>
      <c r="W45" s="38"/>
      <c r="X45" s="39"/>
      <c r="AA45" s="38"/>
      <c r="AB45" s="40"/>
      <c r="AF45" s="38"/>
      <c r="AH45" s="38"/>
      <c r="AI45" s="41"/>
      <c r="AN45" s="38"/>
      <c r="AO45" s="39"/>
      <c r="AU45" s="38"/>
      <c r="AV45" s="39"/>
      <c r="AX45" s="38"/>
      <c r="AY45" s="39"/>
      <c r="BA45" s="38"/>
      <c r="BB45" s="39"/>
      <c r="BC45" s="38"/>
      <c r="BD45" s="39"/>
    </row>
    <row r="46" spans="1:56" ht="11.25">
      <c r="A46" t="str">
        <f>HYPERLINK("http://exon.niaid.nih.gov/transcriptome/An_funestus_sialome/Sup_tab2/links/AF-9-pep.txt","AF-9")</f>
        <v>AF-9</v>
      </c>
      <c r="B46" s="4" t="s">
        <v>3</v>
      </c>
      <c r="C46" s="4">
        <v>102</v>
      </c>
      <c r="D46" t="str">
        <f>HYPERLINK("http://exon.niaid.nih.gov/transcriptome/An_funestus_sialome/Sup_tab2/links/AF-9-cds.txt","AF-9")</f>
        <v>AF-9</v>
      </c>
      <c r="E46" s="22" t="str">
        <f>HYPERLINK("http://exon.niaid.nih.gov/transcriptome/An_funestus_sialome/Sup_tab2/links/AF-9-SigP.txt","SIG")</f>
        <v>SIG</v>
      </c>
      <c r="F46" t="s">
        <v>418</v>
      </c>
      <c r="G46">
        <v>11.122</v>
      </c>
      <c r="H46">
        <v>3.99</v>
      </c>
      <c r="I46">
        <v>8.967</v>
      </c>
      <c r="J46">
        <v>3.89</v>
      </c>
      <c r="K46" s="22" t="str">
        <f>HYPERLINK("http://exon.niaid.nih.gov/transcriptome/An_funestus_sialome/Sup_tab2/links/AF-9-netoglyc.txt","10")</f>
        <v>10</v>
      </c>
      <c r="L46" s="7">
        <v>9.803922</v>
      </c>
      <c r="M46" s="7">
        <v>2.941176</v>
      </c>
      <c r="N46" s="7">
        <v>8.823529</v>
      </c>
      <c r="O46" s="2" t="str">
        <f>HYPERLINK("http://exon.niaid.nih.gov/transcriptome/An_funestus_sialome/Sup_tab2/links/AGFRAG\AF-9-AGFRAG.txt","3R_Piece#160")</f>
        <v>3R_Piece#160</v>
      </c>
      <c r="P46" s="3">
        <v>4E-17</v>
      </c>
      <c r="Q46">
        <v>88</v>
      </c>
      <c r="R46">
        <v>45</v>
      </c>
      <c r="S46">
        <v>24587</v>
      </c>
      <c r="T46" s="4" t="str">
        <f>HYPERLINK("http://www.ensembl.org/Anopheles_gambiae/contigview?chr=3R&amp;region=&amp;start=3994587&amp;end=4004588","3R")</f>
        <v>3R</v>
      </c>
      <c r="U46">
        <v>3999587</v>
      </c>
      <c r="V46">
        <v>3999588</v>
      </c>
      <c r="W46" s="2" t="str">
        <f>HYPERLINK("http://exon.niaid.nih.gov/transcriptome/An_funestus_sialome/Sup_tab2/links/AGPROT\AF-9-AGPROT.txt","ENSANGP00000012315")</f>
        <v>ENSANGP00000012315</v>
      </c>
      <c r="X46" s="3" t="str">
        <f>HYPERLINK("http://www.ensembl.org/Anopheles_gambiae/protview?peptide=ENSANGP00000012315","1E-026")</f>
        <v>1E-026</v>
      </c>
      <c r="Y46">
        <v>59</v>
      </c>
      <c r="Z46">
        <v>102</v>
      </c>
      <c r="AA46" s="2" t="str">
        <f>HYPERLINK("http://exon.niaid.nih.gov/transcriptome/An_funestus_sialome/Sup_tab2/links/AGTB2\AF-9-AGTB2.txt","homolog of An. albimanus anophelin                                114   3e-029")</f>
        <v>homolog of An. albimanus anophelin                                114   3e-029</v>
      </c>
      <c r="AB46" s="8">
        <v>3E-29</v>
      </c>
      <c r="AC46" t="s">
        <v>255</v>
      </c>
      <c r="AD46">
        <v>59</v>
      </c>
      <c r="AE46">
        <v>102</v>
      </c>
      <c r="AF46" s="5" t="s">
        <v>356</v>
      </c>
      <c r="AG46" t="s">
        <v>357</v>
      </c>
      <c r="AH46" s="2" t="str">
        <f>HYPERLINK("http://exon.niaid.nih.gov/transcriptome/An_funestus_sialome/Sup_tab2/links/NR\AF-9-NR.txt","ENSANGP00000012315 [Anopheles gambiae")</f>
        <v>ENSANGP00000012315 [Anopheles gambiae</v>
      </c>
      <c r="AI46" s="6" t="str">
        <f>HYPERLINK("http://www.ncbi.nlm.nih.gov/sutils/blink.cgi?pid=55237673","3E-024")</f>
        <v>3E-024</v>
      </c>
      <c r="AJ46" t="s">
        <v>274</v>
      </c>
      <c r="AK46">
        <v>59</v>
      </c>
      <c r="AL46">
        <v>102</v>
      </c>
      <c r="AM46" t="s">
        <v>59</v>
      </c>
      <c r="AN46" s="2" t="s">
        <v>275</v>
      </c>
      <c r="AO46" s="3">
        <f>HYPERLINK("http://exon.niaid.nih.gov/transcriptome/An_funestus_sialome/Sup_tab2/links/GO\AF-9-GO.txt",0.012)</f>
        <v>0</v>
      </c>
      <c r="AP46" t="s">
        <v>276</v>
      </c>
      <c r="AQ46" t="s">
        <v>45</v>
      </c>
      <c r="AR46" t="s">
        <v>46</v>
      </c>
      <c r="AS46" t="s">
        <v>277</v>
      </c>
      <c r="AT46">
        <v>0.012</v>
      </c>
      <c r="AU46" s="2" t="str">
        <f>HYPERLINK("http://exon.niaid.nih.gov/transcriptome/An_funestus_sialome/Sup_tab2/links/KOG\AF-9-KOG.txt","Predicted ubiquitin-protein ligase/hyperplastic discs protein, HECT superfamily")</f>
        <v>Predicted ubiquitin-protein ligase/hyperplastic discs protein, HECT superfamily</v>
      </c>
      <c r="AV46" s="3" t="str">
        <f>HYPERLINK("http://www.ncbi.nlm.nih.gov/COG/new/shokog.cgi?KOG0943","0.037")</f>
        <v>0.037</v>
      </c>
      <c r="AW46" t="s">
        <v>278</v>
      </c>
      <c r="AX46" s="2" t="str">
        <f>HYPERLINK("http://exon.niaid.nih.gov/transcriptome/An_funestus_sialome/Sup_tab2/links/CDD\AF-9-CDD.txt","CART")</f>
        <v>CART</v>
      </c>
      <c r="AY46" s="3" t="str">
        <f>HYPERLINK("http://www.ncbi.nlm.nih.gov/Structure/cdd/cddsrv.cgi?uid=pfam06373&amp;version=v4.0","0.89")</f>
        <v>0.89</v>
      </c>
      <c r="AZ46" t="s">
        <v>279</v>
      </c>
      <c r="BA46" s="2" t="str">
        <f>HYPERLINK("http://exon.niaid.nih.gov/transcriptome/An_funestus_sialome/Sup_tab2/links/PFAM\AF-9-PFAM.txt","Rhabdo_glycop")</f>
        <v>Rhabdo_glycop</v>
      </c>
      <c r="BB46" s="3" t="str">
        <f>HYPERLINK("http://pfam.wustl.edu/cgi-bin/getdesc?acc=PF00974","0.37")</f>
        <v>0.37</v>
      </c>
      <c r="BC46" s="2" t="s">
        <v>4</v>
      </c>
      <c r="BD46" s="3" t="s">
        <v>4</v>
      </c>
    </row>
    <row r="47" spans="1:56" s="34" customFormat="1" ht="11.25">
      <c r="A47" s="33" t="s">
        <v>448</v>
      </c>
      <c r="C47" s="35"/>
      <c r="E47" s="36"/>
      <c r="K47" s="36"/>
      <c r="L47" s="37"/>
      <c r="M47" s="37"/>
      <c r="N47" s="37"/>
      <c r="O47" s="38"/>
      <c r="P47" s="39"/>
      <c r="W47" s="38"/>
      <c r="X47" s="39"/>
      <c r="AA47" s="38"/>
      <c r="AB47" s="40"/>
      <c r="AF47" s="38"/>
      <c r="AH47" s="38"/>
      <c r="AI47" s="41"/>
      <c r="AN47" s="38"/>
      <c r="AO47" s="39"/>
      <c r="AU47" s="38"/>
      <c r="AV47" s="39"/>
      <c r="AX47" s="38"/>
      <c r="AY47" s="39"/>
      <c r="BA47" s="38"/>
      <c r="BB47" s="39"/>
      <c r="BC47" s="38"/>
      <c r="BD47" s="39"/>
    </row>
    <row r="48" spans="1:56" ht="11.25">
      <c r="A48" t="str">
        <f>HYPERLINK("http://exon.niaid.nih.gov/transcriptome/An_funestus_sialome/Sup_tab2/links/AF-23-pep.txt","AF-23")</f>
        <v>AF-23</v>
      </c>
      <c r="B48" s="4" t="s">
        <v>3</v>
      </c>
      <c r="C48" s="4">
        <v>95</v>
      </c>
      <c r="D48" t="str">
        <f>HYPERLINK("http://exon.niaid.nih.gov/transcriptome/An_funestus_sialome/Sup_tab2/links/AF-23-cds.txt","AF-23")</f>
        <v>AF-23</v>
      </c>
      <c r="E48" s="22" t="str">
        <f>HYPERLINK("http://exon.niaid.nih.gov/transcriptome/An_funestus_sialome/Sup_tab2/links/AF-23-SigP.txt","SIG")</f>
        <v>SIG</v>
      </c>
      <c r="F48" t="s">
        <v>419</v>
      </c>
      <c r="G48">
        <v>10.437</v>
      </c>
      <c r="H48">
        <v>5.32</v>
      </c>
      <c r="I48">
        <v>8.332</v>
      </c>
      <c r="J48">
        <v>5.04</v>
      </c>
      <c r="K48" s="22" t="str">
        <f>HYPERLINK("http://exon.niaid.nih.gov/transcriptome/An_funestus_sialome/Sup_tab2/links/AF-23-netoglyc.txt","9")</f>
        <v>9</v>
      </c>
      <c r="L48" s="7">
        <v>9.473684</v>
      </c>
      <c r="M48" s="7">
        <v>3.157895</v>
      </c>
      <c r="N48" s="7">
        <v>8.421053</v>
      </c>
      <c r="O48" s="2" t="str">
        <f>HYPERLINK("http://exon.niaid.nih.gov/transcriptome/An_funestus_sialome/Sup_tab2/links/AGFRAG\AF-23-AGFRAG.txt","2L_Piece#1298")</f>
        <v>2L_Piece#1298</v>
      </c>
      <c r="P48" s="3">
        <v>1E-13</v>
      </c>
      <c r="Q48">
        <v>82</v>
      </c>
      <c r="R48">
        <v>42</v>
      </c>
      <c r="S48">
        <v>8056</v>
      </c>
      <c r="T48" s="4" t="str">
        <f>HYPERLINK("http://www.ensembl.org/Anopheles_gambiae/contigview?chr=2L&amp;region=&amp;start=32428056&amp;end=32438057","2L")</f>
        <v>2L</v>
      </c>
      <c r="U48">
        <v>32433056</v>
      </c>
      <c r="V48">
        <v>32433057</v>
      </c>
      <c r="W48" s="2" t="str">
        <f>HYPERLINK("http://exon.niaid.nih.gov/transcriptome/An_funestus_sialome/Sup_tab2/links/AGPROT\AF-23-AGPROT.txt","ENSANGP00000004315")</f>
        <v>ENSANGP00000004315</v>
      </c>
      <c r="X48" s="3" t="str">
        <f>HYPERLINK("http://www.ensembl.org/Anopheles_gambiae/protview?peptide=ENSANGP00000004315","7E-015")</f>
        <v>7E-015</v>
      </c>
      <c r="Y48">
        <v>42</v>
      </c>
      <c r="Z48">
        <v>101</v>
      </c>
      <c r="AA48" s="2" t="str">
        <f>HYPERLINK("http://exon.niaid.nih.gov/transcriptome/An_funestus_sialome/Sup_tab2/links/AGTB2\AF-23-AGTB2.txt","hypothetical salivary protein 8.2 - full length                 74   3e-017")</f>
        <v>hypothetical salivary protein 8.2 - full length                 74   3e-017</v>
      </c>
      <c r="AB48" s="8">
        <v>3E-17</v>
      </c>
      <c r="AC48" t="s">
        <v>131</v>
      </c>
      <c r="AD48">
        <v>42</v>
      </c>
      <c r="AE48">
        <v>90</v>
      </c>
      <c r="AF48" s="5" t="s">
        <v>364</v>
      </c>
      <c r="AG48" t="s">
        <v>365</v>
      </c>
      <c r="AH48" s="2" t="str">
        <f>HYPERLINK("http://exon.niaid.nih.gov/transcriptome/An_funestus_sialome/Sup_tab2/links/NR\AF-23-NR.txt","ENSANGP00000004315 [Anopheles gambiae")</f>
        <v>ENSANGP00000004315 [Anopheles gambiae</v>
      </c>
      <c r="AI48" s="6" t="str">
        <f>HYPERLINK("http://www.ncbi.nlm.nih.gov/sutils/blink.cgi?pid=21299285","1E-012")</f>
        <v>1E-012</v>
      </c>
      <c r="AJ48" t="s">
        <v>132</v>
      </c>
      <c r="AK48">
        <v>42</v>
      </c>
      <c r="AL48">
        <v>101</v>
      </c>
      <c r="AM48" t="s">
        <v>59</v>
      </c>
      <c r="AN48" s="2" t="s">
        <v>133</v>
      </c>
      <c r="AO48" s="3">
        <f>HYPERLINK("http://exon.niaid.nih.gov/transcriptome/An_funestus_sialome/Sup_tab2/links/GO\AF-23-GO.txt",0.3)</f>
        <v>0</v>
      </c>
      <c r="AP48" t="s">
        <v>82</v>
      </c>
      <c r="AQ48" t="s">
        <v>82</v>
      </c>
      <c r="AS48" t="s">
        <v>134</v>
      </c>
      <c r="AT48">
        <v>0.3</v>
      </c>
      <c r="AU48" s="2" t="s">
        <v>4</v>
      </c>
      <c r="AV48" s="3" t="s">
        <v>4</v>
      </c>
      <c r="AW48" t="s">
        <v>4</v>
      </c>
      <c r="AX48" s="2" t="str">
        <f>HYPERLINK("http://exon.niaid.nih.gov/transcriptome/An_funestus_sialome/Sup_tab2/links/CDD\AF-23-CDD.txt","AF-4")</f>
        <v>AF-4</v>
      </c>
      <c r="AY48" s="3" t="str">
        <f>HYPERLINK("http://www.ncbi.nlm.nih.gov/Structure/cdd/cddsrv.cgi?uid=pfam05110&amp;version=v4.0","0.86")</f>
        <v>0.86</v>
      </c>
      <c r="AZ48" t="s">
        <v>135</v>
      </c>
      <c r="BA48" s="2" t="str">
        <f>HYPERLINK("http://exon.niaid.nih.gov/transcriptome/An_funestus_sialome/Sup_tab2/links/PFAM\AF-23-PFAM.txt","AF-4")</f>
        <v>AF-4</v>
      </c>
      <c r="BB48" s="3" t="str">
        <f>HYPERLINK("http://pfam.wustl.edu/cgi-bin/getdesc?acc=PF05110","0.46")</f>
        <v>0.46</v>
      </c>
      <c r="BC48" s="2" t="s">
        <v>4</v>
      </c>
      <c r="BD48" s="3" t="s">
        <v>4</v>
      </c>
    </row>
    <row r="49" spans="1:56" s="34" customFormat="1" ht="11.25">
      <c r="A49" s="33" t="s">
        <v>449</v>
      </c>
      <c r="C49" s="35"/>
      <c r="E49" s="36"/>
      <c r="K49" s="36"/>
      <c r="L49" s="37"/>
      <c r="M49" s="37"/>
      <c r="N49" s="37"/>
      <c r="O49" s="38"/>
      <c r="P49" s="39"/>
      <c r="W49" s="38"/>
      <c r="X49" s="39"/>
      <c r="AA49" s="38"/>
      <c r="AB49" s="40"/>
      <c r="AF49" s="38"/>
      <c r="AH49" s="38"/>
      <c r="AI49" s="41"/>
      <c r="AN49" s="38"/>
      <c r="AO49" s="39"/>
      <c r="AU49" s="38"/>
      <c r="AV49" s="39"/>
      <c r="AX49" s="38"/>
      <c r="AY49" s="39"/>
      <c r="BA49" s="38"/>
      <c r="BB49" s="39"/>
      <c r="BC49" s="38"/>
      <c r="BD49" s="39"/>
    </row>
    <row r="50" spans="1:56" ht="11.25">
      <c r="A50" t="str">
        <f>HYPERLINK("http://exon.niaid.nih.gov/transcriptome/An_funestus_sialome/Sup_tab2/links/AF-38-pep.txt","AF-38")</f>
        <v>AF-38</v>
      </c>
      <c r="B50" s="4" t="s">
        <v>3</v>
      </c>
      <c r="C50" s="4">
        <v>94</v>
      </c>
      <c r="D50" t="str">
        <f>HYPERLINK("http://exon.niaid.nih.gov/transcriptome/An_funestus_sialome/Sup_tab2/links/AF-38-cds.txt","AF-38")</f>
        <v>AF-38</v>
      </c>
      <c r="E50" s="22" t="str">
        <f>HYPERLINK("http://exon.niaid.nih.gov/transcriptome/An_funestus_sialome/Sup_tab2/links/AF-38-SigP.txt","SIG")</f>
        <v>SIG</v>
      </c>
      <c r="F50" t="s">
        <v>424</v>
      </c>
      <c r="G50">
        <v>10.221</v>
      </c>
      <c r="H50">
        <v>10.39</v>
      </c>
      <c r="I50">
        <v>6.929</v>
      </c>
      <c r="J50">
        <v>9.52</v>
      </c>
      <c r="K50" s="22" t="str">
        <f>HYPERLINK("http://exon.niaid.nih.gov/transcriptome/An_funestus_sialome/Sup_tab2/links/AF-38-netoglyc.txt","6")</f>
        <v>6</v>
      </c>
      <c r="L50" s="7">
        <v>6.382979</v>
      </c>
      <c r="M50" s="7">
        <v>10.6383</v>
      </c>
      <c r="N50" s="7">
        <v>3.191489</v>
      </c>
      <c r="O50" s="2" t="str">
        <f>HYPERLINK("http://exon.niaid.nih.gov/transcriptome/An_funestus_sialome/Sup_tab2/links/AGFRAG\AF-38-AGFRAG.txt","2L_Piece#1298")</f>
        <v>2L_Piece#1298</v>
      </c>
      <c r="P50" s="3">
        <v>2E-19</v>
      </c>
      <c r="Q50">
        <v>96</v>
      </c>
      <c r="R50">
        <v>61</v>
      </c>
      <c r="S50">
        <v>9823</v>
      </c>
      <c r="T50" s="4" t="str">
        <f>HYPERLINK("http://www.ensembl.org/Anopheles_gambiae/contigview?chr=2L&amp;region=&amp;start=32429823&amp;end=32439824","2L")</f>
        <v>2L</v>
      </c>
      <c r="U50">
        <v>32434823</v>
      </c>
      <c r="V50">
        <v>32434824</v>
      </c>
      <c r="W50" s="2" t="str">
        <f>HYPERLINK("http://exon.niaid.nih.gov/transcriptome/An_funestus_sialome/Sup_tab2/links/AGPROT\AF-38-AGPROT.txt","ENSANGP00000004890")</f>
        <v>ENSANGP00000004890</v>
      </c>
      <c r="X50" s="3" t="str">
        <f>HYPERLINK("http://www.ensembl.org/Anopheles_gambiae/protview?peptide=ENSANGP00000004890","0.94")</f>
        <v>0.94</v>
      </c>
      <c r="Y50">
        <v>48</v>
      </c>
      <c r="Z50">
        <v>21</v>
      </c>
      <c r="AA50" s="2" t="str">
        <f>HYPERLINK("http://exon.niaid.nih.gov/transcriptome/An_funestus_sialome/Sup_tab2/links/AGTB2\AF-38-AGTB2.txt","putative secreted salivary basic peptide of unknown funct")</f>
        <v>putative secreted salivary basic peptide of unknown funct</v>
      </c>
      <c r="AB50" s="8">
        <v>4E-23</v>
      </c>
      <c r="AC50" t="s">
        <v>201</v>
      </c>
      <c r="AD50">
        <v>61</v>
      </c>
      <c r="AE50">
        <v>113</v>
      </c>
      <c r="AF50" s="5" t="s">
        <v>358</v>
      </c>
      <c r="AG50" t="s">
        <v>359</v>
      </c>
      <c r="AH50" s="2" t="str">
        <f>HYPERLINK("http://exon.niaid.nih.gov/transcriptome/An_funestus_sialome/Sup_tab2/links/NR\AF-38-NR.txt","hyp6.2 precursor [Anopheles gambiae]        94   2e-018")</f>
        <v>hyp6.2 precursor [Anopheles gambiae]        94   2e-018</v>
      </c>
      <c r="AI50" s="6" t="str">
        <f>HYPERLINK("http://www.ncbi.nlm.nih.gov/sutils/blink.cgi?pid=62546223","2E-018")</f>
        <v>2E-018</v>
      </c>
      <c r="AJ50" t="s">
        <v>202</v>
      </c>
      <c r="AK50">
        <v>61</v>
      </c>
      <c r="AL50">
        <v>113</v>
      </c>
      <c r="AM50" t="s">
        <v>120</v>
      </c>
      <c r="AN50" s="2" t="s">
        <v>4</v>
      </c>
      <c r="AO50" s="3" t="s">
        <v>4</v>
      </c>
      <c r="AP50" t="s">
        <v>4</v>
      </c>
      <c r="AQ50" t="s">
        <v>4</v>
      </c>
      <c r="AR50" t="s">
        <v>4</v>
      </c>
      <c r="AS50" t="s">
        <v>4</v>
      </c>
      <c r="AT50" t="s">
        <v>4</v>
      </c>
      <c r="AU50" s="2" t="s">
        <v>4</v>
      </c>
      <c r="AV50" s="3" t="s">
        <v>4</v>
      </c>
      <c r="AW50" t="s">
        <v>4</v>
      </c>
      <c r="AX50" s="2" t="s">
        <v>4</v>
      </c>
      <c r="AY50" s="3" t="s">
        <v>4</v>
      </c>
      <c r="AZ50" t="s">
        <v>4</v>
      </c>
      <c r="BA50" s="2" t="str">
        <f>HYPERLINK("http://exon.niaid.nih.gov/transcriptome/An_funestus_sialome/Sup_tab2/links/PFAM\AF-38-PFAM.txt","Tricho_coat")</f>
        <v>Tricho_coat</v>
      </c>
      <c r="BB50" s="3" t="str">
        <f>HYPERLINK("http://pfam.wustl.edu/cgi-bin/getdesc?acc=PF05892","0.67")</f>
        <v>0.67</v>
      </c>
      <c r="BC50" s="2" t="s">
        <v>4</v>
      </c>
      <c r="BD50" s="3" t="s">
        <v>4</v>
      </c>
    </row>
    <row r="51" spans="1:56" s="34" customFormat="1" ht="11.25">
      <c r="A51" s="33" t="s">
        <v>458</v>
      </c>
      <c r="C51" s="35"/>
      <c r="E51" s="36"/>
      <c r="K51" s="36"/>
      <c r="L51" s="37"/>
      <c r="M51" s="37"/>
      <c r="N51" s="37"/>
      <c r="O51" s="38"/>
      <c r="P51" s="39"/>
      <c r="W51" s="38"/>
      <c r="X51" s="39"/>
      <c r="AA51" s="38"/>
      <c r="AB51" s="40"/>
      <c r="AF51" s="38"/>
      <c r="AH51" s="38"/>
      <c r="AI51" s="41"/>
      <c r="AN51" s="38"/>
      <c r="AO51" s="39"/>
      <c r="AU51" s="38"/>
      <c r="AV51" s="39"/>
      <c r="AX51" s="38"/>
      <c r="AY51" s="39"/>
      <c r="BA51" s="38"/>
      <c r="BB51" s="39"/>
      <c r="BC51" s="38"/>
      <c r="BD51" s="39"/>
    </row>
    <row r="52" spans="1:56" ht="11.25">
      <c r="A52" t="str">
        <f>HYPERLINK("http://exon.niaid.nih.gov/transcriptome/An_funestus_sialome/Sup_tab2/links/AFC-202-pep.txt","AFC-202")</f>
        <v>AFC-202</v>
      </c>
      <c r="B52" s="4" t="s">
        <v>3</v>
      </c>
      <c r="C52" s="4">
        <v>69</v>
      </c>
      <c r="D52" t="str">
        <f>HYPERLINK("http://exon.niaid.nih.gov/transcriptome/An_funestus_sialome/Sup_tab2/links/AFC-202-cds.txt","AFC-202")</f>
        <v>AFC-202</v>
      </c>
      <c r="E52" s="22" t="str">
        <f>HYPERLINK("http://exon.niaid.nih.gov/transcriptome/An_funestus_sialome/Sup_tab2/links/AFC-202-SigP.txt","SIG")</f>
        <v>SIG</v>
      </c>
      <c r="F52" t="s">
        <v>420</v>
      </c>
      <c r="G52">
        <v>7.375</v>
      </c>
      <c r="H52">
        <v>4.75</v>
      </c>
      <c r="I52">
        <v>5.276</v>
      </c>
      <c r="J52">
        <v>4.48</v>
      </c>
      <c r="K52" s="22" t="str">
        <f>HYPERLINK("http://exon.niaid.nih.gov/transcriptome/An_funestus_sialome/Sup_tab2/links/AFC-202-netoglyc.txt","2")</f>
        <v>2</v>
      </c>
      <c r="L52" s="7">
        <v>2.898551</v>
      </c>
      <c r="M52" s="7">
        <v>4.347826</v>
      </c>
      <c r="N52" s="7">
        <v>4.347826</v>
      </c>
      <c r="O52" s="2" t="s">
        <v>4</v>
      </c>
      <c r="P52" s="3" t="s">
        <v>4</v>
      </c>
      <c r="Q52" t="s">
        <v>4</v>
      </c>
      <c r="R52" t="s">
        <v>4</v>
      </c>
      <c r="S52" t="s">
        <v>4</v>
      </c>
      <c r="T52" s="4" t="s">
        <v>4</v>
      </c>
      <c r="U52" t="s">
        <v>4</v>
      </c>
      <c r="V52" t="s">
        <v>4</v>
      </c>
      <c r="W52" s="2" t="str">
        <f>HYPERLINK("http://exon.niaid.nih.gov/transcriptome/An_funestus_sialome/Sup_tab2/links/AGPROT\AFC-202-AGPROT.txt","ENSANGP00000014362")</f>
        <v>ENSANGP00000014362</v>
      </c>
      <c r="X52" s="3" t="str">
        <f>HYPERLINK("http://www.ensembl.org/Anopheles_gambiae/protview?peptide=ENSANGP00000014362","4E-008")</f>
        <v>4E-008</v>
      </c>
      <c r="Y52">
        <v>53</v>
      </c>
      <c r="Z52">
        <v>111</v>
      </c>
      <c r="AA52" s="2" t="str">
        <f>HYPERLINK("http://exon.niaid.nih.gov/transcriptome/An_funestus_sialome/Sup_tab2/links/AGTB2\AFC-202-AGTB2.txt","hypothetical 4.2 kda secreted peptide                           52   1e-010")</f>
        <v>hypothetical 4.2 kda secreted peptide                           52   1e-010</v>
      </c>
      <c r="AB52" s="8">
        <v>1E-10</v>
      </c>
      <c r="AC52" t="s">
        <v>296</v>
      </c>
      <c r="AD52">
        <v>53</v>
      </c>
      <c r="AE52">
        <v>111</v>
      </c>
      <c r="AF52" s="5" t="s">
        <v>366</v>
      </c>
      <c r="AG52" t="s">
        <v>367</v>
      </c>
      <c r="AH52" s="2" t="str">
        <f>HYPERLINK("http://exon.niaid.nih.gov/transcriptome/An_funestus_sialome/Sup_tab2/links/NR\AFC-202-NR.txt","ENSANGP00000014362 [Anopheles gambiae")</f>
        <v>ENSANGP00000014362 [Anopheles gambiae</v>
      </c>
      <c r="AI52" s="6" t="str">
        <f>HYPERLINK("http://www.ncbi.nlm.nih.gov/sutils/blink.cgi?pid=55242637","7E-006")</f>
        <v>7E-006</v>
      </c>
      <c r="AJ52" t="s">
        <v>297</v>
      </c>
      <c r="AK52">
        <v>53</v>
      </c>
      <c r="AL52">
        <v>111</v>
      </c>
      <c r="AM52" t="s">
        <v>59</v>
      </c>
      <c r="AN52" s="2" t="s">
        <v>4</v>
      </c>
      <c r="AO52" s="3" t="s">
        <v>4</v>
      </c>
      <c r="AP52" t="s">
        <v>4</v>
      </c>
      <c r="AQ52" t="s">
        <v>4</v>
      </c>
      <c r="AR52" t="s">
        <v>4</v>
      </c>
      <c r="AS52" t="s">
        <v>4</v>
      </c>
      <c r="AT52" t="s">
        <v>4</v>
      </c>
      <c r="AU52" s="2" t="s">
        <v>4</v>
      </c>
      <c r="AV52" s="3" t="s">
        <v>4</v>
      </c>
      <c r="AW52" t="s">
        <v>4</v>
      </c>
      <c r="AX52" s="2" t="s">
        <v>4</v>
      </c>
      <c r="AY52" s="3" t="s">
        <v>4</v>
      </c>
      <c r="AZ52" t="s">
        <v>4</v>
      </c>
      <c r="BA52" s="2" t="str">
        <f>HYPERLINK("http://exon.niaid.nih.gov/transcriptome/An_funestus_sialome/Sup_tab2/links/PFAM\AFC-202-PFAM.txt","LEAP-2")</f>
        <v>LEAP-2</v>
      </c>
      <c r="BB52" s="3" t="str">
        <f>HYPERLINK("http://pfam.wustl.edu/cgi-bin/getdesc?acc=PF07359","0.27")</f>
        <v>0.27</v>
      </c>
      <c r="BC52" s="2" t="s">
        <v>4</v>
      </c>
      <c r="BD52" s="3" t="s">
        <v>4</v>
      </c>
    </row>
    <row r="53" spans="1:56" s="34" customFormat="1" ht="11.25">
      <c r="A53" s="33" t="s">
        <v>457</v>
      </c>
      <c r="C53" s="35"/>
      <c r="E53" s="36"/>
      <c r="K53" s="36"/>
      <c r="L53" s="37"/>
      <c r="M53" s="37"/>
      <c r="N53" s="37"/>
      <c r="O53" s="38"/>
      <c r="P53" s="39"/>
      <c r="W53" s="38"/>
      <c r="X53" s="39"/>
      <c r="AA53" s="38"/>
      <c r="AB53" s="40"/>
      <c r="AF53" s="38"/>
      <c r="AH53" s="38"/>
      <c r="AI53" s="41"/>
      <c r="AN53" s="38"/>
      <c r="AO53" s="39"/>
      <c r="AU53" s="38"/>
      <c r="AV53" s="39"/>
      <c r="AX53" s="38"/>
      <c r="AY53" s="39"/>
      <c r="BA53" s="38"/>
      <c r="BB53" s="39"/>
      <c r="BC53" s="38"/>
      <c r="BD53" s="39"/>
    </row>
    <row r="54" spans="1:56" ht="11.25">
      <c r="A54" t="str">
        <f>HYPERLINK("http://exon.niaid.nih.gov/transcriptome/An_funestus_sialome/Sup_tab2/links/AF-24-pep.txt","AF-24")</f>
        <v>AF-24</v>
      </c>
      <c r="B54" s="4" t="s">
        <v>3</v>
      </c>
      <c r="C54" s="4">
        <v>80</v>
      </c>
      <c r="D54" t="str">
        <f>HYPERLINK("http://exon.niaid.nih.gov/transcriptome/An_funestus_sialome/Sup_tab2/links/AF-24-cds.txt","AF-24")</f>
        <v>AF-24</v>
      </c>
      <c r="E54" s="22" t="str">
        <f>HYPERLINK("http://exon.niaid.nih.gov/transcriptome/An_funestus_sialome/Sup_tab2/links/AF-24-SigP.txt","SIG")</f>
        <v>SIG</v>
      </c>
      <c r="F54" t="s">
        <v>425</v>
      </c>
      <c r="G54">
        <v>8.073</v>
      </c>
      <c r="H54">
        <v>9.79</v>
      </c>
      <c r="I54">
        <v>4.938</v>
      </c>
      <c r="J54">
        <v>11.43</v>
      </c>
      <c r="K54" s="22" t="str">
        <f>HYPERLINK("http://exon.niaid.nih.gov/transcriptome/An_funestus_sialome/Sup_tab2/links/AF-24-netoglyc.txt","2")</f>
        <v>2</v>
      </c>
      <c r="L54" s="7">
        <v>2.5</v>
      </c>
      <c r="M54" s="7">
        <v>12.5</v>
      </c>
      <c r="N54" s="7">
        <v>3.75</v>
      </c>
      <c r="O54" s="2" t="str">
        <f>HYPERLINK("http://exon.niaid.nih.gov/transcriptome/An_funestus_sialome/Sup_tab2/links/AGFRAG\AF-24-AGFRAG.txt","X_Piece#99")</f>
        <v>X_Piece#99</v>
      </c>
      <c r="P54" s="3">
        <v>2E-16</v>
      </c>
      <c r="Q54">
        <v>74</v>
      </c>
      <c r="R54">
        <v>55</v>
      </c>
      <c r="S54">
        <v>6162</v>
      </c>
      <c r="T54" s="4" t="str">
        <f>HYPERLINK("http://www.ensembl.org/Anopheles_gambiae/contigview?chr=X&amp;region=&amp;start=2451162&amp;end=2461163","X")</f>
        <v>X</v>
      </c>
      <c r="U54">
        <v>2456162</v>
      </c>
      <c r="V54">
        <v>2456163</v>
      </c>
      <c r="W54" s="2" t="str">
        <f>HYPERLINK("http://exon.niaid.nih.gov/transcriptome/An_funestus_sialome/Sup_tab2/links/AGPROT\AF-24-AGPROT.txt","ENSANGP00000019369")</f>
        <v>ENSANGP00000019369</v>
      </c>
      <c r="X54" s="3" t="str">
        <f>HYPERLINK("http://www.ensembl.org/Anopheles_gambiae/protview?peptide=ENSANGP00000019369","8E-018")</f>
        <v>8E-018</v>
      </c>
      <c r="Y54">
        <v>55</v>
      </c>
      <c r="Z54">
        <v>95</v>
      </c>
      <c r="AA54" s="2" t="str">
        <f>HYPERLINK("http://exon.niaid.nih.gov/transcriptome/An_funestus_sialome/Sup_tab2/links/AGTB2\AF-24-AGTB2.txt","hypothetical salivary protein 15                                 88   2e-021")</f>
        <v>hypothetical salivary protein 15                                 88   2e-021</v>
      </c>
      <c r="AB54" s="8">
        <v>2E-21</v>
      </c>
      <c r="AC54" t="s">
        <v>136</v>
      </c>
      <c r="AD54">
        <v>56</v>
      </c>
      <c r="AE54">
        <v>103</v>
      </c>
      <c r="AF54" s="5" t="s">
        <v>360</v>
      </c>
      <c r="AG54" t="s">
        <v>361</v>
      </c>
      <c r="AH54" s="2" t="str">
        <f>HYPERLINK("http://exon.niaid.nih.gov/transcriptome/An_funestus_sialome/Sup_tab2/links/NR\AF-24-NR.txt","hypothetical protein 15 [Anopheles ga")</f>
        <v>hypothetical protein 15 [Anopheles ga</v>
      </c>
      <c r="AI54" s="6" t="str">
        <f>HYPERLINK("http://www.ncbi.nlm.nih.gov/sutils/blink.cgi?pid=18389911","9E-017")</f>
        <v>9E-017</v>
      </c>
      <c r="AJ54" t="s">
        <v>137</v>
      </c>
      <c r="AK54">
        <v>56</v>
      </c>
      <c r="AL54">
        <v>103</v>
      </c>
      <c r="AM54" t="s">
        <v>120</v>
      </c>
      <c r="AN54" s="2" t="s">
        <v>138</v>
      </c>
      <c r="AO54" s="3">
        <f>HYPERLINK("http://exon.niaid.nih.gov/transcriptome/An_funestus_sialome/Sup_tab2/links/GO\AF-24-GO.txt",0.87)</f>
        <v>0</v>
      </c>
      <c r="AP54" t="s">
        <v>139</v>
      </c>
      <c r="AQ54" t="s">
        <v>65</v>
      </c>
      <c r="AR54" t="s">
        <v>140</v>
      </c>
      <c r="AS54" t="s">
        <v>141</v>
      </c>
      <c r="AT54">
        <v>0.87</v>
      </c>
      <c r="AU54" s="2" t="s">
        <v>4</v>
      </c>
      <c r="AV54" s="3" t="s">
        <v>4</v>
      </c>
      <c r="AW54" t="s">
        <v>4</v>
      </c>
      <c r="AX54" s="2" t="s">
        <v>4</v>
      </c>
      <c r="AY54" s="3" t="s">
        <v>4</v>
      </c>
      <c r="AZ54" t="s">
        <v>4</v>
      </c>
      <c r="BA54" s="2" t="s">
        <v>4</v>
      </c>
      <c r="BB54" s="3" t="s">
        <v>4</v>
      </c>
      <c r="BC54" s="2" t="s">
        <v>4</v>
      </c>
      <c r="BD54" s="3" t="s">
        <v>4</v>
      </c>
    </row>
    <row r="55" spans="1:56" s="34" customFormat="1" ht="11.25">
      <c r="A55" s="33" t="s">
        <v>459</v>
      </c>
      <c r="C55" s="35"/>
      <c r="E55" s="36"/>
      <c r="K55" s="36"/>
      <c r="L55" s="37"/>
      <c r="M55" s="37"/>
      <c r="N55" s="37"/>
      <c r="O55" s="38"/>
      <c r="P55" s="39"/>
      <c r="W55" s="38"/>
      <c r="X55" s="39"/>
      <c r="AA55" s="38"/>
      <c r="AB55" s="40"/>
      <c r="AF55" s="38"/>
      <c r="AH55" s="38"/>
      <c r="AI55" s="41"/>
      <c r="AN55" s="38"/>
      <c r="AO55" s="39"/>
      <c r="AU55" s="38"/>
      <c r="AV55" s="39"/>
      <c r="AX55" s="38"/>
      <c r="AY55" s="39"/>
      <c r="BA55" s="38"/>
      <c r="BB55" s="39"/>
      <c r="BC55" s="38"/>
      <c r="BD55" s="39"/>
    </row>
    <row r="56" spans="1:56" ht="12" thickBot="1">
      <c r="A56" t="str">
        <f>HYPERLINK("http://exon.niaid.nih.gov/transcriptome/An_funestus_sialome/Sup_tab2/links/AF-29-pep.txt","AF-29")</f>
        <v>AF-29</v>
      </c>
      <c r="B56" s="4" t="s">
        <v>3</v>
      </c>
      <c r="C56" s="4">
        <v>89</v>
      </c>
      <c r="D56" t="str">
        <f>HYPERLINK("http://exon.niaid.nih.gov/transcriptome/An_funestus_sialome/Sup_tab2/links/AF-29-cds.txt","AF-29")</f>
        <v>AF-29</v>
      </c>
      <c r="E56" s="22" t="str">
        <f>HYPERLINK("http://exon.niaid.nih.gov/transcriptome/An_funestus_sialome/Sup_tab2/links/AF-29-SigP.txt","SIG")</f>
        <v>SIG</v>
      </c>
      <c r="F56" t="s">
        <v>421</v>
      </c>
      <c r="G56">
        <v>10.141</v>
      </c>
      <c r="H56">
        <v>4.51</v>
      </c>
      <c r="I56">
        <v>7.991</v>
      </c>
      <c r="J56">
        <v>4.28</v>
      </c>
      <c r="K56" s="22" t="str">
        <f>HYPERLINK("http://exon.niaid.nih.gov/transcriptome/An_funestus_sialome/Sup_tab2/links/AF-29-netoglyc.txt","0")</f>
        <v>0</v>
      </c>
      <c r="L56" s="7">
        <v>0</v>
      </c>
      <c r="M56" s="7">
        <v>4.494382</v>
      </c>
      <c r="N56" s="7">
        <v>2.247191</v>
      </c>
      <c r="O56" s="2" t="str">
        <f>HYPERLINK("http://exon.niaid.nih.gov/transcriptome/An_funestus_sialome/Sup_tab2/links/AGFRAG\AF-29-AGFRAG.txt","3R_Piece#353")</f>
        <v>3R_Piece#353</v>
      </c>
      <c r="P56" s="3">
        <v>7E-13</v>
      </c>
      <c r="Q56">
        <v>88</v>
      </c>
      <c r="R56">
        <v>44</v>
      </c>
      <c r="S56">
        <v>9972</v>
      </c>
      <c r="T56" s="4" t="str">
        <f>HYPERLINK("http://www.ensembl.org/Anopheles_gambiae/contigview?chr=3R&amp;region=&amp;start=8804972&amp;end=8815235","3R")</f>
        <v>3R</v>
      </c>
      <c r="U56">
        <v>8809972</v>
      </c>
      <c r="V56">
        <v>8810235</v>
      </c>
      <c r="W56" s="2" t="str">
        <f>HYPERLINK("http://exon.niaid.nih.gov/transcriptome/An_funestus_sialome/Sup_tab2/links/AGPROT\AF-29-AGPROT.txt","ENSANGP00000018379")</f>
        <v>ENSANGP00000018379</v>
      </c>
      <c r="X56" s="3" t="str">
        <f>HYPERLINK("http://www.ensembl.org/Anopheles_gambiae/protview?peptide=ENSANGP00000018379","5E-016")</f>
        <v>5E-016</v>
      </c>
      <c r="Y56">
        <v>46</v>
      </c>
      <c r="Z56">
        <v>100</v>
      </c>
      <c r="AA56" s="2" t="str">
        <f>HYPERLINK("http://exon.niaid.nih.gov/transcriptome/An_funestus_sialome/Sup_tab2/links/AGTB2\AF-29-AGTB2.txt","hypothetical salivary protein 12                                 78   2e-018")</f>
        <v>hypothetical salivary protein 12                                 78   2e-018</v>
      </c>
      <c r="AB56" s="8">
        <v>2E-18</v>
      </c>
      <c r="AC56" t="s">
        <v>159</v>
      </c>
      <c r="AD56">
        <v>46</v>
      </c>
      <c r="AE56">
        <v>100</v>
      </c>
      <c r="AF56" s="5" t="s">
        <v>362</v>
      </c>
      <c r="AG56" t="s">
        <v>363</v>
      </c>
      <c r="AH56" s="2" t="str">
        <f>HYPERLINK("http://exon.niaid.nih.gov/transcriptome/An_funestus_sialome/Sup_tab2/links/NR\AF-29-NR.txt","putative salivary protein hyp12 [Anop")</f>
        <v>putative salivary protein hyp12 [Anop</v>
      </c>
      <c r="AI56" s="6" t="str">
        <f>HYPERLINK("http://www.ncbi.nlm.nih.gov/sutils/blink.cgi?pid=27372893","3E-021")</f>
        <v>3E-021</v>
      </c>
      <c r="AJ56" t="s">
        <v>160</v>
      </c>
      <c r="AK56">
        <v>55</v>
      </c>
      <c r="AL56">
        <v>100</v>
      </c>
      <c r="AM56" t="s">
        <v>34</v>
      </c>
      <c r="AN56" s="2" t="s">
        <v>4</v>
      </c>
      <c r="AO56" s="3" t="s">
        <v>4</v>
      </c>
      <c r="AP56" t="s">
        <v>4</v>
      </c>
      <c r="AQ56" t="s">
        <v>4</v>
      </c>
      <c r="AR56" t="s">
        <v>4</v>
      </c>
      <c r="AS56" t="s">
        <v>4</v>
      </c>
      <c r="AT56" t="s">
        <v>4</v>
      </c>
      <c r="AU56" s="2" t="s">
        <v>4</v>
      </c>
      <c r="AV56" s="3" t="s">
        <v>4</v>
      </c>
      <c r="AW56" t="s">
        <v>4</v>
      </c>
      <c r="AX56" s="2" t="s">
        <v>4</v>
      </c>
      <c r="AY56" s="3" t="s">
        <v>4</v>
      </c>
      <c r="AZ56" t="s">
        <v>4</v>
      </c>
      <c r="BA56" s="2" t="s">
        <v>4</v>
      </c>
      <c r="BB56" s="3" t="s">
        <v>4</v>
      </c>
      <c r="BC56" s="2" t="s">
        <v>4</v>
      </c>
      <c r="BD56" s="3" t="s">
        <v>4</v>
      </c>
    </row>
    <row r="57" spans="1:56" s="44" customFormat="1" ht="11.25" customHeight="1">
      <c r="A57" s="43" t="s">
        <v>416</v>
      </c>
      <c r="C57" s="45"/>
      <c r="E57" s="28"/>
      <c r="K57" s="28"/>
      <c r="L57" s="46"/>
      <c r="M57" s="46"/>
      <c r="N57" s="46"/>
      <c r="O57" s="47"/>
      <c r="P57" s="48"/>
      <c r="W57" s="47"/>
      <c r="X57" s="48"/>
      <c r="AA57" s="47"/>
      <c r="AB57" s="49"/>
      <c r="AF57" s="47"/>
      <c r="AH57" s="47"/>
      <c r="AI57" s="50"/>
      <c r="AN57" s="47"/>
      <c r="AO57" s="48"/>
      <c r="AU57" s="47"/>
      <c r="AV57" s="48"/>
      <c r="AX57" s="47"/>
      <c r="AY57" s="48"/>
      <c r="BA57" s="47"/>
      <c r="BB57" s="48"/>
      <c r="BC57" s="47"/>
      <c r="BD57" s="48"/>
    </row>
    <row r="58" spans="1:56" s="34" customFormat="1" ht="11.25">
      <c r="A58" s="33" t="s">
        <v>456</v>
      </c>
      <c r="C58" s="35"/>
      <c r="E58" s="36"/>
      <c r="K58" s="36"/>
      <c r="L58" s="37"/>
      <c r="M58" s="37"/>
      <c r="N58" s="37"/>
      <c r="O58" s="38"/>
      <c r="P58" s="39"/>
      <c r="W58" s="38"/>
      <c r="X58" s="39"/>
      <c r="AA58" s="38"/>
      <c r="AB58" s="40"/>
      <c r="AF58" s="38"/>
      <c r="AH58" s="38"/>
      <c r="AI58" s="41"/>
      <c r="AN58" s="38"/>
      <c r="AO58" s="39"/>
      <c r="AU58" s="38"/>
      <c r="AV58" s="39"/>
      <c r="AX58" s="38"/>
      <c r="AY58" s="39"/>
      <c r="BA58" s="38"/>
      <c r="BB58" s="39"/>
      <c r="BC58" s="38"/>
      <c r="BD58" s="39"/>
    </row>
    <row r="59" spans="1:56" ht="11.25">
      <c r="A59" t="str">
        <f>HYPERLINK("http://exon.niaid.nih.gov/transcriptome/An_funestus_sialome/Sup_tab2/links/AF-115-pep.txt","AF-115")</f>
        <v>AF-115</v>
      </c>
      <c r="B59" s="4" t="s">
        <v>3</v>
      </c>
      <c r="C59" s="4">
        <v>64</v>
      </c>
      <c r="D59" t="str">
        <f>HYPERLINK("http://exon.niaid.nih.gov/transcriptome/An_funestus_sialome/Sup_tab2/links/AF-115-cds.txt","AF-115")</f>
        <v>AF-115</v>
      </c>
      <c r="E59" s="22" t="str">
        <f>HYPERLINK("http://exon.niaid.nih.gov/transcriptome/An_funestus_sialome/Sup_tab2/links/AF-115-SigP.txt","CYT")</f>
        <v>CYT</v>
      </c>
      <c r="F59" t="s">
        <v>4</v>
      </c>
      <c r="G59">
        <v>6.948</v>
      </c>
      <c r="H59">
        <v>9.95</v>
      </c>
      <c r="L59" s="7">
        <v>0</v>
      </c>
      <c r="M59" s="7">
        <v>12.5</v>
      </c>
      <c r="N59" s="7">
        <v>4.6875</v>
      </c>
      <c r="O59" s="2" t="str">
        <f>HYPERLINK("http://exon.niaid.nih.gov/transcriptome/An_funestus_sialome/Sup_tab2/links/AGFRAG\AF-115-AGFRAG.txt","3R_Piece#161")</f>
        <v>3R_Piece#161</v>
      </c>
      <c r="P59" s="3">
        <v>6E-27</v>
      </c>
      <c r="Q59">
        <v>64</v>
      </c>
      <c r="R59">
        <v>90</v>
      </c>
      <c r="S59">
        <v>21300</v>
      </c>
      <c r="T59" s="4" t="str">
        <f>HYPERLINK("http://www.ensembl.org/Anopheles_gambiae/contigview?chr=3R&amp;region=&amp;start=4016300&amp;end=4026491","3R")</f>
        <v>3R</v>
      </c>
      <c r="U59">
        <v>4021300</v>
      </c>
      <c r="V59">
        <v>4021491</v>
      </c>
      <c r="W59" s="2" t="str">
        <f>HYPERLINK("http://exon.niaid.nih.gov/transcriptome/An_funestus_sialome/Sup_tab2/links/AGPROT\AF-115-AGPROT.txt","ENSANGP00000012349")</f>
        <v>ENSANGP00000012349</v>
      </c>
      <c r="X59" s="3" t="str">
        <f>HYPERLINK("http://www.ensembl.org/Anopheles_gambiae/protview?peptide=ENSANGP00000012349","3E-028")</f>
        <v>3E-028</v>
      </c>
      <c r="Y59">
        <v>90</v>
      </c>
      <c r="Z59">
        <v>100</v>
      </c>
      <c r="AA59" s="2" t="str">
        <f>HYPERLINK("http://exon.niaid.nih.gov/transcriptome/An_funestus_sialome/Sup_tab2/links/AGTB2\AF-115-AGTB2.txt","salivary protein                                                  18   2.2")</f>
        <v>salivary protein                                                  18   2.2</v>
      </c>
      <c r="AB59" s="8">
        <v>2.2</v>
      </c>
      <c r="AC59" t="s">
        <v>57</v>
      </c>
      <c r="AD59">
        <v>54</v>
      </c>
      <c r="AE59">
        <v>3</v>
      </c>
      <c r="AF59" s="5" t="s">
        <v>392</v>
      </c>
      <c r="AG59" t="s">
        <v>374</v>
      </c>
      <c r="AH59" s="2" t="str">
        <f>HYPERLINK("http://exon.niaid.nih.gov/transcriptome/An_funestus_sialome/Sup_tab2/links/NR\AF-115-NR.txt","ENSANGP00000012349 [Anopheles gambiae")</f>
        <v>ENSANGP00000012349 [Anopheles gambiae</v>
      </c>
      <c r="AI59" s="6" t="str">
        <f>HYPERLINK("http://www.ncbi.nlm.nih.gov/sutils/blink.cgi?pid=55237669","6E-026")</f>
        <v>6E-026</v>
      </c>
      <c r="AJ59" t="s">
        <v>58</v>
      </c>
      <c r="AK59">
        <v>90</v>
      </c>
      <c r="AL59">
        <v>100</v>
      </c>
      <c r="AM59" t="s">
        <v>59</v>
      </c>
      <c r="AN59" s="2" t="s">
        <v>60</v>
      </c>
      <c r="AO59" s="3">
        <f>HYPERLINK("http://exon.niaid.nih.gov/transcriptome/An_funestus_sialome/Sup_tab2/links/GO\AF-115-GO.txt",0.000000000000002)</f>
        <v>0</v>
      </c>
      <c r="AP59" t="s">
        <v>53</v>
      </c>
      <c r="AQ59" t="s">
        <v>53</v>
      </c>
      <c r="AS59" t="s">
        <v>54</v>
      </c>
      <c r="AT59">
        <v>0.23</v>
      </c>
      <c r="AU59" s="2" t="s">
        <v>4</v>
      </c>
      <c r="AV59" s="3" t="s">
        <v>4</v>
      </c>
      <c r="AW59" t="s">
        <v>4</v>
      </c>
      <c r="AX59" s="2" t="s">
        <v>4</v>
      </c>
      <c r="AY59" s="3" t="s">
        <v>4</v>
      </c>
      <c r="AZ59" t="s">
        <v>4</v>
      </c>
      <c r="BA59" s="2" t="s">
        <v>4</v>
      </c>
      <c r="BB59" s="3" t="s">
        <v>4</v>
      </c>
      <c r="BC59" s="2" t="s">
        <v>4</v>
      </c>
      <c r="BD59" s="3" t="s">
        <v>4</v>
      </c>
    </row>
    <row r="60" spans="1:56" ht="11.25">
      <c r="A60" t="str">
        <f>HYPERLINK("http://exon.niaid.nih.gov/transcriptome/An_funestus_sialome/Sup_tab2/links/AF-122-pep.txt","AF-122")</f>
        <v>AF-122</v>
      </c>
      <c r="B60" s="4" t="s">
        <v>3</v>
      </c>
      <c r="C60" s="4">
        <v>198</v>
      </c>
      <c r="D60" t="str">
        <f>HYPERLINK("http://exon.niaid.nih.gov/transcriptome/An_funestus_sialome/Sup_tab2/links/AF-122-cds.txt","AF-122")</f>
        <v>AF-122</v>
      </c>
      <c r="E60" s="22" t="str">
        <f>HYPERLINK("http://exon.niaid.nih.gov/transcriptome/An_funestus_sialome/Sup_tab2/links/AF-122-SigP.txt","CYT")</f>
        <v>CYT</v>
      </c>
      <c r="F60" t="s">
        <v>4</v>
      </c>
      <c r="G60">
        <v>22.209</v>
      </c>
      <c r="H60">
        <v>9.34</v>
      </c>
      <c r="L60" s="7">
        <v>0.5050505</v>
      </c>
      <c r="M60" s="7">
        <v>1.010101</v>
      </c>
      <c r="N60" s="7">
        <v>4.040404</v>
      </c>
      <c r="O60" s="2" t="str">
        <f>HYPERLINK("http://exon.niaid.nih.gov/transcriptome/An_funestus_sialome/Sup_tab2/links/AGFRAG\AF-122-AGFRAG.txt","UNKN_Piece#1705")</f>
        <v>UNKN_Piece#1705</v>
      </c>
      <c r="P60" s="3">
        <v>3E-83</v>
      </c>
      <c r="Q60">
        <v>147</v>
      </c>
      <c r="R60">
        <v>85</v>
      </c>
      <c r="S60">
        <v>6366</v>
      </c>
      <c r="T60" s="4" t="str">
        <f>HYPERLINK("http://www.ensembl.org/Anopheles_gambiae/contigview?chr=UNKN&amp;region=&amp;start=42601366&amp;end=42611803","UNKN")</f>
        <v>UNKN</v>
      </c>
      <c r="U60">
        <v>42606366</v>
      </c>
      <c r="V60">
        <v>42606803</v>
      </c>
      <c r="W60" s="2" t="str">
        <f>HYPERLINK("http://exon.niaid.nih.gov/transcriptome/An_funestus_sialome/Sup_tab2/links/AGPROT\AF-122-AGPROT.txt","ENSANGP00000014638")</f>
        <v>ENSANGP00000014638</v>
      </c>
      <c r="X60" s="3" t="str">
        <f>HYPERLINK("http://www.ensembl.org/Anopheles_gambiae/protview?peptide=ENSANGP00000014638","9E-090")</f>
        <v>9E-090</v>
      </c>
      <c r="Y60">
        <v>85</v>
      </c>
      <c r="Z60">
        <v>93</v>
      </c>
      <c r="AA60" s="2" t="str">
        <f>HYPERLINK("http://exon.niaid.nih.gov/transcriptome/An_funestus_sialome/Sup_tab2/links/AGTB2\AF-122-AGTB2.txt","salivary calreticulin                                 26   0.029")</f>
        <v>salivary calreticulin                                 26   0.029</v>
      </c>
      <c r="AB60" s="8">
        <v>0.029</v>
      </c>
      <c r="AC60" t="s">
        <v>70</v>
      </c>
      <c r="AD60">
        <v>36</v>
      </c>
      <c r="AE60">
        <v>11</v>
      </c>
      <c r="AF60" s="5" t="s">
        <v>373</v>
      </c>
      <c r="AG60" t="s">
        <v>374</v>
      </c>
      <c r="AH60" s="2" t="str">
        <f>HYPERLINK("http://exon.niaid.nih.gov/transcriptome/An_funestus_sialome/Sup_tab2/links/NR\AF-122-NR.txt","ENSANGP00000014638 [Anopheles gambiae")</f>
        <v>ENSANGP00000014638 [Anopheles gambiae</v>
      </c>
      <c r="AI60" s="6" t="str">
        <f>HYPERLINK("http://www.ncbi.nlm.nih.gov/sutils/blink.cgi?pid=55247226","1E-087")</f>
        <v>1E-087</v>
      </c>
      <c r="AJ60" t="s">
        <v>71</v>
      </c>
      <c r="AK60">
        <v>85</v>
      </c>
      <c r="AL60">
        <v>93</v>
      </c>
      <c r="AM60" t="s">
        <v>59</v>
      </c>
      <c r="AN60" s="2" t="s">
        <v>72</v>
      </c>
      <c r="AO60" s="3">
        <f>HYPERLINK("http://exon.niaid.nih.gov/transcriptome/An_funestus_sialome/Sup_tab2/links/GO\AF-122-GO.txt",2E-39)</f>
        <v>0</v>
      </c>
      <c r="AP60" t="s">
        <v>73</v>
      </c>
      <c r="AQ60" t="s">
        <v>45</v>
      </c>
      <c r="AR60" t="s">
        <v>74</v>
      </c>
      <c r="AS60" t="s">
        <v>75</v>
      </c>
      <c r="AT60">
        <v>7E-06</v>
      </c>
      <c r="AU60" s="2" t="str">
        <f>HYPERLINK("http://exon.niaid.nih.gov/transcriptome/An_funestus_sialome/Sup_tab2/links/KOG\AF-122-KOG.txt","Uncharacterized conserved protein")</f>
        <v>Uncharacterized conserved protein</v>
      </c>
      <c r="AV60" s="3" t="str">
        <f>HYPERLINK("http://www.ncbi.nlm.nih.gov/COG/new/shokog.cgi?KOG3223","7E-021")</f>
        <v>7E-021</v>
      </c>
      <c r="AW60" t="s">
        <v>55</v>
      </c>
      <c r="AX60" s="2" t="str">
        <f>HYPERLINK("http://exon.niaid.nih.gov/transcriptome/An_funestus_sialome/Sup_tab2/links/CDD\AF-122-CDD.txt","DUF1014")</f>
        <v>DUF1014</v>
      </c>
      <c r="AY60" s="3" t="str">
        <f>HYPERLINK("http://www.ncbi.nlm.nih.gov/Structure/cdd/cddsrv.cgi?uid=pfam06244&amp;version=v4.0","4E-017")</f>
        <v>4E-017</v>
      </c>
      <c r="AZ60" t="s">
        <v>76</v>
      </c>
      <c r="BA60" s="2" t="str">
        <f>HYPERLINK("http://exon.niaid.nih.gov/transcriptome/An_funestus_sialome/Sup_tab2/links/PFAM\AF-122-PFAM.txt","DUF1014")</f>
        <v>DUF1014</v>
      </c>
      <c r="BB60" s="3" t="str">
        <f>HYPERLINK("http://pfam.wustl.edu/cgi-bin/getdesc?acc=PF06244","2E-017")</f>
        <v>2E-017</v>
      </c>
      <c r="BC60" s="2" t="s">
        <v>4</v>
      </c>
      <c r="BD60" s="3" t="s">
        <v>4</v>
      </c>
    </row>
    <row r="61" spans="1:56" ht="11.25">
      <c r="A61" t="str">
        <f>HYPERLINK("http://exon.niaid.nih.gov/transcriptome/An_funestus_sialome/Sup_tab2/links/AF-340-pep.txt","AF-340")</f>
        <v>AF-340</v>
      </c>
      <c r="B61" s="4" t="s">
        <v>3</v>
      </c>
      <c r="C61" s="4">
        <v>212</v>
      </c>
      <c r="D61" t="str">
        <f>HYPERLINK("http://exon.niaid.nih.gov/transcriptome/An_funestus_sialome/Sup_tab2/links/AF-340-cds.txt","AF-340")</f>
        <v>AF-340</v>
      </c>
      <c r="E61" s="22" t="str">
        <f>HYPERLINK("http://exon.niaid.nih.gov/transcriptome/An_funestus_sialome/Sup_tab2/links/AF-340-SigP.txt","CYT")</f>
        <v>CYT</v>
      </c>
      <c r="F61" t="s">
        <v>4</v>
      </c>
      <c r="G61">
        <v>23.3</v>
      </c>
      <c r="H61">
        <v>5.33</v>
      </c>
      <c r="L61" s="7">
        <v>4.245283</v>
      </c>
      <c r="M61" s="7">
        <v>5.188679</v>
      </c>
      <c r="N61" s="7">
        <v>3.301887</v>
      </c>
      <c r="O61" s="2" t="str">
        <f>HYPERLINK("http://exon.niaid.nih.gov/transcriptome/An_funestus_sialome/Sup_tab2/links/AGFRAG\AF-340-AGFRAG.txt","2L_Piece#167")</f>
        <v>2L_Piece#167</v>
      </c>
      <c r="P61" s="3">
        <v>7E-40</v>
      </c>
      <c r="Q61">
        <v>119</v>
      </c>
      <c r="R61">
        <v>77</v>
      </c>
      <c r="S61">
        <v>13974</v>
      </c>
      <c r="T61" s="4" t="str">
        <f>HYPERLINK("http://www.ensembl.org/Anopheles_gambiae/contigview?chr=2L&amp;region=&amp;start=4158974&amp;end=4168975","2L")</f>
        <v>2L</v>
      </c>
      <c r="U61">
        <v>4163974</v>
      </c>
      <c r="V61">
        <v>4163975</v>
      </c>
      <c r="W61" s="2" t="str">
        <f>HYPERLINK("http://exon.niaid.nih.gov/transcriptome/An_funestus_sialome/Sup_tab2/links/AGPROT\AF-340-AGPROT.txt","ENSANGP00000022681")</f>
        <v>ENSANGP00000022681</v>
      </c>
      <c r="X61" s="3" t="str">
        <f>HYPERLINK("http://www.ensembl.org/Anopheles_gambiae/protview?peptide=ENSANGP00000022681","1E-111")</f>
        <v>1E-111</v>
      </c>
      <c r="Y61">
        <v>97</v>
      </c>
      <c r="Z61">
        <v>100</v>
      </c>
      <c r="AA61" s="2" t="str">
        <f>HYPERLINK("http://exon.niaid.nih.gov/transcriptome/An_funestus_sialome/Sup_tab2/links/AGTB2\AF-340-AGTB2.txt","salivary protein of the G1 family of anopheline proteins          26   0.032")</f>
        <v>salivary protein of the G1 family of anopheline proteins          26   0.032</v>
      </c>
      <c r="AB61" s="8">
        <v>0.032</v>
      </c>
      <c r="AC61" t="s">
        <v>181</v>
      </c>
      <c r="AD61">
        <v>28</v>
      </c>
      <c r="AE61">
        <v>12</v>
      </c>
      <c r="AF61" s="5" t="s">
        <v>375</v>
      </c>
      <c r="AG61" t="s">
        <v>374</v>
      </c>
      <c r="AH61" s="2" t="str">
        <f>HYPERLINK("http://exon.niaid.nih.gov/transcriptome/An_funestus_sialome/Sup_tab2/links/NR\AF-340-NR.txt","ENSANGP00000022681 [Anopheles gambiae")</f>
        <v>ENSANGP00000022681 [Anopheles gambiae</v>
      </c>
      <c r="AI61" s="6" t="str">
        <f>HYPERLINK("http://www.ncbi.nlm.nih.gov/sutils/blink.cgi?pid=55240268","1E-109")</f>
        <v>1E-109</v>
      </c>
      <c r="AJ61" t="s">
        <v>182</v>
      </c>
      <c r="AK61">
        <v>97</v>
      </c>
      <c r="AL61">
        <v>100</v>
      </c>
      <c r="AM61" t="s">
        <v>59</v>
      </c>
      <c r="AN61" s="2" t="s">
        <v>183</v>
      </c>
      <c r="AO61" s="3">
        <f>HYPERLINK("http://exon.niaid.nih.gov/transcriptome/An_funestus_sialome/Sup_tab2/links/GO\AF-340-GO.txt",2E-22)</f>
        <v>0</v>
      </c>
      <c r="AP61" t="s">
        <v>53</v>
      </c>
      <c r="AQ61" t="s">
        <v>53</v>
      </c>
      <c r="AS61" t="s">
        <v>54</v>
      </c>
      <c r="AT61" s="1">
        <v>3E-18</v>
      </c>
      <c r="AU61" s="2" t="str">
        <f>HYPERLINK("http://exon.niaid.nih.gov/transcriptome/An_funestus_sialome/Sup_tab2/links/KOG\AF-340-KOG.txt","Coiled-coil protein TPD52")</f>
        <v>Coiled-coil protein TPD52</v>
      </c>
      <c r="AV61" s="3" t="str">
        <f>HYPERLINK("http://www.ncbi.nlm.nih.gov/COG/new/shokog.cgi?KOG4010","1E-028")</f>
        <v>1E-028</v>
      </c>
      <c r="AW61" t="s">
        <v>184</v>
      </c>
      <c r="AX61" s="2" t="str">
        <f>HYPERLINK("http://exon.niaid.nih.gov/transcriptome/An_funestus_sialome/Sup_tab2/links/CDD\AF-340-CDD.txt","TPD52")</f>
        <v>TPD52</v>
      </c>
      <c r="AY61" s="3" t="str">
        <f>HYPERLINK("http://www.ncbi.nlm.nih.gov/Structure/cdd/cddsrv.cgi?uid=pfam04201&amp;version=v4.0","2E-025")</f>
        <v>2E-025</v>
      </c>
      <c r="AZ61" t="s">
        <v>185</v>
      </c>
      <c r="BA61" s="2" t="str">
        <f>HYPERLINK("http://exon.niaid.nih.gov/transcriptome/An_funestus_sialome/Sup_tab2/links/PFAM\AF-340-PFAM.txt","TPD52")</f>
        <v>TPD52</v>
      </c>
      <c r="BB61" s="3" t="str">
        <f>HYPERLINK("http://pfam.wustl.edu/cgi-bin/getdesc?acc=PF04201","8E-026")</f>
        <v>8E-026</v>
      </c>
      <c r="BC61" s="2" t="s">
        <v>4</v>
      </c>
      <c r="BD61" s="3" t="s">
        <v>4</v>
      </c>
    </row>
    <row r="62" spans="1:56" ht="11.25">
      <c r="A62" t="str">
        <f>HYPERLINK("http://exon.niaid.nih.gov/transcriptome/An_funestus_sialome/Sup_tab2/links/AF-143-pep.txt","AF-143")</f>
        <v>AF-143</v>
      </c>
      <c r="B62" s="4" t="s">
        <v>3</v>
      </c>
      <c r="C62" s="4">
        <v>89</v>
      </c>
      <c r="D62" t="str">
        <f>HYPERLINK("http://exon.niaid.nih.gov/transcriptome/An_funestus_sialome/Sup_tab2/links/AF-143-cds.txt","AF-143")</f>
        <v>AF-143</v>
      </c>
      <c r="E62" s="22" t="str">
        <f>HYPERLINK("http://exon.niaid.nih.gov/transcriptome/An_funestus_sialome/Sup_tab2/links/AF-143-SigP.txt","CYT")</f>
        <v>CYT</v>
      </c>
      <c r="F62" t="s">
        <v>4</v>
      </c>
      <c r="G62">
        <v>10.06</v>
      </c>
      <c r="H62">
        <v>9.52</v>
      </c>
      <c r="L62" s="7">
        <v>0</v>
      </c>
      <c r="M62" s="7">
        <v>6.741573</v>
      </c>
      <c r="N62" s="7">
        <v>6.741573</v>
      </c>
      <c r="O62" s="2" t="str">
        <f>HYPERLINK("http://exon.niaid.nih.gov/transcriptome/An_funestus_sialome/Sup_tab2/links/AGFRAG\AF-143-AGFRAG.txt","3L_Piece#1647")</f>
        <v>3L_Piece#1647</v>
      </c>
      <c r="P62" s="3">
        <v>3E-28</v>
      </c>
      <c r="Q62">
        <v>120</v>
      </c>
      <c r="R62">
        <v>56</v>
      </c>
      <c r="S62">
        <v>5662</v>
      </c>
      <c r="T62" s="4" t="str">
        <f>HYPERLINK("http://www.ensembl.org/Anopheles_gambiae/contigview?chr=3L&amp;region=&amp;start=41150662&amp;end=41160663","3L")</f>
        <v>3L</v>
      </c>
      <c r="U62">
        <v>41155662</v>
      </c>
      <c r="V62">
        <v>41155663</v>
      </c>
      <c r="W62" s="2" t="str">
        <f>HYPERLINK("http://exon.niaid.nih.gov/transcriptome/An_funestus_sialome/Sup_tab2/links/AGPROT\AF-143-AGPROT.txt","ENSANGP00000011689")</f>
        <v>ENSANGP00000011689</v>
      </c>
      <c r="X62" s="3" t="str">
        <f>HYPERLINK("http://www.ensembl.org/Anopheles_gambiae/protview?peptide=ENSANGP00000011689","8E-045")</f>
        <v>8E-045</v>
      </c>
      <c r="Y62">
        <v>92</v>
      </c>
      <c r="Z62">
        <v>100</v>
      </c>
      <c r="AA62" s="2" t="str">
        <f>HYPERLINK("http://exon.niaid.nih.gov/transcriptome/An_funestus_sialome/Sup_tab2/links/AGTB2\AF-143-AGTB2.txt","salivary peroxidase                                  19   1.2")</f>
        <v>salivary peroxidase                                  19   1.2</v>
      </c>
      <c r="AB62" s="8">
        <v>1.2</v>
      </c>
      <c r="AC62" t="s">
        <v>92</v>
      </c>
      <c r="AD62">
        <v>37</v>
      </c>
      <c r="AE62">
        <v>3</v>
      </c>
      <c r="AF62" s="5" t="s">
        <v>392</v>
      </c>
      <c r="AG62" t="s">
        <v>374</v>
      </c>
      <c r="AH62" s="2" t="str">
        <f>HYPERLINK("http://exon.niaid.nih.gov/transcriptome/An_funestus_sialome/Sup_tab2/links/NR\AF-143-NR.txt","ENSANGP00000011689 [Anopheles gambiae")</f>
        <v>ENSANGP00000011689 [Anopheles gambiae</v>
      </c>
      <c r="AI62" s="6" t="str">
        <f>HYPERLINK("http://www.ncbi.nlm.nih.gov/sutils/blink.cgi?pid=55234236","2E-042")</f>
        <v>2E-042</v>
      </c>
      <c r="AJ62" t="s">
        <v>93</v>
      </c>
      <c r="AK62">
        <v>92</v>
      </c>
      <c r="AL62">
        <v>100</v>
      </c>
      <c r="AM62" t="s">
        <v>59</v>
      </c>
      <c r="AN62" s="2" t="s">
        <v>94</v>
      </c>
      <c r="AO62" s="3">
        <f>HYPERLINK("http://exon.niaid.nih.gov/transcriptome/An_funestus_sialome/Sup_tab2/links/GO\AF-143-GO.txt",0.000004)</f>
        <v>0</v>
      </c>
      <c r="AP62" t="s">
        <v>95</v>
      </c>
      <c r="AQ62" t="s">
        <v>45</v>
      </c>
      <c r="AR62" t="s">
        <v>96</v>
      </c>
      <c r="AS62" t="s">
        <v>97</v>
      </c>
      <c r="AT62">
        <v>4E-06</v>
      </c>
      <c r="AU62" s="2" t="s">
        <v>4</v>
      </c>
      <c r="AV62" s="3" t="s">
        <v>4</v>
      </c>
      <c r="AW62" t="s">
        <v>4</v>
      </c>
      <c r="AX62" s="2" t="s">
        <v>4</v>
      </c>
      <c r="AY62" s="3" t="s">
        <v>4</v>
      </c>
      <c r="AZ62" t="s">
        <v>4</v>
      </c>
      <c r="BA62" s="2" t="s">
        <v>4</v>
      </c>
      <c r="BB62" s="3" t="s">
        <v>4</v>
      </c>
      <c r="BC62" s="2" t="s">
        <v>4</v>
      </c>
      <c r="BD62" s="3" t="s">
        <v>4</v>
      </c>
    </row>
    <row r="63" spans="1:56" ht="11.25">
      <c r="A63" t="str">
        <f>HYPERLINK("http://exon.niaid.nih.gov/transcriptome/An_funestus_sialome/Sup_tab2/links/AF-353-pep.txt","AF-353")</f>
        <v>AF-353</v>
      </c>
      <c r="B63" s="4" t="s">
        <v>3</v>
      </c>
      <c r="C63" s="4">
        <v>157</v>
      </c>
      <c r="D63" t="str">
        <f>HYPERLINK("http://exon.niaid.nih.gov/transcriptome/An_funestus_sialome/Sup_tab2/links/AF-353-cds.txt","AF-353")</f>
        <v>AF-353</v>
      </c>
      <c r="E63" s="22" t="str">
        <f>HYPERLINK("http://exon.niaid.nih.gov/transcriptome/An_funestus_sialome/Sup_tab2/links/AF-353-SigP.txt","CYT")</f>
        <v>CYT</v>
      </c>
      <c r="F63" t="s">
        <v>4</v>
      </c>
      <c r="G63">
        <v>16.21</v>
      </c>
      <c r="H63">
        <v>4.14</v>
      </c>
      <c r="K63" s="22" t="str">
        <f>HYPERLINK("http://exon.niaid.nih.gov/transcriptome/An_funestus_sialome/Sup_tab2/links/AF-353-netoglyc.txt","20")</f>
        <v>20</v>
      </c>
      <c r="L63" s="7">
        <v>12.73885</v>
      </c>
      <c r="M63" s="7">
        <v>5.095541</v>
      </c>
      <c r="N63" s="7">
        <v>3.821656</v>
      </c>
      <c r="O63" s="2" t="str">
        <f>HYPERLINK("http://exon.niaid.nih.gov/transcriptome/An_funestus_sialome/Sup_tab2/links/AGFRAG\AF-353-AGFRAG.txt","2R_Piece#165")</f>
        <v>2R_Piece#165</v>
      </c>
      <c r="P63" s="3">
        <v>1E-63</v>
      </c>
      <c r="Q63">
        <v>160</v>
      </c>
      <c r="R63">
        <v>85</v>
      </c>
      <c r="S63">
        <v>16859</v>
      </c>
      <c r="T63" s="4" t="str">
        <f>HYPERLINK("http://www.ensembl.org/Anopheles_gambiae/contigview?chr=2R&amp;region=&amp;start=4111859&amp;end=4122037","2R")</f>
        <v>2R</v>
      </c>
      <c r="U63">
        <v>4116859</v>
      </c>
      <c r="V63">
        <v>4117037</v>
      </c>
      <c r="W63" s="2" t="str">
        <f>HYPERLINK("http://exon.niaid.nih.gov/transcriptome/An_funestus_sialome/Sup_tab2/links/AGPROT\AF-353-AGPROT.txt","ENSANGP00000016913")</f>
        <v>ENSANGP00000016913</v>
      </c>
      <c r="X63" s="3" t="str">
        <f>HYPERLINK("http://www.ensembl.org/Anopheles_gambiae/protview?peptide=ENSANGP00000016913","3E-069")</f>
        <v>3E-069</v>
      </c>
      <c r="Y63">
        <v>86</v>
      </c>
      <c r="Z63">
        <v>101</v>
      </c>
      <c r="AA63" s="2" t="str">
        <f>HYPERLINK("http://exon.niaid.nih.gov/transcriptome/An_funestus_sialome/Sup_tab2/links/AGTB2\AF-353-AGTB2.txt","member of the 30 kDag salivary antigen family                   43   2e-007")</f>
        <v>member of the 30 kDag salivary antigen family                   43   2e-007</v>
      </c>
      <c r="AB63" s="8">
        <v>2E-07</v>
      </c>
      <c r="AC63" t="s">
        <v>98</v>
      </c>
      <c r="AD63">
        <v>32</v>
      </c>
      <c r="AE63">
        <v>40</v>
      </c>
      <c r="AF63" s="5" t="s">
        <v>368</v>
      </c>
      <c r="AG63" t="s">
        <v>374</v>
      </c>
      <c r="AH63" s="2" t="str">
        <f>HYPERLINK("http://exon.niaid.nih.gov/transcriptome/An_funestus_sialome/Sup_tab2/links/NR\AF-353-NR.txt","ENSANGP00000016913 [Anopheles gambiae")</f>
        <v>ENSANGP00000016913 [Anopheles gambiae</v>
      </c>
      <c r="AI63" s="6" t="str">
        <f>HYPERLINK("http://www.ncbi.nlm.nih.gov/sutils/blink.cgi?pid=55233963","2E-067")</f>
        <v>2E-067</v>
      </c>
      <c r="AJ63" t="s">
        <v>192</v>
      </c>
      <c r="AK63">
        <v>86</v>
      </c>
      <c r="AL63">
        <v>101</v>
      </c>
      <c r="AM63" t="s">
        <v>59</v>
      </c>
      <c r="AN63" s="2" t="s">
        <v>193</v>
      </c>
      <c r="AO63" s="3">
        <f>HYPERLINK("http://exon.niaid.nih.gov/transcriptome/An_funestus_sialome/Sup_tab2/links/GO\AF-353-GO.txt",0.00000006)</f>
        <v>0</v>
      </c>
      <c r="AP63" t="s">
        <v>53</v>
      </c>
      <c r="AQ63" t="s">
        <v>53</v>
      </c>
      <c r="AS63" t="s">
        <v>54</v>
      </c>
      <c r="AT63">
        <v>5E-07</v>
      </c>
      <c r="AU63" s="2" t="str">
        <f>HYPERLINK("http://exon.niaid.nih.gov/transcriptome/An_funestus_sialome/Sup_tab2/links/KOG\AF-353-KOG.txt","Vesicle coat complex AP-3, beta subunit")</f>
        <v>Vesicle coat complex AP-3, beta subunit</v>
      </c>
      <c r="AV63" s="3" t="str">
        <f>HYPERLINK("http://www.ncbi.nlm.nih.gov/COG/new/shokog.cgi?KOG1060","0.088")</f>
        <v>0.088</v>
      </c>
      <c r="AW63" t="s">
        <v>68</v>
      </c>
      <c r="AX63" s="2" t="str">
        <f>HYPERLINK("http://exon.niaid.nih.gov/transcriptome/An_funestus_sialome/Sup_tab2/links/CDD\AF-353-CDD.txt","MDN1")</f>
        <v>MDN1</v>
      </c>
      <c r="AY63" s="3" t="str">
        <f>HYPERLINK("http://www.ncbi.nlm.nih.gov/Structure/cdd/cddsrv.cgi?uid=COG5271&amp;version=v4.0","0.001")</f>
        <v>0.001</v>
      </c>
      <c r="AZ63" t="s">
        <v>194</v>
      </c>
      <c r="BA63" s="2" t="s">
        <v>4</v>
      </c>
      <c r="BB63" s="3" t="s">
        <v>4</v>
      </c>
      <c r="BC63" s="2" t="s">
        <v>4</v>
      </c>
      <c r="BD63" s="3" t="s">
        <v>4</v>
      </c>
    </row>
    <row r="64" spans="1:56" s="34" customFormat="1" ht="11.25">
      <c r="A64" s="33" t="s">
        <v>455</v>
      </c>
      <c r="C64" s="35"/>
      <c r="E64" s="36"/>
      <c r="K64" s="36"/>
      <c r="L64" s="37"/>
      <c r="M64" s="37"/>
      <c r="N64" s="37"/>
      <c r="O64" s="38"/>
      <c r="P64" s="39"/>
      <c r="W64" s="38"/>
      <c r="X64" s="39"/>
      <c r="AA64" s="38"/>
      <c r="AB64" s="40"/>
      <c r="AF64" s="38"/>
      <c r="AH64" s="38"/>
      <c r="AI64" s="41"/>
      <c r="AN64" s="38"/>
      <c r="AO64" s="39"/>
      <c r="AU64" s="38"/>
      <c r="AV64" s="39"/>
      <c r="AX64" s="38"/>
      <c r="AY64" s="39"/>
      <c r="BA64" s="38"/>
      <c r="BB64" s="39"/>
      <c r="BC64" s="38"/>
      <c r="BD64" s="39"/>
    </row>
    <row r="65" spans="1:56" ht="11.25">
      <c r="A65" t="str">
        <f>HYPERLINK("http://exon.niaid.nih.gov/transcriptome/An_funestus_sialome/Sup_tab2/links/AF-79-pep.txt","AF-79")</f>
        <v>AF-79</v>
      </c>
      <c r="B65" s="4" t="s">
        <v>3</v>
      </c>
      <c r="C65" s="4">
        <v>121</v>
      </c>
      <c r="D65" t="str">
        <f>HYPERLINK("http://exon.niaid.nih.gov/transcriptome/An_funestus_sialome/Sup_tab2/links/AF-79-cds.txt","AF-79")</f>
        <v>AF-79</v>
      </c>
      <c r="E65" s="22" t="str">
        <f>HYPERLINK("http://exon.niaid.nih.gov/transcriptome/An_funestus_sialome/Sup_tab2/links/AF-79-SigP.txt","CYT")</f>
        <v>CYT</v>
      </c>
      <c r="F65" t="s">
        <v>4</v>
      </c>
      <c r="G65">
        <v>13.59</v>
      </c>
      <c r="H65">
        <v>10.14</v>
      </c>
      <c r="L65" s="7">
        <v>1.652893</v>
      </c>
      <c r="M65" s="7">
        <v>4.132231</v>
      </c>
      <c r="N65" s="7">
        <v>5.785124</v>
      </c>
      <c r="O65" s="2" t="str">
        <f>HYPERLINK("http://exon.niaid.nih.gov/transcriptome/An_funestus_sialome/Sup_tab2/links/AGFRAG\AF-79-AGFRAG.txt","3L_Piece#209")</f>
        <v>3L_Piece#209</v>
      </c>
      <c r="P65" s="3">
        <v>1E-21</v>
      </c>
      <c r="Q65">
        <v>62</v>
      </c>
      <c r="R65">
        <v>87</v>
      </c>
      <c r="S65">
        <v>3623</v>
      </c>
      <c r="T65" s="4" t="str">
        <f>HYPERLINK("http://www.ensembl.org/Anopheles_gambiae/contigview?chr=3L&amp;region=&amp;start=5198623&amp;end=5208624","3L")</f>
        <v>3L</v>
      </c>
      <c r="U65">
        <v>5203623</v>
      </c>
      <c r="V65">
        <v>5203624</v>
      </c>
      <c r="W65" s="2" t="str">
        <f>HYPERLINK("http://exon.niaid.nih.gov/transcriptome/An_funestus_sialome/Sup_tab2/links/AGPROT\AF-79-AGPROT.txt","ENSANGP00000016934")</f>
        <v>ENSANGP00000016934</v>
      </c>
      <c r="X65" s="3" t="str">
        <f>HYPERLINK("http://www.ensembl.org/Anopheles_gambiae/protview?peptide=ENSANGP00000016934","1E-062")</f>
        <v>1E-062</v>
      </c>
      <c r="Y65">
        <v>100</v>
      </c>
      <c r="Z65">
        <v>100</v>
      </c>
      <c r="AA65" s="2" t="str">
        <f>HYPERLINK("http://exon.niaid.nih.gov/transcriptome/An_funestus_sialome/Sup_tab2/links/AGTB2\AF-79-AGTB2.txt","salivary protein of the G1 family of anopheline proteins         20   1.1")</f>
        <v>salivary protein of the G1 family of anopheline proteins         20   1.1</v>
      </c>
      <c r="AB65" s="8">
        <v>1.1</v>
      </c>
      <c r="AC65" t="s">
        <v>264</v>
      </c>
      <c r="AD65">
        <v>28</v>
      </c>
      <c r="AE65">
        <v>9</v>
      </c>
      <c r="AF65" s="5" t="s">
        <v>391</v>
      </c>
      <c r="AG65" t="s">
        <v>370</v>
      </c>
      <c r="AH65" s="2" t="str">
        <f>HYPERLINK("http://exon.niaid.nih.gov/transcriptome/An_funestus_sialome/Sup_tab2/links/NR\AF-79-NR.txt","ENSANGP00000016934 [Anopheles gambiae")</f>
        <v>ENSANGP00000016934 [Anopheles gambiae</v>
      </c>
      <c r="AI65" s="6" t="str">
        <f>HYPERLINK("http://www.ncbi.nlm.nih.gov/sutils/blink.cgi?pid=55240154","2E-060")</f>
        <v>2E-060</v>
      </c>
      <c r="AJ65" t="s">
        <v>268</v>
      </c>
      <c r="AK65">
        <v>100</v>
      </c>
      <c r="AL65">
        <v>100</v>
      </c>
      <c r="AM65" t="s">
        <v>59</v>
      </c>
      <c r="AN65" s="2" t="s">
        <v>269</v>
      </c>
      <c r="AO65" s="3">
        <f>HYPERLINK("http://exon.niaid.nih.gov/transcriptome/An_funestus_sialome/Sup_tab2/links/GO\AF-79-GO.txt",3E-52)</f>
        <v>0</v>
      </c>
      <c r="AP65" t="s">
        <v>81</v>
      </c>
      <c r="AQ65" t="s">
        <v>82</v>
      </c>
      <c r="AR65" t="s">
        <v>83</v>
      </c>
      <c r="AS65" t="s">
        <v>84</v>
      </c>
      <c r="AT65" s="1">
        <v>3E-52</v>
      </c>
      <c r="AU65" s="2" t="str">
        <f>HYPERLINK("http://exon.niaid.nih.gov/transcriptome/An_funestus_sialome/Sup_tab2/links/KOG\AF-79-KOG.txt","40S ribosomal protein S20")</f>
        <v>40S ribosomal protein S20</v>
      </c>
      <c r="AV65" s="3" t="str">
        <f>HYPERLINK("http://www.ncbi.nlm.nih.gov/COG/new/shokog.cgi?KOG0900","1E-039")</f>
        <v>1E-039</v>
      </c>
      <c r="AW65" t="s">
        <v>85</v>
      </c>
      <c r="AX65" s="2" t="str">
        <f>HYPERLINK("http://exon.niaid.nih.gov/transcriptome/An_funestus_sialome/Sup_tab2/links/CDD\AF-79-CDD.txt","Ribosomal_S10")</f>
        <v>Ribosomal_S10</v>
      </c>
      <c r="AY65" s="3" t="str">
        <f>HYPERLINK("http://www.ncbi.nlm.nih.gov/Structure/cdd/cddsrv.cgi?uid=pfam00338&amp;version=v4.0","4E-024")</f>
        <v>4E-024</v>
      </c>
      <c r="AZ65" t="s">
        <v>270</v>
      </c>
      <c r="BA65" s="2" t="str">
        <f>HYPERLINK("http://exon.niaid.nih.gov/transcriptome/An_funestus_sialome/Sup_tab2/links/PFAM\AF-79-PFAM.txt","Ribosomal_S10")</f>
        <v>Ribosomal_S10</v>
      </c>
      <c r="BB65" s="3" t="str">
        <f>HYPERLINK("http://pfam.wustl.edu/cgi-bin/getdesc?acc=PF00338","2E-024")</f>
        <v>2E-024</v>
      </c>
      <c r="BC65" s="2" t="s">
        <v>4</v>
      </c>
      <c r="BD65" s="3" t="s">
        <v>4</v>
      </c>
    </row>
    <row r="66" spans="1:56" ht="11.25">
      <c r="A66" t="str">
        <f>HYPERLINK("http://exon.niaid.nih.gov/transcriptome/An_funestus_sialome/Sup_tab2/links/AF-62-pep.txt","AF-62")</f>
        <v>AF-62</v>
      </c>
      <c r="B66" s="4" t="s">
        <v>3</v>
      </c>
      <c r="C66" s="4">
        <v>152</v>
      </c>
      <c r="D66" t="str">
        <f>HYPERLINK("http://exon.niaid.nih.gov/transcriptome/An_funestus_sialome/Sup_tab2/links/AF-62-cds.txt","AF-62")</f>
        <v>AF-62</v>
      </c>
      <c r="E66" s="22" t="str">
        <f>HYPERLINK("http://exon.niaid.nih.gov/transcriptome/An_funestus_sialome/Sup_tab2/links/AF-62-SigP.txt","CYT")</f>
        <v>CYT</v>
      </c>
      <c r="F66" t="s">
        <v>4</v>
      </c>
      <c r="G66">
        <v>17.69</v>
      </c>
      <c r="H66">
        <v>11.08</v>
      </c>
      <c r="L66" s="7">
        <v>0</v>
      </c>
      <c r="M66" s="7">
        <v>7.236842</v>
      </c>
      <c r="N66" s="7">
        <v>2.631579</v>
      </c>
      <c r="O66" s="2" t="str">
        <f>HYPERLINK("http://exon.niaid.nih.gov/transcriptome/An_funestus_sialome/Sup_tab2/links/AGFRAG\AF-62-AGFRAG.txt","3R_Piece#1925")</f>
        <v>3R_Piece#1925</v>
      </c>
      <c r="P66" s="3">
        <v>6E-36</v>
      </c>
      <c r="Q66">
        <v>78</v>
      </c>
      <c r="R66">
        <v>91</v>
      </c>
      <c r="S66">
        <v>21790</v>
      </c>
      <c r="T66" s="4" t="str">
        <f>HYPERLINK("http://www.ensembl.org/Anopheles_gambiae/contigview?chr=3R&amp;region=&amp;start=48116790&amp;end=48127023","3R")</f>
        <v>3R</v>
      </c>
      <c r="U66">
        <v>48121790</v>
      </c>
      <c r="V66">
        <v>48122023</v>
      </c>
      <c r="W66" s="2" t="str">
        <f>HYPERLINK("http://exon.niaid.nih.gov/transcriptome/An_funestus_sialome/Sup_tab2/links/AGPROT\AF-62-AGPROT.txt","ENSANGP00000011983")</f>
        <v>ENSANGP00000011983</v>
      </c>
      <c r="X66" s="3" t="str">
        <f>HYPERLINK("http://www.ensembl.org/Anopheles_gambiae/protview?peptide=ENSANGP00000011983","2E-082")</f>
        <v>2E-082</v>
      </c>
      <c r="Y66">
        <v>98</v>
      </c>
      <c r="Z66">
        <v>98</v>
      </c>
      <c r="AA66" s="2" t="str">
        <f>HYPERLINK("http://exon.niaid.nih.gov/transcriptome/An_funestus_sialome/Sup_tab2/links/AGTB2\AF-62-AGTB2.txt","salivary protein of the G1 family of anopheline proteins         20   2.0")</f>
        <v>salivary protein of the G1 family of anopheline proteins         20   2.0</v>
      </c>
      <c r="AB66" s="8">
        <v>2</v>
      </c>
      <c r="AC66" t="s">
        <v>186</v>
      </c>
      <c r="AD66">
        <v>24</v>
      </c>
      <c r="AE66">
        <v>12</v>
      </c>
      <c r="AF66" s="5" t="s">
        <v>398</v>
      </c>
      <c r="AG66" t="s">
        <v>370</v>
      </c>
      <c r="AH66" s="2" t="str">
        <f>HYPERLINK("http://exon.niaid.nih.gov/transcriptome/An_funestus_sialome/Sup_tab2/links/NR\AF-62-NR.txt","ENSANGP00000011983 [Anopheles gambiae")</f>
        <v>ENSANGP00000011983 [Anopheles gambiae</v>
      </c>
      <c r="AI66" s="6" t="str">
        <f>HYPERLINK("http://www.ncbi.nlm.nih.gov/sutils/blink.cgi?pid=55236219","1E-080")</f>
        <v>1E-080</v>
      </c>
      <c r="AJ66" t="s">
        <v>245</v>
      </c>
      <c r="AK66">
        <v>98</v>
      </c>
      <c r="AL66">
        <v>98</v>
      </c>
      <c r="AM66" t="s">
        <v>59</v>
      </c>
      <c r="AN66" s="2" t="s">
        <v>246</v>
      </c>
      <c r="AO66" s="3">
        <f>HYPERLINK("http://exon.niaid.nih.gov/transcriptome/An_funestus_sialome/Sup_tab2/links/GO\AF-62-GO.txt",3E-65)</f>
        <v>0</v>
      </c>
      <c r="AP66" t="s">
        <v>81</v>
      </c>
      <c r="AQ66" t="s">
        <v>82</v>
      </c>
      <c r="AR66" t="s">
        <v>83</v>
      </c>
      <c r="AS66" t="s">
        <v>84</v>
      </c>
      <c r="AT66" s="1">
        <v>3E-65</v>
      </c>
      <c r="AU66" s="2" t="str">
        <f>HYPERLINK("http://exon.niaid.nih.gov/transcriptome/An_funestus_sialome/Sup_tab2/links/KOG\AF-62-KOG.txt","40S ribosomal protein S11")</f>
        <v>40S ribosomal protein S11</v>
      </c>
      <c r="AV66" s="3" t="str">
        <f>HYPERLINK("http://www.ncbi.nlm.nih.gov/COG/new/shokog.cgi?KOG1728","1E-062")</f>
        <v>1E-062</v>
      </c>
      <c r="AW66" t="s">
        <v>85</v>
      </c>
      <c r="AX66" s="2" t="str">
        <f>HYPERLINK("http://exon.niaid.nih.gov/transcriptome/An_funestus_sialome/Sup_tab2/links/CDD\AF-62-CDD.txt","Ribosomal_S17")</f>
        <v>Ribosomal_S17</v>
      </c>
      <c r="AY66" s="3" t="str">
        <f>HYPERLINK("http://www.ncbi.nlm.nih.gov/Structure/cdd/cddsrv.cgi?uid=pfam00366&amp;version=v4.0","8E-020")</f>
        <v>8E-020</v>
      </c>
      <c r="AZ66" t="s">
        <v>247</v>
      </c>
      <c r="BA66" s="2" t="str">
        <f>HYPERLINK("http://exon.niaid.nih.gov/transcriptome/An_funestus_sialome/Sup_tab2/links/PFAM\AF-62-PFAM.txt","Ribosomal_S17")</f>
        <v>Ribosomal_S17</v>
      </c>
      <c r="BB66" s="3" t="str">
        <f>HYPERLINK("http://pfam.wustl.edu/cgi-bin/getdesc?acc=PF00366","4E-020")</f>
        <v>4E-020</v>
      </c>
      <c r="BC66" s="2" t="s">
        <v>4</v>
      </c>
      <c r="BD66" s="3" t="s">
        <v>4</v>
      </c>
    </row>
    <row r="67" spans="1:56" ht="11.25">
      <c r="A67" t="str">
        <f>HYPERLINK("http://exon.niaid.nih.gov/transcriptome/An_funestus_sialome/Sup_tab2/links/AF-91-pep.txt","AF-91")</f>
        <v>AF-91</v>
      </c>
      <c r="B67" s="4" t="s">
        <v>3</v>
      </c>
      <c r="C67" s="4">
        <v>65</v>
      </c>
      <c r="D67" t="str">
        <f>HYPERLINK("http://exon.niaid.nih.gov/transcriptome/An_funestus_sialome/Sup_tab2/links/AF-91-cds.txt","AF-91")</f>
        <v>AF-91</v>
      </c>
      <c r="E67" s="22" t="str">
        <f>HYPERLINK("http://exon.niaid.nih.gov/transcriptome/An_funestus_sialome/Sup_tab2/links/AF-91-SigP.txt","CYT")</f>
        <v>CYT</v>
      </c>
      <c r="F67" t="s">
        <v>4</v>
      </c>
      <c r="G67">
        <v>7.5</v>
      </c>
      <c r="H67">
        <v>10.38</v>
      </c>
      <c r="L67" s="7">
        <v>0</v>
      </c>
      <c r="M67" s="7">
        <v>7.692307</v>
      </c>
      <c r="N67" s="7">
        <v>1.538462</v>
      </c>
      <c r="O67" s="2" t="str">
        <f>HYPERLINK("http://exon.niaid.nih.gov/transcriptome/An_funestus_sialome/Sup_tab2/links/AGFRAG\AF-91-AGFRAG.txt","2R_Piece#1567")</f>
        <v>2R_Piece#1567</v>
      </c>
      <c r="P67" s="3">
        <v>6E-30</v>
      </c>
      <c r="Q67">
        <v>65</v>
      </c>
      <c r="R67">
        <v>100</v>
      </c>
      <c r="S67">
        <v>23713</v>
      </c>
      <c r="T67" s="4" t="str">
        <f>HYPERLINK("http://www.ensembl.org/Anopheles_gambiae/contigview?chr=2R&amp;region=&amp;start=39168713&amp;end=39178714","2R")</f>
        <v>2R</v>
      </c>
      <c r="U67">
        <v>39173713</v>
      </c>
      <c r="V67">
        <v>39173714</v>
      </c>
      <c r="W67" s="2" t="str">
        <f>HYPERLINK("http://exon.niaid.nih.gov/transcriptome/An_funestus_sialome/Sup_tab2/links/AGPROT\AF-91-AGPROT.txt","ENSANGP00000015156")</f>
        <v>ENSANGP00000015156</v>
      </c>
      <c r="X67" s="3" t="str">
        <f>HYPERLINK("http://www.ensembl.org/Anopheles_gambiae/protview?peptide=ENSANGP00000015156","3E-031")</f>
        <v>3E-031</v>
      </c>
      <c r="Y67">
        <v>100</v>
      </c>
      <c r="Z67">
        <v>100</v>
      </c>
      <c r="AA67" s="2" t="str">
        <f>HYPERLINK("http://exon.niaid.nih.gov/transcriptome/An_funestus_sialome/Sup_tab2/links/AGTB2\AF-91-AGTB2.txt","putative 55.3 salivary protein                                 16   8.3")</f>
        <v>putative 55.3 salivary protein                                 16   8.3</v>
      </c>
      <c r="AB67" s="8">
        <v>8.3</v>
      </c>
      <c r="AC67" t="s">
        <v>280</v>
      </c>
      <c r="AD67">
        <v>29</v>
      </c>
      <c r="AE67">
        <v>5</v>
      </c>
      <c r="AF67" s="5" t="s">
        <v>401</v>
      </c>
      <c r="AG67" t="s">
        <v>370</v>
      </c>
      <c r="AH67" s="2" t="str">
        <f>HYPERLINK("http://exon.niaid.nih.gov/transcriptome/An_funestus_sialome/Sup_tab2/links/NR\AF-91-NR.txt","ENSANGP00000015156 [Anopheles gambiae")</f>
        <v>ENSANGP00000015156 [Anopheles gambiae</v>
      </c>
      <c r="AI67" s="6" t="str">
        <f>HYPERLINK("http://www.ncbi.nlm.nih.gov/sutils/blink.cgi?pid=55242576","6E-029")</f>
        <v>6E-029</v>
      </c>
      <c r="AJ67" t="s">
        <v>281</v>
      </c>
      <c r="AK67">
        <v>100</v>
      </c>
      <c r="AL67">
        <v>100</v>
      </c>
      <c r="AM67" t="s">
        <v>59</v>
      </c>
      <c r="AN67" s="2" t="s">
        <v>282</v>
      </c>
      <c r="AO67" s="3">
        <f>HYPERLINK("http://exon.niaid.nih.gov/transcriptome/An_funestus_sialome/Sup_tab2/links/GO\AF-91-GO.txt",7E-27)</f>
        <v>0</v>
      </c>
      <c r="AP67" t="s">
        <v>81</v>
      </c>
      <c r="AQ67" t="s">
        <v>82</v>
      </c>
      <c r="AR67" t="s">
        <v>83</v>
      </c>
      <c r="AS67" t="s">
        <v>84</v>
      </c>
      <c r="AT67" s="1">
        <v>7E-27</v>
      </c>
      <c r="AU67" s="2" t="str">
        <f>HYPERLINK("http://exon.niaid.nih.gov/transcriptome/An_funestus_sialome/Sup_tab2/links/KOG\AF-91-KOG.txt","40S ribosomal protein S28")</f>
        <v>40S ribosomal protein S28</v>
      </c>
      <c r="AV67" s="3" t="str">
        <f>HYPERLINK("http://www.ncbi.nlm.nih.gov/COG/new/shokog.cgi?KOG3502","7E-019")</f>
        <v>7E-019</v>
      </c>
      <c r="AW67" t="s">
        <v>85</v>
      </c>
      <c r="AX67" s="2" t="str">
        <f>HYPERLINK("http://exon.niaid.nih.gov/transcriptome/An_funestus_sialome/Sup_tab2/links/CDD\AF-91-CDD.txt","Ribosomal_S28e")</f>
        <v>Ribosomal_S28e</v>
      </c>
      <c r="AY67" s="3" t="str">
        <f>HYPERLINK("http://www.ncbi.nlm.nih.gov/Structure/cdd/cddsrv.cgi?uid=pfam01200&amp;version=v4.0","2E-017")</f>
        <v>2E-017</v>
      </c>
      <c r="AZ67" t="s">
        <v>283</v>
      </c>
      <c r="BA67" s="2" t="str">
        <f>HYPERLINK("http://exon.niaid.nih.gov/transcriptome/An_funestus_sialome/Sup_tab2/links/PFAM\AF-91-PFAM.txt","Ribosomal_S28e")</f>
        <v>Ribosomal_S28e</v>
      </c>
      <c r="BB67" s="3" t="str">
        <f>HYPERLINK("http://pfam.wustl.edu/cgi-bin/getdesc?acc=PF01200","1E-017")</f>
        <v>1E-017</v>
      </c>
      <c r="BC67" s="2" t="s">
        <v>4</v>
      </c>
      <c r="BD67" s="3" t="s">
        <v>4</v>
      </c>
    </row>
    <row r="68" spans="1:56" ht="11.25">
      <c r="A68" t="str">
        <f>HYPERLINK("http://exon.niaid.nih.gov/transcriptome/An_funestus_sialome/Sup_tab2/links/AF-42-pep.txt","AF-42")</f>
        <v>AF-42</v>
      </c>
      <c r="B68" s="4" t="s">
        <v>3</v>
      </c>
      <c r="C68" s="4">
        <v>190</v>
      </c>
      <c r="D68" t="str">
        <f>HYPERLINK("http://exon.niaid.nih.gov/transcriptome/An_funestus_sialome/Sup_tab2/links/AF-42-cds.txt","AF-42")</f>
        <v>AF-42</v>
      </c>
      <c r="E68" s="22" t="str">
        <f>HYPERLINK("http://exon.niaid.nih.gov/transcriptome/An_funestus_sialome/Sup_tab2/links/AF-42-SigP.txt","CYT")</f>
        <v>CYT</v>
      </c>
      <c r="F68" t="s">
        <v>4</v>
      </c>
      <c r="G68">
        <v>21.765</v>
      </c>
      <c r="H68">
        <v>9.98</v>
      </c>
      <c r="L68" s="7">
        <v>0</v>
      </c>
      <c r="M68" s="7">
        <v>8.947369</v>
      </c>
      <c r="N68" s="7">
        <v>2.105263</v>
      </c>
      <c r="O68" s="2" t="str">
        <f>HYPERLINK("http://exon.niaid.nih.gov/transcriptome/An_funestus_sialome/Sup_tab2/links/AGFRAG\AF-42-AGFRAG.txt","3L_Piece#695")</f>
        <v>3L_Piece#695</v>
      </c>
      <c r="P68" s="3">
        <v>5E-78</v>
      </c>
      <c r="Q68">
        <v>146</v>
      </c>
      <c r="R68">
        <v>97</v>
      </c>
      <c r="S68">
        <v>19240</v>
      </c>
      <c r="T68" s="4" t="str">
        <f>HYPERLINK("http://www.ensembl.org/Anopheles_gambiae/contigview?chr=3L&amp;region=&amp;start=17364240&amp;end=17374677","3L")</f>
        <v>3L</v>
      </c>
      <c r="U68">
        <v>17369240</v>
      </c>
      <c r="V68">
        <v>17369677</v>
      </c>
      <c r="W68" s="2" t="str">
        <f>HYPERLINK("http://exon.niaid.nih.gov/transcriptome/An_funestus_sialome/Sup_tab2/links/AGPROT\AF-42-AGPROT.txt","ENSANGP00000028292")</f>
        <v>ENSANGP00000028292</v>
      </c>
      <c r="X68" s="3" t="str">
        <f>HYPERLINK("http://www.ensembl.org/Anopheles_gambiae/protview?peptide=ENSANGP00000028292","1E-101")</f>
        <v>1E-101</v>
      </c>
      <c r="Y68">
        <v>96</v>
      </c>
      <c r="Z68">
        <v>100</v>
      </c>
      <c r="AA68" s="2" t="str">
        <f>HYPERLINK("http://exon.niaid.nih.gov/transcriptome/An_funestus_sialome/Sup_tab2/links/AGTB2\AF-42-AGTB2.txt","salivary maltase                                        22   0.52")</f>
        <v>salivary maltase                                        22   0.52</v>
      </c>
      <c r="AB68" s="8">
        <v>0.52</v>
      </c>
      <c r="AC68" t="s">
        <v>77</v>
      </c>
      <c r="AD68">
        <v>27</v>
      </c>
      <c r="AE68">
        <v>12</v>
      </c>
      <c r="AF68" s="5" t="s">
        <v>388</v>
      </c>
      <c r="AG68" t="s">
        <v>370</v>
      </c>
      <c r="AH68" s="2" t="str">
        <f>HYPERLINK("http://exon.niaid.nih.gov/transcriptome/An_funestus_sialome/Sup_tab2/links/NR\AF-42-NR.txt","ENSANGP00000028292 [Anopheles gambiae")</f>
        <v>ENSANGP00000028292 [Anopheles gambiae</v>
      </c>
      <c r="AI68" s="6" t="str">
        <f>HYPERLINK("http://www.ncbi.nlm.nih.gov/sutils/blink.cgi?pid=55244813","7E-099")</f>
        <v>7E-099</v>
      </c>
      <c r="AJ68" t="s">
        <v>219</v>
      </c>
      <c r="AK68">
        <v>96</v>
      </c>
      <c r="AL68">
        <v>100</v>
      </c>
      <c r="AM68" t="s">
        <v>59</v>
      </c>
      <c r="AN68" s="2" t="s">
        <v>220</v>
      </c>
      <c r="AO68" s="3">
        <f>HYPERLINK("http://exon.niaid.nih.gov/transcriptome/An_funestus_sialome/Sup_tab2/links/GO\AF-42-GO.txt",3E-87)</f>
        <v>0</v>
      </c>
      <c r="AP68" t="s">
        <v>221</v>
      </c>
      <c r="AQ68" t="s">
        <v>45</v>
      </c>
      <c r="AR68" t="s">
        <v>74</v>
      </c>
      <c r="AS68" t="s">
        <v>222</v>
      </c>
      <c r="AT68" s="1">
        <v>3E-87</v>
      </c>
      <c r="AU68" s="2" t="str">
        <f>HYPERLINK("http://exon.niaid.nih.gov/transcriptome/An_funestus_sialome/Sup_tab2/links/KOG\AF-42-KOG.txt","60S ribosomal protein L11")</f>
        <v>60S ribosomal protein L11</v>
      </c>
      <c r="AV68" s="3" t="str">
        <f>HYPERLINK("http://www.ncbi.nlm.nih.gov/COG/new/shokog.cgi?KOG0397","1E-084")</f>
        <v>1E-084</v>
      </c>
      <c r="AW68" t="s">
        <v>85</v>
      </c>
      <c r="AX68" s="2" t="str">
        <f>HYPERLINK("http://exon.niaid.nih.gov/transcriptome/An_funestus_sialome/Sup_tab2/links/CDD\AF-42-CDD.txt","RplE")</f>
        <v>RplE</v>
      </c>
      <c r="AY68" s="3" t="str">
        <f>HYPERLINK("http://www.ncbi.nlm.nih.gov/Structure/cdd/cddsrv.cgi?uid=COG0094&amp;version=v4.0","2E-037")</f>
        <v>2E-037</v>
      </c>
      <c r="AZ68" t="s">
        <v>223</v>
      </c>
      <c r="BA68" s="2" t="str">
        <f>HYPERLINK("http://exon.niaid.nih.gov/transcriptome/An_funestus_sialome/Sup_tab2/links/PFAM\AF-42-PFAM.txt","Ribosomal_L5_C")</f>
        <v>Ribosomal_L5_C</v>
      </c>
      <c r="BB68" s="3" t="str">
        <f>HYPERLINK("http://pfam.wustl.edu/cgi-bin/getdesc?acc=PF00673","9E-037")</f>
        <v>9E-037</v>
      </c>
      <c r="BC68" s="2" t="s">
        <v>4</v>
      </c>
      <c r="BD68" s="3" t="s">
        <v>4</v>
      </c>
    </row>
    <row r="69" spans="1:56" ht="11.25">
      <c r="A69" t="str">
        <f>HYPERLINK("http://exon.niaid.nih.gov/transcriptome/An_funestus_sialome/Sup_tab2/links/AF-129-pep.txt","AF-129")</f>
        <v>AF-129</v>
      </c>
      <c r="B69" s="4" t="s">
        <v>3</v>
      </c>
      <c r="C69" s="4">
        <v>51</v>
      </c>
      <c r="D69" t="str">
        <f>HYPERLINK("http://exon.niaid.nih.gov/transcriptome/An_funestus_sialome/Sup_tab2/links/AF-129-cds.txt","AF-129")</f>
        <v>AF-129</v>
      </c>
      <c r="E69" s="22" t="str">
        <f>HYPERLINK("http://exon.niaid.nih.gov/transcriptome/An_funestus_sialome/Sup_tab2/links/AF-129-SigP.txt","CYT")</f>
        <v>CYT</v>
      </c>
      <c r="F69" t="s">
        <v>4</v>
      </c>
      <c r="G69">
        <v>6.406</v>
      </c>
      <c r="H69">
        <v>12.55</v>
      </c>
      <c r="L69" s="7">
        <v>0</v>
      </c>
      <c r="M69" s="7">
        <v>1.960784</v>
      </c>
      <c r="N69" s="7">
        <v>3.921569</v>
      </c>
      <c r="O69" s="2" t="str">
        <f>HYPERLINK("http://exon.niaid.nih.gov/transcriptome/An_funestus_sialome/Sup_tab2/links/AGFRAG\AF-129-AGFRAG.txt","3L_Piece#1307")</f>
        <v>3L_Piece#1307</v>
      </c>
      <c r="P69" s="3">
        <v>8E-14</v>
      </c>
      <c r="Q69">
        <v>35</v>
      </c>
      <c r="R69">
        <v>100</v>
      </c>
      <c r="S69">
        <v>9050</v>
      </c>
      <c r="T69" s="4" t="str">
        <f>HYPERLINK("http://www.ensembl.org/Anopheles_gambiae/contigview?chr=3L&amp;region=&amp;start=32653946&amp;end=32664050","3L")</f>
        <v>3L</v>
      </c>
      <c r="U69">
        <v>32658946</v>
      </c>
      <c r="V69">
        <v>32659050</v>
      </c>
      <c r="W69" s="2" t="str">
        <f>HYPERLINK("http://exon.niaid.nih.gov/transcriptome/An_funestus_sialome/Sup_tab2/links/AGPROT\AF-129-AGPROT.txt","ENSANGP00000020220")</f>
        <v>ENSANGP00000020220</v>
      </c>
      <c r="X69" s="3" t="str">
        <f>HYPERLINK("http://www.ensembl.org/Anopheles_gambiae/protview?peptide=ENSANGP00000020220","7E-025")</f>
        <v>7E-025</v>
      </c>
      <c r="Y69">
        <v>100</v>
      </c>
      <c r="Z69">
        <v>98</v>
      </c>
      <c r="AA69" s="2" t="str">
        <f>HYPERLINK("http://exon.niaid.nih.gov/transcriptome/An_funestus_sialome/Sup_tab2/links/AGTB2\AF-129-AGTB2.txt","salivary maltase                                        17   2.8")</f>
        <v>salivary maltase                                        17   2.8</v>
      </c>
      <c r="AB69" s="8">
        <v>2.8</v>
      </c>
      <c r="AC69" t="s">
        <v>77</v>
      </c>
      <c r="AD69">
        <v>26</v>
      </c>
      <c r="AE69">
        <v>4</v>
      </c>
      <c r="AF69" s="5" t="s">
        <v>399</v>
      </c>
      <c r="AG69" t="s">
        <v>370</v>
      </c>
      <c r="AH69" s="2" t="str">
        <f>HYPERLINK("http://exon.niaid.nih.gov/transcriptome/An_funestus_sialome/Sup_tab2/links/NR\AF-129-NR.txt","ribosomal protein L39 [Ixodes scapula")</f>
        <v>ribosomal protein L39 [Ixodes scapula</v>
      </c>
      <c r="AI69" s="6" t="str">
        <f>HYPERLINK("http://www.ncbi.nlm.nih.gov/sutils/blink.cgi?pid=67084113","8E-023")</f>
        <v>8E-023</v>
      </c>
      <c r="AJ69" t="s">
        <v>78</v>
      </c>
      <c r="AK69">
        <v>98</v>
      </c>
      <c r="AL69">
        <v>100</v>
      </c>
      <c r="AM69" t="s">
        <v>79</v>
      </c>
      <c r="AN69" s="2" t="s">
        <v>80</v>
      </c>
      <c r="AO69" s="3">
        <f>HYPERLINK("http://exon.niaid.nih.gov/transcriptome/An_funestus_sialome/Sup_tab2/links/GO\AF-129-GO.txt",2E-22)</f>
        <v>0</v>
      </c>
      <c r="AP69" t="s">
        <v>81</v>
      </c>
      <c r="AQ69" t="s">
        <v>82</v>
      </c>
      <c r="AR69" t="s">
        <v>83</v>
      </c>
      <c r="AS69" t="s">
        <v>84</v>
      </c>
      <c r="AT69" s="1">
        <v>2E-22</v>
      </c>
      <c r="AU69" s="2" t="str">
        <f>HYPERLINK("http://exon.niaid.nih.gov/transcriptome/An_funestus_sialome/Sup_tab2/links/KOG\AF-129-KOG.txt","60s ribosomal protein L39")</f>
        <v>60s ribosomal protein L39</v>
      </c>
      <c r="AV69" s="3" t="str">
        <f>HYPERLINK("http://www.ncbi.nlm.nih.gov/COG/new/shokog.cgi?KOG0002","1E-006")</f>
        <v>1E-006</v>
      </c>
      <c r="AW69" t="s">
        <v>85</v>
      </c>
      <c r="AX69" s="2" t="str">
        <f>HYPERLINK("http://exon.niaid.nih.gov/transcriptome/An_funestus_sialome/Sup_tab2/links/CDD\AF-129-CDD.txt","RPL39")</f>
        <v>RPL39</v>
      </c>
      <c r="AY69" s="3" t="str">
        <f>HYPERLINK("http://www.ncbi.nlm.nih.gov/Structure/cdd/cddsrv.cgi?uid=COG2167&amp;version=v4.0","6E-006")</f>
        <v>6E-006</v>
      </c>
      <c r="AZ69" t="s">
        <v>86</v>
      </c>
      <c r="BA69" s="2" t="str">
        <f>HYPERLINK("http://exon.niaid.nih.gov/transcriptome/An_funestus_sialome/Sup_tab2/links/PFAM\AF-129-PFAM.txt","Ribosomal_L39")</f>
        <v>Ribosomal_L39</v>
      </c>
      <c r="BB69" s="3" t="str">
        <f>HYPERLINK("http://pfam.wustl.edu/cgi-bin/getdesc?acc=PF00832","1E-005")</f>
        <v>1E-005</v>
      </c>
      <c r="BC69" s="2" t="s">
        <v>4</v>
      </c>
      <c r="BD69" s="3" t="s">
        <v>4</v>
      </c>
    </row>
    <row r="70" spans="1:56" ht="11.25">
      <c r="A70" t="str">
        <f>HYPERLINK("http://exon.niaid.nih.gov/transcriptome/An_funestus_sialome/Sup_tab2/links/AF-44-pep.txt","AF-44")</f>
        <v>AF-44</v>
      </c>
      <c r="B70" s="4" t="s">
        <v>3</v>
      </c>
      <c r="C70" s="4">
        <v>165</v>
      </c>
      <c r="D70" t="str">
        <f>HYPERLINK("http://exon.niaid.nih.gov/transcriptome/An_funestus_sialome/Sup_tab2/links/AF-44-cds.txt","AF-44")</f>
        <v>AF-44</v>
      </c>
      <c r="E70" s="22" t="str">
        <f>HYPERLINK("http://exon.niaid.nih.gov/transcriptome/An_funestus_sialome/Sup_tab2/links/AF-44-SigP.txt","CYT")</f>
        <v>CYT</v>
      </c>
      <c r="F70" t="s">
        <v>4</v>
      </c>
      <c r="G70">
        <v>17.64</v>
      </c>
      <c r="H70">
        <v>9.25</v>
      </c>
      <c r="L70" s="7">
        <v>1.212121</v>
      </c>
      <c r="M70" s="7">
        <v>8.484848</v>
      </c>
      <c r="N70" s="7">
        <v>7.272727</v>
      </c>
      <c r="O70" s="2" t="str">
        <f>HYPERLINK("http://exon.niaid.nih.gov/transcriptome/An_funestus_sialome/Sup_tab2/links/AGFRAG\AF-44-AGFRAG.txt","3R_Piece#1969")</f>
        <v>3R_Piece#1969</v>
      </c>
      <c r="P70" s="3">
        <v>5E-37</v>
      </c>
      <c r="Q70">
        <v>68</v>
      </c>
      <c r="R70">
        <v>94</v>
      </c>
      <c r="S70">
        <v>23904</v>
      </c>
      <c r="T70" s="4" t="str">
        <f>HYPERLINK("http://www.ensembl.org/Anopheles_gambiae/contigview?chr=3R&amp;region=&amp;start=49218904&amp;end=49228905","3R")</f>
        <v>3R</v>
      </c>
      <c r="U70">
        <v>49223904</v>
      </c>
      <c r="V70">
        <v>49223905</v>
      </c>
      <c r="W70" s="2" t="str">
        <f>HYPERLINK("http://exon.niaid.nih.gov/transcriptome/An_funestus_sialome/Sup_tab2/links/AGPROT\AF-44-AGPROT.txt","ENSANGP00000019214")</f>
        <v>ENSANGP00000019214</v>
      </c>
      <c r="X70" s="3" t="str">
        <f>HYPERLINK("http://www.ensembl.org/Anopheles_gambiae/protview?peptide=ENSANGP00000019214","8E-091")</f>
        <v>8E-091</v>
      </c>
      <c r="Y70">
        <v>97</v>
      </c>
      <c r="Z70">
        <v>100</v>
      </c>
      <c r="AA70" s="2" t="str">
        <f>HYPERLINK("http://exon.niaid.nih.gov/transcriptome/An_funestus_sialome/Sup_tab2/links/AGTB2\AF-44-AGTB2.txt","salivary calreticulin                                 22   0.33")</f>
        <v>salivary calreticulin                                 22   0.33</v>
      </c>
      <c r="AB70" s="8">
        <v>0.33</v>
      </c>
      <c r="AC70" t="s">
        <v>70</v>
      </c>
      <c r="AD70">
        <v>58</v>
      </c>
      <c r="AE70">
        <v>4</v>
      </c>
      <c r="AF70" s="5" t="s">
        <v>383</v>
      </c>
      <c r="AG70" t="s">
        <v>370</v>
      </c>
      <c r="AH70" s="2" t="str">
        <f>HYPERLINK("http://exon.niaid.nih.gov/transcriptome/An_funestus_sialome/Sup_tab2/links/NR\AF-44-NR.txt","ENSANGP00000019214 [Anopheles gambiae")</f>
        <v>ENSANGP00000019214 [Anopheles gambiae</v>
      </c>
      <c r="AI70" s="6" t="str">
        <f>HYPERLINK("http://www.ncbi.nlm.nih.gov/sutils/blink.cgi?pid=55236286","8E-089")</f>
        <v>8E-089</v>
      </c>
      <c r="AJ70" t="s">
        <v>224</v>
      </c>
      <c r="AK70">
        <v>97</v>
      </c>
      <c r="AL70">
        <v>100</v>
      </c>
      <c r="AM70" t="s">
        <v>59</v>
      </c>
      <c r="AN70" s="2" t="s">
        <v>225</v>
      </c>
      <c r="AO70" s="3">
        <f>HYPERLINK("http://exon.niaid.nih.gov/transcriptome/An_funestus_sialome/Sup_tab2/links/GO\AF-44-GO.txt",7E-80)</f>
        <v>0</v>
      </c>
      <c r="AP70" t="s">
        <v>81</v>
      </c>
      <c r="AQ70" t="s">
        <v>82</v>
      </c>
      <c r="AR70" t="s">
        <v>83</v>
      </c>
      <c r="AS70" t="s">
        <v>84</v>
      </c>
      <c r="AT70" s="1">
        <v>7E-80</v>
      </c>
      <c r="AU70" s="2" t="str">
        <f>HYPERLINK("http://exon.niaid.nih.gov/transcriptome/An_funestus_sialome/Sup_tab2/links/KOG\AF-44-KOG.txt","40S ribosomal protein S2")</f>
        <v>40S ribosomal protein S2</v>
      </c>
      <c r="AV70" s="3" t="str">
        <f>HYPERLINK("http://www.ncbi.nlm.nih.gov/COG/new/shokog.cgi?KOG0886","3E-075")</f>
        <v>3E-075</v>
      </c>
      <c r="AW70" t="s">
        <v>85</v>
      </c>
      <c r="AX70" s="2" t="str">
        <f>HYPERLINK("http://exon.niaid.nih.gov/transcriptome/An_funestus_sialome/Sup_tab2/links/CDD\AF-44-CDD.txt","Ribosomal_L11")</f>
        <v>Ribosomal_L11</v>
      </c>
      <c r="AY70" s="3" t="str">
        <f>HYPERLINK("http://www.ncbi.nlm.nih.gov/Structure/cdd/cddsrv.cgi?uid=cd00349&amp;version=v4.0","1E-034")</f>
        <v>1E-034</v>
      </c>
      <c r="AZ70" t="s">
        <v>226</v>
      </c>
      <c r="BA70" s="2" t="str">
        <f>HYPERLINK("http://exon.niaid.nih.gov/transcriptome/An_funestus_sialome/Sup_tab2/links/PFAM\AF-44-PFAM.txt","Ribosomal_L11")</f>
        <v>Ribosomal_L11</v>
      </c>
      <c r="BB70" s="3" t="str">
        <f>HYPERLINK("http://pfam.wustl.edu/cgi-bin/getdesc?acc=PF00298","2E-014")</f>
        <v>2E-014</v>
      </c>
      <c r="BC70" s="2" t="str">
        <f>HYPERLINK("http://exon.niaid.nih.gov/transcriptome/An_funestus_sialome/Sup_tab2/links/SMART\AF-44-SMART.txt","RL11")</f>
        <v>RL11</v>
      </c>
      <c r="BD70" s="3" t="str">
        <f>HYPERLINK("http://smart.embl-heidelberg.de/smart/do_annotation.pl?DOMAIN=RL11&amp;BLAST=DUMMY","8E-036")</f>
        <v>8E-036</v>
      </c>
    </row>
    <row r="71" spans="1:56" ht="11.25">
      <c r="A71" t="str">
        <f>HYPERLINK("http://exon.niaid.nih.gov/transcriptome/An_funestus_sialome/Sup_tab2/links/AF-52-pep.txt","AF-52")</f>
        <v>AF-52</v>
      </c>
      <c r="B71" s="4" t="s">
        <v>3</v>
      </c>
      <c r="C71" s="4">
        <v>190</v>
      </c>
      <c r="D71" t="str">
        <f>HYPERLINK("http://exon.niaid.nih.gov/transcriptome/An_funestus_sialome/Sup_tab2/links/AF-52-cds.txt","AF-52")</f>
        <v>AF-52</v>
      </c>
      <c r="E71" s="22" t="str">
        <f>HYPERLINK("http://exon.niaid.nih.gov/transcriptome/An_funestus_sialome/Sup_tab2/links/AF-52-SigP.txt","CYT")</f>
        <v>CYT</v>
      </c>
      <c r="F71" t="s">
        <v>4</v>
      </c>
      <c r="G71">
        <v>22.724</v>
      </c>
      <c r="H71">
        <v>11.29</v>
      </c>
      <c r="L71" s="7">
        <v>0.5263158</v>
      </c>
      <c r="M71" s="7">
        <v>4.736842</v>
      </c>
      <c r="N71" s="7">
        <v>1.578947</v>
      </c>
      <c r="O71" s="2" t="str">
        <f>HYPERLINK("http://exon.niaid.nih.gov/transcriptome/An_funestus_sialome/Sup_tab2/links/AGFRAG\AF-52-AGFRAG.txt","2R_Piece#2307")</f>
        <v>2R_Piece#2307</v>
      </c>
      <c r="P71" s="3">
        <v>1E-100</v>
      </c>
      <c r="Q71">
        <v>166</v>
      </c>
      <c r="R71">
        <v>99</v>
      </c>
      <c r="S71">
        <v>15552</v>
      </c>
      <c r="T71" s="4" t="str">
        <f>HYPERLINK("http://www.ensembl.org/Anopheles_gambiae/contigview?chr=2R&amp;region=&amp;start=57660552&amp;end=57670733","2R")</f>
        <v>2R</v>
      </c>
      <c r="U71">
        <v>57665552</v>
      </c>
      <c r="V71">
        <v>57665733</v>
      </c>
      <c r="W71" s="2" t="str">
        <f>HYPERLINK("http://exon.niaid.nih.gov/transcriptome/An_funestus_sialome/Sup_tab2/links/AGPROT\AF-52-AGPROT.txt","ENSANGP00000017616")</f>
        <v>ENSANGP00000017616</v>
      </c>
      <c r="X71" s="3" t="str">
        <f>HYPERLINK("http://www.ensembl.org/Anopheles_gambiae/protview?peptide=ENSANGP00000017616","1E-106")</f>
        <v>1E-106</v>
      </c>
      <c r="Y71">
        <v>99</v>
      </c>
      <c r="Z71">
        <v>100</v>
      </c>
      <c r="AA71" s="2" t="str">
        <f>HYPERLINK("http://exon.niaid.nih.gov/transcriptome/An_funestus_sialome/Sup_tab2/links/AGTB2\AF-52-AGTB2.txt","precursor - inverted tandem of nearly identic")</f>
        <v>precursor - inverted tandem of nearly identic</v>
      </c>
      <c r="AB71" s="8">
        <v>0.31</v>
      </c>
      <c r="AC71" t="s">
        <v>235</v>
      </c>
      <c r="AD71">
        <v>47</v>
      </c>
      <c r="AE71">
        <v>8</v>
      </c>
      <c r="AF71" s="5" t="s">
        <v>382</v>
      </c>
      <c r="AG71" t="s">
        <v>370</v>
      </c>
      <c r="AH71" s="2" t="str">
        <f>HYPERLINK("http://exon.niaid.nih.gov/transcriptome/An_funestus_sialome/Sup_tab2/links/NR\AF-52-NR.txt","ENSANGP00000017616 [Anopheles gambiae")</f>
        <v>ENSANGP00000017616 [Anopheles gambiae</v>
      </c>
      <c r="AI71" s="6" t="str">
        <f>HYPERLINK("http://www.ncbi.nlm.nih.gov/sutils/blink.cgi?pid=55240792","1E-103")</f>
        <v>1E-103</v>
      </c>
      <c r="AJ71" t="s">
        <v>236</v>
      </c>
      <c r="AK71">
        <v>99</v>
      </c>
      <c r="AL71">
        <v>100</v>
      </c>
      <c r="AM71" t="s">
        <v>59</v>
      </c>
      <c r="AN71" s="2" t="s">
        <v>237</v>
      </c>
      <c r="AO71" s="3">
        <f>HYPERLINK("http://exon.niaid.nih.gov/transcriptome/An_funestus_sialome/Sup_tab2/links/GO\AF-52-GO.txt",9E-88)</f>
        <v>0</v>
      </c>
      <c r="AP71" t="s">
        <v>81</v>
      </c>
      <c r="AQ71" t="s">
        <v>82</v>
      </c>
      <c r="AR71" t="s">
        <v>83</v>
      </c>
      <c r="AS71" t="s">
        <v>84</v>
      </c>
      <c r="AT71" s="1">
        <v>9E-88</v>
      </c>
      <c r="AU71" s="2" t="str">
        <f>HYPERLINK("http://exon.niaid.nih.gov/transcriptome/An_funestus_sialome/Sup_tab2/links/KOG\AF-52-KOG.txt","60s ribosomal protein L19")</f>
        <v>60s ribosomal protein L19</v>
      </c>
      <c r="AV71" s="3" t="str">
        <f>HYPERLINK("http://www.ncbi.nlm.nih.gov/COG/new/shokog.cgi?KOG1696","2E-051")</f>
        <v>2E-051</v>
      </c>
      <c r="AW71" t="s">
        <v>85</v>
      </c>
      <c r="AX71" s="2" t="str">
        <f>HYPERLINK("http://exon.niaid.nih.gov/transcriptome/An_funestus_sialome/Sup_tab2/links/CDD\AF-52-CDD.txt","Ribosomal_L19e_")</f>
        <v>Ribosomal_L19e_</v>
      </c>
      <c r="AY71" s="3" t="str">
        <f>HYPERLINK("http://www.ncbi.nlm.nih.gov/Structure/cdd/cddsrv.cgi?uid=cd01417&amp;version=v4.0","3E-050")</f>
        <v>3E-050</v>
      </c>
      <c r="AZ71" t="s">
        <v>238</v>
      </c>
      <c r="BA71" s="2" t="str">
        <f>HYPERLINK("http://exon.niaid.nih.gov/transcriptome/An_funestus_sialome/Sup_tab2/links/PFAM\AF-52-PFAM.txt","Ribosomal_L19e")</f>
        <v>Ribosomal_L19e</v>
      </c>
      <c r="BB71" s="3" t="str">
        <f>HYPERLINK("http://pfam.wustl.edu/cgi-bin/getdesc?acc=PF01280","7E-040")</f>
        <v>7E-040</v>
      </c>
      <c r="BC71" s="2" t="str">
        <f>HYPERLINK("http://exon.niaid.nih.gov/transcriptome/An_funestus_sialome/Sup_tab2/links/SMART\AF-52-SMART.txt","UAS")</f>
        <v>UAS</v>
      </c>
      <c r="BD71" s="3" t="str">
        <f>HYPERLINK("http://smart.embl-heidelberg.de/smart/do_annotation.pl?DOMAIN=UAS&amp;BLAST=DUMMY","0.17")</f>
        <v>0.17</v>
      </c>
    </row>
    <row r="72" spans="1:56" ht="11.25">
      <c r="A72" t="str">
        <f>HYPERLINK("http://exon.niaid.nih.gov/transcriptome/An_funestus_sialome/Sup_tab2/links/AF-389-pep.txt","AF-389")</f>
        <v>AF-389</v>
      </c>
      <c r="B72" s="4" t="s">
        <v>3</v>
      </c>
      <c r="C72" s="4">
        <v>154</v>
      </c>
      <c r="D72" t="str">
        <f>HYPERLINK("http://exon.niaid.nih.gov/transcriptome/An_funestus_sialome/Sup_tab2/links/AF-389-cds.txt","AF-389")</f>
        <v>AF-389</v>
      </c>
      <c r="E72" s="22" t="str">
        <f>HYPERLINK("http://exon.niaid.nih.gov/transcriptome/An_funestus_sialome/Sup_tab2/links/AF-389-SigP.txt","CYT")</f>
        <v>CYT</v>
      </c>
      <c r="F72" t="s">
        <v>4</v>
      </c>
      <c r="G72">
        <v>17.567</v>
      </c>
      <c r="H72">
        <v>11.22</v>
      </c>
      <c r="L72" s="7">
        <v>0</v>
      </c>
      <c r="M72" s="7">
        <v>5.194805</v>
      </c>
      <c r="N72" s="7">
        <v>3.896104</v>
      </c>
      <c r="O72" s="2" t="str">
        <f>HYPERLINK("http://exon.niaid.nih.gov/transcriptome/An_funestus_sialome/Sup_tab2/links/AGFRAG\AF-389-AGFRAG.txt","3R_Piece#2062")</f>
        <v>3R_Piece#2062</v>
      </c>
      <c r="P72" s="3">
        <v>4E-51</v>
      </c>
      <c r="Q72">
        <v>84</v>
      </c>
      <c r="R72">
        <v>97</v>
      </c>
      <c r="S72">
        <v>11607</v>
      </c>
      <c r="T72" s="4" t="str">
        <f>HYPERLINK("http://www.ensembl.org/Anopheles_gambiae/contigview?chr=3R&amp;region=&amp;start=51531607&amp;end=51541858","3R")</f>
        <v>3R</v>
      </c>
      <c r="U72">
        <v>51536607</v>
      </c>
      <c r="V72">
        <v>51536858</v>
      </c>
      <c r="W72" s="2" t="str">
        <f>HYPERLINK("http://exon.niaid.nih.gov/transcriptome/An_funestus_sialome/Sup_tab2/links/AGPROT\AF-389-AGPROT.txt","ENSANGP00000012247")</f>
        <v>ENSANGP00000012247</v>
      </c>
      <c r="X72" s="3" t="str">
        <f>HYPERLINK("http://www.ensembl.org/Anopheles_gambiae/protview?peptide=ENSANGP00000012247","5E-081")</f>
        <v>5E-081</v>
      </c>
      <c r="Y72">
        <v>96</v>
      </c>
      <c r="Z72">
        <v>100</v>
      </c>
      <c r="AA72" s="2" t="str">
        <f>HYPERLINK("http://exon.niaid.nih.gov/transcriptome/An_funestus_sialome/Sup_tab2/links/AGTB2\AF-389-AGTB2.txt","salivary calreticulin                                 29   0.003")</f>
        <v>salivary calreticulin                                 29   0.003</v>
      </c>
      <c r="AB72" s="8">
        <v>0.003</v>
      </c>
      <c r="AC72" t="s">
        <v>70</v>
      </c>
      <c r="AD72">
        <v>30</v>
      </c>
      <c r="AE72">
        <v>10</v>
      </c>
      <c r="AF72" s="5" t="s">
        <v>369</v>
      </c>
      <c r="AG72" t="s">
        <v>370</v>
      </c>
      <c r="AH72" s="2" t="str">
        <f>HYPERLINK("http://exon.niaid.nih.gov/transcriptome/An_funestus_sialome/Sup_tab2/links/NR\AF-389-NR.txt","ENSANGP00000012247 [Anopheles gambiae")</f>
        <v>ENSANGP00000012247 [Anopheles gambiae</v>
      </c>
      <c r="AI72" s="6" t="str">
        <f>HYPERLINK("http://www.ncbi.nlm.nih.gov/sutils/blink.cgi?pid=55236427","5E-079")</f>
        <v>5E-079</v>
      </c>
      <c r="AJ72" t="s">
        <v>210</v>
      </c>
      <c r="AK72">
        <v>96</v>
      </c>
      <c r="AL72">
        <v>100</v>
      </c>
      <c r="AM72" t="s">
        <v>59</v>
      </c>
      <c r="AN72" s="2" t="s">
        <v>211</v>
      </c>
      <c r="AO72" s="3">
        <f>HYPERLINK("http://exon.niaid.nih.gov/transcriptome/An_funestus_sialome/Sup_tab2/links/GO\AF-389-GO.txt",1E-62)</f>
        <v>0</v>
      </c>
      <c r="AP72" t="s">
        <v>81</v>
      </c>
      <c r="AQ72" t="s">
        <v>82</v>
      </c>
      <c r="AR72" t="s">
        <v>83</v>
      </c>
      <c r="AS72" t="s">
        <v>84</v>
      </c>
      <c r="AT72" s="1">
        <v>1E-62</v>
      </c>
      <c r="AU72" s="2" t="str">
        <f>HYPERLINK("http://exon.niaid.nih.gov/transcriptome/An_funestus_sialome/Sup_tab2/links/KOG\AF-389-KOG.txt","60s ribosomal protein L24")</f>
        <v>60s ribosomal protein L24</v>
      </c>
      <c r="AV72" s="3" t="str">
        <f>HYPERLINK("http://www.ncbi.nlm.nih.gov/COG/new/shokog.cgi?KOG1722","1E-028")</f>
        <v>1E-028</v>
      </c>
      <c r="AW72" t="s">
        <v>85</v>
      </c>
      <c r="AX72" s="2" t="str">
        <f>HYPERLINK("http://exon.niaid.nih.gov/transcriptome/An_funestus_sialome/Sup_tab2/links/CDD\AF-389-CDD.txt","Ribosomal_L24e")</f>
        <v>Ribosomal_L24e</v>
      </c>
      <c r="AY72" s="3" t="str">
        <f>HYPERLINK("http://www.ncbi.nlm.nih.gov/Structure/cdd/cddsrv.cgi?uid=pfam01246&amp;version=v4.0","1E-017")</f>
        <v>1E-017</v>
      </c>
      <c r="AZ72" t="s">
        <v>212</v>
      </c>
      <c r="BA72" s="2" t="str">
        <f>HYPERLINK("http://exon.niaid.nih.gov/transcriptome/An_funestus_sialome/Sup_tab2/links/PFAM\AF-389-PFAM.txt","Ribosomal_L24e")</f>
        <v>Ribosomal_L24e</v>
      </c>
      <c r="BB72" s="3" t="str">
        <f>HYPERLINK("http://pfam.wustl.edu/cgi-bin/getdesc?acc=PF01246","5E-018")</f>
        <v>5E-018</v>
      </c>
      <c r="BC72" s="2" t="str">
        <f>HYPERLINK("http://exon.niaid.nih.gov/transcriptome/An_funestus_sialome/Sup_tab2/links/SMART\AF-389-SMART.txt","TRASH")</f>
        <v>TRASH</v>
      </c>
      <c r="BD72" s="3" t="str">
        <f>HYPERLINK("http://smart.embl-heidelberg.de/smart/do_annotation.pl?DOMAIN=TRASH&amp;BLAST=DUMMY","5E-006")</f>
        <v>5E-006</v>
      </c>
    </row>
    <row r="73" spans="1:56" ht="11.25">
      <c r="A73" t="str">
        <f>HYPERLINK("http://exon.niaid.nih.gov/transcriptome/An_funestus_sialome/Sup_tab2/links/AF-81-pep.txt","AF-81")</f>
        <v>AF-81</v>
      </c>
      <c r="B73" s="4" t="s">
        <v>3</v>
      </c>
      <c r="C73" s="4">
        <v>25</v>
      </c>
      <c r="D73" t="str">
        <f>HYPERLINK("http://exon.niaid.nih.gov/transcriptome/An_funestus_sialome/Sup_tab2/links/AF-81-cds.txt","AF-81")</f>
        <v>AF-81</v>
      </c>
      <c r="E73" s="22" t="s">
        <v>431</v>
      </c>
      <c r="F73" t="s">
        <v>4</v>
      </c>
      <c r="G73">
        <v>3.445</v>
      </c>
      <c r="H73">
        <v>13</v>
      </c>
      <c r="L73" s="7">
        <v>0</v>
      </c>
      <c r="M73" s="7">
        <v>0</v>
      </c>
      <c r="N73" s="7">
        <v>0</v>
      </c>
      <c r="O73" s="2" t="str">
        <f>HYPERLINK("http://exon.niaid.nih.gov/transcriptome/An_funestus_sialome/Sup_tab2/links/AGFRAG\AF-81-AGFRAG.txt","2L_Piece#1673")</f>
        <v>2L_Piece#1673</v>
      </c>
      <c r="P73" s="3">
        <v>5E-05</v>
      </c>
      <c r="Q73">
        <v>23</v>
      </c>
      <c r="R73">
        <v>86</v>
      </c>
      <c r="S73">
        <v>15738</v>
      </c>
      <c r="T73" s="4" t="str">
        <f>HYPERLINK("http://www.ensembl.org/Anopheles_gambiae/contigview?chr=2L&amp;region=&amp;start=41810670&amp;end=41820738","2L")</f>
        <v>2L</v>
      </c>
      <c r="U73">
        <v>41815670</v>
      </c>
      <c r="V73">
        <v>41815738</v>
      </c>
      <c r="W73" s="2" t="str">
        <f>HYPERLINK("http://exon.niaid.nih.gov/transcriptome/An_funestus_sialome/Sup_tab2/links/AGPROT\AF-81-AGPROT.txt","ENSANGP00000027765")</f>
        <v>ENSANGP00000027765</v>
      </c>
      <c r="X73" s="3" t="str">
        <f>HYPERLINK("http://www.ensembl.org/Anopheles_gambiae/protview?peptide=ENSANGP00000027765","2.7")</f>
        <v>2.7</v>
      </c>
      <c r="Y73">
        <v>41</v>
      </c>
      <c r="Z73">
        <v>7</v>
      </c>
      <c r="AA73" s="2" t="str">
        <f>HYPERLINK("http://exon.niaid.nih.gov/transcriptome/An_funestus_sialome/Sup_tab2/links/AGTB2\AF-81-AGTB2.txt","salivary protein of the G1 family of anopheline proteins         16   8.4")</f>
        <v>salivary protein of the G1 family of anopheline proteins         16   8.4</v>
      </c>
      <c r="AB73" s="8">
        <v>8.4</v>
      </c>
      <c r="AC73" t="s">
        <v>186</v>
      </c>
      <c r="AD73">
        <v>55</v>
      </c>
      <c r="AE73">
        <v>2</v>
      </c>
      <c r="AF73" s="5" t="s">
        <v>402</v>
      </c>
      <c r="AG73" t="s">
        <v>370</v>
      </c>
      <c r="AH73" s="2" t="str">
        <f>HYPERLINK("http://exon.niaid.nih.gov/transcriptome/An_funestus_sialome/Sup_tab2/links/NR\AF-81-NR.txt","ribosomal protein L41 [Aedes albopict")</f>
        <v>ribosomal protein L41 [Aedes albopict</v>
      </c>
      <c r="AI73" s="6" t="str">
        <f>HYPERLINK("http://www.ncbi.nlm.nih.gov/sutils/blink.cgi?pid=56417540","5E-006")</f>
        <v>5E-006</v>
      </c>
      <c r="AJ73" t="s">
        <v>271</v>
      </c>
      <c r="AK73">
        <v>96</v>
      </c>
      <c r="AL73">
        <v>100</v>
      </c>
      <c r="AM73" t="s">
        <v>272</v>
      </c>
      <c r="AN73" s="2" t="s">
        <v>273</v>
      </c>
      <c r="AO73" s="3">
        <f>HYPERLINK("http://exon.niaid.nih.gov/transcriptome/An_funestus_sialome/Sup_tab2/links/GO\AF-81-GO.txt",0.0000006)</f>
        <v>0</v>
      </c>
      <c r="AP73" t="s">
        <v>53</v>
      </c>
      <c r="AQ73" t="s">
        <v>53</v>
      </c>
      <c r="AS73" t="s">
        <v>54</v>
      </c>
      <c r="AT73">
        <v>6E-07</v>
      </c>
      <c r="AU73" s="2" t="s">
        <v>4</v>
      </c>
      <c r="AV73" s="3" t="s">
        <v>4</v>
      </c>
      <c r="AW73" t="s">
        <v>4</v>
      </c>
      <c r="AX73" s="2" t="s">
        <v>4</v>
      </c>
      <c r="AY73" s="3" t="s">
        <v>4</v>
      </c>
      <c r="AZ73" t="s">
        <v>4</v>
      </c>
      <c r="BA73" s="2" t="s">
        <v>4</v>
      </c>
      <c r="BB73" s="3" t="s">
        <v>4</v>
      </c>
      <c r="BC73" s="2" t="s">
        <v>4</v>
      </c>
      <c r="BD73" s="3" t="s">
        <v>4</v>
      </c>
    </row>
    <row r="74" spans="1:56" s="34" customFormat="1" ht="11.25">
      <c r="A74" s="33" t="s">
        <v>450</v>
      </c>
      <c r="C74" s="35"/>
      <c r="E74" s="36"/>
      <c r="K74" s="36"/>
      <c r="L74" s="37"/>
      <c r="M74" s="37"/>
      <c r="N74" s="37"/>
      <c r="O74" s="38"/>
      <c r="P74" s="39"/>
      <c r="W74" s="38"/>
      <c r="X74" s="39"/>
      <c r="AA74" s="38"/>
      <c r="AB74" s="40"/>
      <c r="AF74" s="38"/>
      <c r="AH74" s="38"/>
      <c r="AI74" s="41"/>
      <c r="AN74" s="38"/>
      <c r="AO74" s="39"/>
      <c r="AU74" s="38"/>
      <c r="AV74" s="39"/>
      <c r="AX74" s="38"/>
      <c r="AY74" s="39"/>
      <c r="BA74" s="38"/>
      <c r="BB74" s="39"/>
      <c r="BC74" s="38"/>
      <c r="BD74" s="39"/>
    </row>
    <row r="75" spans="1:56" ht="11.25">
      <c r="A75" t="str">
        <f>HYPERLINK("http://exon.niaid.nih.gov/transcriptome/An_funestus_sialome/Sup_tab2/links/AF-72-pep.txt","AF-72")</f>
        <v>AF-72</v>
      </c>
      <c r="B75" s="4" t="s">
        <v>3</v>
      </c>
      <c r="C75" s="4">
        <v>128</v>
      </c>
      <c r="D75" t="str">
        <f>HYPERLINK("http://exon.niaid.nih.gov/transcriptome/An_funestus_sialome/Sup_tab2/links/AF-72-cds.txt","AF-72")</f>
        <v>AF-72</v>
      </c>
      <c r="E75" s="22" t="str">
        <f>HYPERLINK("http://exon.niaid.nih.gov/transcriptome/An_funestus_sialome/Sup_tab2/links/AF-72-SigP.txt","CYT")</f>
        <v>CYT</v>
      </c>
      <c r="F75" t="s">
        <v>4</v>
      </c>
      <c r="G75">
        <v>14.733</v>
      </c>
      <c r="H75">
        <v>9.87</v>
      </c>
      <c r="L75" s="7">
        <v>1.5625</v>
      </c>
      <c r="M75" s="7">
        <v>5.46875</v>
      </c>
      <c r="N75" s="7">
        <v>4.6875</v>
      </c>
      <c r="O75" s="2" t="str">
        <f>HYPERLINK("http://exon.niaid.nih.gov/transcriptome/An_funestus_sialome/Sup_tab2/links/AGFRAG\AF-72-AGFRAG.txt","3R_Piece#117")</f>
        <v>3R_Piece#117</v>
      </c>
      <c r="P75" s="3">
        <v>9E-66</v>
      </c>
      <c r="Q75">
        <v>156</v>
      </c>
      <c r="R75">
        <v>82</v>
      </c>
      <c r="S75">
        <v>20433</v>
      </c>
      <c r="T75" s="4" t="str">
        <f>HYPERLINK("http://www.ensembl.org/Anopheles_gambiae/contigview?chr=3R&amp;region=&amp;start=2915433&amp;end=2925900","3R")</f>
        <v>3R</v>
      </c>
      <c r="U75">
        <v>2920433</v>
      </c>
      <c r="V75">
        <v>2920900</v>
      </c>
      <c r="W75" s="2" t="str">
        <f>HYPERLINK("http://exon.niaid.nih.gov/transcriptome/An_funestus_sialome/Sup_tab2/links/AGPROT\AF-72-AGPROT.txt","ENSANGP00000010158")</f>
        <v>ENSANGP00000010158</v>
      </c>
      <c r="X75" s="3" t="str">
        <f>HYPERLINK("http://www.ensembl.org/Anopheles_gambiae/protview?peptide=ENSANGP00000010158","2E-071")</f>
        <v>2E-071</v>
      </c>
      <c r="Y75">
        <v>100</v>
      </c>
      <c r="Z75">
        <v>100</v>
      </c>
      <c r="AA75" s="2" t="str">
        <f>HYPERLINK("http://exon.niaid.nih.gov/transcriptome/An_funestus_sialome/Sup_tab2/links/AGTB2\AF-72-AGTB2.txt","ENSANGT00000008689 3L - 6265665: 6266636 MW: ")</f>
        <v>ENSANGT00000008689 3L - 6265665: 6266636 MW: </v>
      </c>
      <c r="AB75" s="8">
        <v>0.4</v>
      </c>
      <c r="AC75" t="s">
        <v>259</v>
      </c>
      <c r="AD75">
        <v>26</v>
      </c>
      <c r="AE75">
        <v>7</v>
      </c>
      <c r="AF75" s="5" t="s">
        <v>384</v>
      </c>
      <c r="AG75" t="s">
        <v>385</v>
      </c>
      <c r="AH75" s="2" t="str">
        <f>HYPERLINK("http://exon.niaid.nih.gov/transcriptome/An_funestus_sialome/Sup_tab2/links/NR\AF-72-NR.txt","60S ribosomal protein L40 [Aedes albo")</f>
        <v>60S ribosomal protein L40 [Aedes albo</v>
      </c>
      <c r="AI75" s="6" t="str">
        <f>HYPERLINK("http://www.ncbi.nlm.nih.gov/sutils/blink.cgi?pid=56417572","3E-069")</f>
        <v>3E-069</v>
      </c>
      <c r="AJ75" t="s">
        <v>260</v>
      </c>
      <c r="AK75">
        <v>100</v>
      </c>
      <c r="AL75">
        <v>100</v>
      </c>
      <c r="AM75" t="s">
        <v>261</v>
      </c>
      <c r="AN75" s="2" t="s">
        <v>262</v>
      </c>
      <c r="AO75" s="3">
        <f>HYPERLINK("http://exon.niaid.nih.gov/transcriptome/An_funestus_sialome/Sup_tab2/links/GO\AF-72-GO.txt",3E-37)</f>
        <v>0</v>
      </c>
      <c r="AP75" t="s">
        <v>81</v>
      </c>
      <c r="AQ75" t="s">
        <v>82</v>
      </c>
      <c r="AR75" t="s">
        <v>83</v>
      </c>
      <c r="AS75" t="s">
        <v>84</v>
      </c>
      <c r="AT75" s="1">
        <v>3E-37</v>
      </c>
      <c r="AU75" s="2" t="str">
        <f>HYPERLINK("http://exon.niaid.nih.gov/transcriptome/An_funestus_sialome/Sup_tab2/links/KOG\AF-72-KOG.txt","Ubiquitin/60s ribosomal protein L40 fusion")</f>
        <v>Ubiquitin/60s ribosomal protein L40 fusion</v>
      </c>
      <c r="AV75" s="3" t="str">
        <f>HYPERLINK("http://www.ncbi.nlm.nih.gov/COG/new/shokog.cgi?KOG0003","2E-056")</f>
        <v>2E-056</v>
      </c>
      <c r="AW75" t="s">
        <v>85</v>
      </c>
      <c r="AX75" s="2" t="str">
        <f>HYPERLINK("http://exon.niaid.nih.gov/transcriptome/An_funestus_sialome/Sup_tab2/links/CDD\AF-72-CDD.txt","Ubiquitin")</f>
        <v>Ubiquitin</v>
      </c>
      <c r="AY75" s="3" t="str">
        <f>HYPERLINK("http://www.ncbi.nlm.nih.gov/Structure/cdd/cddsrv.cgi?uid=cd01803&amp;version=v4.0","3E-037")</f>
        <v>3E-037</v>
      </c>
      <c r="AZ75" t="s">
        <v>263</v>
      </c>
      <c r="BA75" s="2" t="str">
        <f>HYPERLINK("http://exon.niaid.nih.gov/transcriptome/An_funestus_sialome/Sup_tab2/links/PFAM\AF-72-PFAM.txt","ubiquitin")</f>
        <v>ubiquitin</v>
      </c>
      <c r="BB75" s="3" t="str">
        <f>HYPERLINK("http://pfam.wustl.edu/cgi-bin/getdesc?acc=PF00240","8E-025")</f>
        <v>8E-025</v>
      </c>
      <c r="BC75" s="2" t="str">
        <f>HYPERLINK("http://exon.niaid.nih.gov/transcriptome/An_funestus_sialome/Sup_tab2/links/SMART\AF-72-SMART.txt","UBQ")</f>
        <v>UBQ</v>
      </c>
      <c r="BD75" s="3" t="str">
        <f>HYPERLINK("http://smart.embl-heidelberg.de/smart/do_annotation.pl?DOMAIN=UBQ&amp;BLAST=DUMMY","1E-024")</f>
        <v>1E-024</v>
      </c>
    </row>
    <row r="76" spans="1:56" s="34" customFormat="1" ht="11.25">
      <c r="A76" s="33" t="s">
        <v>451</v>
      </c>
      <c r="C76" s="35"/>
      <c r="E76" s="36"/>
      <c r="K76" s="36"/>
      <c r="L76" s="37"/>
      <c r="M76" s="37"/>
      <c r="N76" s="37"/>
      <c r="O76" s="38"/>
      <c r="P76" s="39"/>
      <c r="W76" s="38"/>
      <c r="X76" s="39"/>
      <c r="AA76" s="38"/>
      <c r="AB76" s="40"/>
      <c r="AF76" s="38"/>
      <c r="AH76" s="38"/>
      <c r="AI76" s="41"/>
      <c r="AN76" s="38"/>
      <c r="AO76" s="39"/>
      <c r="AU76" s="38"/>
      <c r="AV76" s="39"/>
      <c r="AX76" s="38"/>
      <c r="AY76" s="39"/>
      <c r="BA76" s="38"/>
      <c r="BB76" s="39"/>
      <c r="BC76" s="38"/>
      <c r="BD76" s="39"/>
    </row>
    <row r="77" spans="1:56" ht="11.25">
      <c r="A77" t="str">
        <f>HYPERLINK("http://exon.niaid.nih.gov/transcriptome/An_funestus_sialome/Sup_tab2/links/AF-169-pep.txt","AF-169")</f>
        <v>AF-169</v>
      </c>
      <c r="B77" s="4" t="s">
        <v>3</v>
      </c>
      <c r="C77" s="4">
        <v>220</v>
      </c>
      <c r="D77" t="str">
        <f>HYPERLINK("http://exon.niaid.nih.gov/transcriptome/An_funestus_sialome/Sup_tab2/links/AF-169-cds.txt","AF-169")</f>
        <v>AF-169</v>
      </c>
      <c r="E77" s="22" t="str">
        <f>HYPERLINK("http://exon.niaid.nih.gov/transcriptome/An_funestus_sialome/Sup_tab2/links/AF-169-SigP.txt","CYT")</f>
        <v>CYT</v>
      </c>
      <c r="F77" t="s">
        <v>4</v>
      </c>
      <c r="G77">
        <v>24.99</v>
      </c>
      <c r="H77">
        <v>5.22</v>
      </c>
      <c r="L77" s="7">
        <v>2.272727</v>
      </c>
      <c r="M77" s="7">
        <v>2.727273</v>
      </c>
      <c r="N77" s="7">
        <v>2.727273</v>
      </c>
      <c r="O77" s="2" t="str">
        <f>HYPERLINK("http://exon.niaid.nih.gov/transcriptome/An_funestus_sialome/Sup_tab2/links/AGFRAG\AF-169-AGFRAG.txt","2R_Piece#1624")</f>
        <v>2R_Piece#1624</v>
      </c>
      <c r="P77" s="3">
        <v>1E-109</v>
      </c>
      <c r="Q77">
        <v>206</v>
      </c>
      <c r="R77">
        <v>96</v>
      </c>
      <c r="S77">
        <v>19793</v>
      </c>
      <c r="T77" s="4" t="str">
        <f>HYPERLINK("http://www.ensembl.org/Anopheles_gambiae/contigview?chr=2R&amp;region=&amp;start=40589793&amp;end=40600154","2R")</f>
        <v>2R</v>
      </c>
      <c r="U77">
        <v>40594793</v>
      </c>
      <c r="V77">
        <v>40595154</v>
      </c>
      <c r="W77" s="2" t="str">
        <f>HYPERLINK("http://exon.niaid.nih.gov/transcriptome/An_funestus_sialome/Sup_tab2/links/AGPROT\AF-169-AGPROT.txt","ENSANGP00000019754")</f>
        <v>ENSANGP00000019754</v>
      </c>
      <c r="X77" s="3" t="str">
        <f>HYPERLINK("http://www.ensembl.org/Anopheles_gambiae/protview?peptide=ENSANGP00000019754","1E-115")</f>
        <v>1E-115</v>
      </c>
      <c r="Y77">
        <v>96</v>
      </c>
      <c r="Z77">
        <v>100</v>
      </c>
      <c r="AA77" s="2" t="str">
        <f>HYPERLINK("http://exon.niaid.nih.gov/transcriptome/An_funestus_sialome/Sup_tab2/links/AGTB2\AF-169-AGTB2.txt","member of the 30 kDag salivary antigen family                   25   0.074")</f>
        <v>member of the 30 kDag salivary antigen family                   25   0.074</v>
      </c>
      <c r="AB77" s="8">
        <v>0.074</v>
      </c>
      <c r="AC77" t="s">
        <v>98</v>
      </c>
      <c r="AD77">
        <v>32</v>
      </c>
      <c r="AE77">
        <v>17</v>
      </c>
      <c r="AF77" s="5" t="s">
        <v>376</v>
      </c>
      <c r="AG77" t="s">
        <v>377</v>
      </c>
      <c r="AH77" s="2" t="str">
        <f>HYPERLINK("http://exon.niaid.nih.gov/transcriptome/An_funestus_sialome/Sup_tab2/links/NR\AF-169-NR.txt","ENSANGP00000019754 [Anopheles gambiae")</f>
        <v>ENSANGP00000019754 [Anopheles gambiae</v>
      </c>
      <c r="AI77" s="6" t="str">
        <f>HYPERLINK("http://www.ncbi.nlm.nih.gov/sutils/blink.cgi?pid=55244508","1E-113")</f>
        <v>1E-113</v>
      </c>
      <c r="AJ77" t="s">
        <v>99</v>
      </c>
      <c r="AK77">
        <v>96</v>
      </c>
      <c r="AL77">
        <v>100</v>
      </c>
      <c r="AM77" t="s">
        <v>59</v>
      </c>
      <c r="AN77" s="2" t="s">
        <v>100</v>
      </c>
      <c r="AO77" s="3">
        <f>HYPERLINK("http://exon.niaid.nih.gov/transcriptome/An_funestus_sialome/Sup_tab2/links/GO\AF-169-GO.txt",6E-74)</f>
        <v>0</v>
      </c>
      <c r="AP77" t="s">
        <v>53</v>
      </c>
      <c r="AQ77" t="s">
        <v>53</v>
      </c>
      <c r="AS77" t="s">
        <v>54</v>
      </c>
      <c r="AT77" s="1">
        <v>6E-74</v>
      </c>
      <c r="AU77" s="2" t="str">
        <f>HYPERLINK("http://exon.niaid.nih.gov/transcriptome/An_funestus_sialome/Sup_tab2/links/KOG\AF-169-KOG.txt","Vacuolar sorting protein VPS24")</f>
        <v>Vacuolar sorting protein VPS24</v>
      </c>
      <c r="AV77" s="3" t="str">
        <f>HYPERLINK("http://www.ncbi.nlm.nih.gov/COG/new/shokog.cgi?KOG3229","3E-052")</f>
        <v>3E-052</v>
      </c>
      <c r="AW77" t="s">
        <v>68</v>
      </c>
      <c r="AX77" s="2" t="str">
        <f>HYPERLINK("http://exon.niaid.nih.gov/transcriptome/An_funestus_sialome/Sup_tab2/links/CDD\AF-169-CDD.txt","SNF7")</f>
        <v>SNF7</v>
      </c>
      <c r="AY77" s="3" t="str">
        <f>HYPERLINK("http://www.ncbi.nlm.nih.gov/Structure/cdd/cddsrv.cgi?uid=pfam03357&amp;version=v4.0","9E-021")</f>
        <v>9E-021</v>
      </c>
      <c r="AZ77" t="s">
        <v>101</v>
      </c>
      <c r="BA77" s="2" t="str">
        <f>HYPERLINK("http://exon.niaid.nih.gov/transcriptome/An_funestus_sialome/Sup_tab2/links/PFAM\AF-169-PFAM.txt","SNF7")</f>
        <v>SNF7</v>
      </c>
      <c r="BB77" s="3" t="str">
        <f>HYPERLINK("http://pfam.wustl.edu/cgi-bin/getdesc?acc=PF03357","5E-021")</f>
        <v>5E-021</v>
      </c>
      <c r="BC77" s="2" t="s">
        <v>4</v>
      </c>
      <c r="BD77" s="3" t="s">
        <v>4</v>
      </c>
    </row>
    <row r="78" spans="1:56" ht="11.25">
      <c r="A78" t="str">
        <f>HYPERLINK("http://exon.niaid.nih.gov/transcriptome/An_funestus_sialome/Sup_tab2/links/AF-74-pep.txt","AF-74")</f>
        <v>AF-74</v>
      </c>
      <c r="B78" s="4" t="s">
        <v>3</v>
      </c>
      <c r="C78" s="4">
        <v>170</v>
      </c>
      <c r="D78" t="str">
        <f>HYPERLINK("http://exon.niaid.nih.gov/transcriptome/An_funestus_sialome/Sup_tab2/links/AF-74-cds.txt","AF-74")</f>
        <v>AF-74</v>
      </c>
      <c r="E78" s="22" t="str">
        <f>HYPERLINK("http://exon.niaid.nih.gov/transcriptome/An_funestus_sialome/Sup_tab2/links/AF-74-SigP.txt","SIG")</f>
        <v>SIG</v>
      </c>
      <c r="F78" t="s">
        <v>420</v>
      </c>
      <c r="G78">
        <v>18.507</v>
      </c>
      <c r="H78">
        <v>9.03</v>
      </c>
      <c r="I78">
        <v>16.463</v>
      </c>
      <c r="J78">
        <v>9.08</v>
      </c>
      <c r="L78" s="7">
        <v>0.5882353</v>
      </c>
      <c r="M78" s="7">
        <v>4.705883</v>
      </c>
      <c r="N78" s="7">
        <v>3.529412</v>
      </c>
      <c r="O78" s="2" t="str">
        <f>HYPERLINK("http://exon.niaid.nih.gov/transcriptome/An_funestus_sialome/Sup_tab2/links/AGFRAG\AF-74-AGFRAG.txt","2R_Piece#1541")</f>
        <v>2R_Piece#1541</v>
      </c>
      <c r="P78" s="3">
        <v>2E-79</v>
      </c>
      <c r="Q78">
        <v>201</v>
      </c>
      <c r="R78">
        <v>77</v>
      </c>
      <c r="S78">
        <v>11090</v>
      </c>
      <c r="T78" s="4" t="str">
        <f>HYPERLINK("http://www.ensembl.org/Anopheles_gambiae/contigview?chr=2R&amp;region=&amp;start=38506090&amp;end=38516451","2R")</f>
        <v>2R</v>
      </c>
      <c r="U78">
        <v>38511090</v>
      </c>
      <c r="V78">
        <v>38511451</v>
      </c>
      <c r="W78" s="2" t="str">
        <f>HYPERLINK("http://exon.niaid.nih.gov/transcriptome/An_funestus_sialome/Sup_tab2/links/AGPROT\AF-74-AGPROT.txt","ENSANGP00000015077")</f>
        <v>ENSANGP00000015077</v>
      </c>
      <c r="X78" s="3" t="str">
        <f>HYPERLINK("http://www.ensembl.org/Anopheles_gambiae/protview?peptide=ENSANGP00000015077","1E-085")</f>
        <v>1E-085</v>
      </c>
      <c r="Y78">
        <v>91</v>
      </c>
      <c r="Z78">
        <v>99</v>
      </c>
      <c r="AA78" s="2" t="str">
        <f>HYPERLINK("http://exon.niaid.nih.gov/transcriptome/An_funestus_sialome/Sup_tab2/links/AGTB2\AF-74-AGTB2.txt","salivary protein of the G1 family of anopheline proteins         24   0.092")</f>
        <v>salivary protein of the G1 family of anopheline proteins         24   0.092</v>
      </c>
      <c r="AB78" s="8">
        <v>0.092</v>
      </c>
      <c r="AC78" t="s">
        <v>264</v>
      </c>
      <c r="AD78">
        <v>31</v>
      </c>
      <c r="AE78">
        <v>10</v>
      </c>
      <c r="AF78" s="5" t="s">
        <v>378</v>
      </c>
      <c r="AG78" t="s">
        <v>377</v>
      </c>
      <c r="AH78" s="2" t="str">
        <f>HYPERLINK("http://exon.niaid.nih.gov/transcriptome/An_funestus_sialome/Sup_tab2/links/NR\AF-74-NR.txt","ENSANGP00000015077 [Anopheles gambiae")</f>
        <v>ENSANGP00000015077 [Anopheles gambiae</v>
      </c>
      <c r="AI78" s="6" t="str">
        <f>HYPERLINK("http://www.ncbi.nlm.nih.gov/sutils/blink.cgi?pid=55242532","1E-083")</f>
        <v>1E-083</v>
      </c>
      <c r="AJ78" t="s">
        <v>265</v>
      </c>
      <c r="AK78">
        <v>91</v>
      </c>
      <c r="AL78">
        <v>99</v>
      </c>
      <c r="AM78" t="s">
        <v>59</v>
      </c>
      <c r="AN78" s="2" t="s">
        <v>266</v>
      </c>
      <c r="AO78" s="3">
        <f>HYPERLINK("http://exon.niaid.nih.gov/transcriptome/An_funestus_sialome/Sup_tab2/links/GO\AF-74-GO.txt",2E-36)</f>
        <v>0</v>
      </c>
      <c r="AP78" t="s">
        <v>53</v>
      </c>
      <c r="AQ78" t="s">
        <v>53</v>
      </c>
      <c r="AS78" t="s">
        <v>54</v>
      </c>
      <c r="AT78" s="1">
        <v>2E-36</v>
      </c>
      <c r="AU78" s="2" t="str">
        <f>HYPERLINK("http://exon.niaid.nih.gov/transcriptome/An_funestus_sialome/Sup_tab2/links/KOG\AF-74-KOG.txt","Translocon-associated complex TRAP, delta subunit")</f>
        <v>Translocon-associated complex TRAP, delta subunit</v>
      </c>
      <c r="AV78" s="3" t="str">
        <f>HYPERLINK("http://www.ncbi.nlm.nih.gov/COG/new/shokog.cgi?KOG4088","9E-039")</f>
        <v>9E-039</v>
      </c>
      <c r="AW78" t="s">
        <v>68</v>
      </c>
      <c r="AX78" s="2" t="str">
        <f>HYPERLINK("http://exon.niaid.nih.gov/transcriptome/An_funestus_sialome/Sup_tab2/links/CDD\AF-74-CDD.txt","TRAP-delta")</f>
        <v>TRAP-delta</v>
      </c>
      <c r="AY78" s="3" t="str">
        <f>HYPERLINK("http://www.ncbi.nlm.nih.gov/Structure/cdd/cddsrv.cgi?uid=pfam05404&amp;version=v4.0","5E-039")</f>
        <v>5E-039</v>
      </c>
      <c r="AZ78" t="s">
        <v>267</v>
      </c>
      <c r="BA78" s="2" t="str">
        <f>HYPERLINK("http://exon.niaid.nih.gov/transcriptome/An_funestus_sialome/Sup_tab2/links/PFAM\AF-74-PFAM.txt","TRAP-delta")</f>
        <v>TRAP-delta</v>
      </c>
      <c r="BB78" s="3" t="str">
        <f>HYPERLINK("http://pfam.wustl.edu/cgi-bin/getdesc?acc=PF05404","2E-039")</f>
        <v>2E-039</v>
      </c>
      <c r="BC78" s="2" t="s">
        <v>4</v>
      </c>
      <c r="BD78" s="3" t="s">
        <v>4</v>
      </c>
    </row>
    <row r="79" spans="1:56" s="34" customFormat="1" ht="11.25">
      <c r="A79" s="33" t="s">
        <v>452</v>
      </c>
      <c r="C79" s="35"/>
      <c r="E79" s="36"/>
      <c r="K79" s="36"/>
      <c r="L79" s="37"/>
      <c r="M79" s="37"/>
      <c r="N79" s="37"/>
      <c r="O79" s="38"/>
      <c r="P79" s="39"/>
      <c r="W79" s="38"/>
      <c r="X79" s="39"/>
      <c r="AA79" s="38"/>
      <c r="AB79" s="40"/>
      <c r="AF79" s="38"/>
      <c r="AH79" s="38"/>
      <c r="AI79" s="41"/>
      <c r="AN79" s="38"/>
      <c r="AO79" s="39"/>
      <c r="AU79" s="38"/>
      <c r="AV79" s="39"/>
      <c r="AX79" s="38"/>
      <c r="AY79" s="39"/>
      <c r="BA79" s="38"/>
      <c r="BB79" s="39"/>
      <c r="BC79" s="38"/>
      <c r="BD79" s="39"/>
    </row>
    <row r="80" spans="1:56" ht="11.25">
      <c r="A80" t="str">
        <f>HYPERLINK("http://exon.niaid.nih.gov/transcriptome/An_funestus_sialome/Sup_tab2/links/AF-119-pep.txt","AF-119")</f>
        <v>AF-119</v>
      </c>
      <c r="B80" s="4" t="s">
        <v>3</v>
      </c>
      <c r="C80" s="4">
        <v>184</v>
      </c>
      <c r="D80" t="str">
        <f>HYPERLINK("http://exon.niaid.nih.gov/transcriptome/An_funestus_sialome/Sup_tab2/links/AF-119-cds.txt","AF-119")</f>
        <v>AF-119</v>
      </c>
      <c r="E80" s="22" t="str">
        <f>HYPERLINK("http://exon.niaid.nih.gov/transcriptome/An_funestus_sialome/Sup_tab2/links/AF-119-SigP.txt","CYT")</f>
        <v>CYT</v>
      </c>
      <c r="F80" t="s">
        <v>4</v>
      </c>
      <c r="G80">
        <v>20.518</v>
      </c>
      <c r="H80">
        <v>9.33</v>
      </c>
      <c r="L80" s="7">
        <v>0</v>
      </c>
      <c r="M80" s="7">
        <v>11.41304</v>
      </c>
      <c r="N80" s="7">
        <v>3.804348</v>
      </c>
      <c r="O80" s="2" t="str">
        <f>HYPERLINK("http://exon.niaid.nih.gov/transcriptome/An_funestus_sialome/Sup_tab2/links/AGFRAG\AF-119-AGFRAG.txt","UNKN_Piece#1074")</f>
        <v>UNKN_Piece#1074</v>
      </c>
      <c r="P80" s="3">
        <v>1E-91</v>
      </c>
      <c r="Q80">
        <v>87</v>
      </c>
      <c r="R80">
        <v>100</v>
      </c>
      <c r="S80">
        <v>21245</v>
      </c>
      <c r="T80" s="4" t="str">
        <f>HYPERLINK("http://www.ensembl.org/Anopheles_gambiae/contigview?chr=UNKN&amp;region=&amp;start=26841245&amp;end=26851246","UNKN")</f>
        <v>UNKN</v>
      </c>
      <c r="U80">
        <v>26846245</v>
      </c>
      <c r="V80">
        <v>26846246</v>
      </c>
      <c r="W80" s="2" t="str">
        <f>HYPERLINK("http://exon.niaid.nih.gov/transcriptome/An_funestus_sialome/Sup_tab2/links/AGPROT\AF-119-AGPROT.txt","ENSANGP00000013674")</f>
        <v>ENSANGP00000013674</v>
      </c>
      <c r="X80" s="3" t="str">
        <f>HYPERLINK("http://www.ensembl.org/Anopheles_gambiae/protview?peptide=ENSANGP00000013674","1E-102")</f>
        <v>1E-102</v>
      </c>
      <c r="Y80">
        <v>100</v>
      </c>
      <c r="Z80">
        <v>100</v>
      </c>
      <c r="AA80" s="2" t="str">
        <f>HYPERLINK("http://exon.niaid.nih.gov/transcriptome/An_funestus_sialome/Sup_tab2/links/AGTB2\AF-119-AGTB2.txt","hypothetical salivary protein 10                                 21   0.86")</f>
        <v>hypothetical salivary protein 10                                 21   0.86</v>
      </c>
      <c r="AB80" s="8">
        <v>0.86</v>
      </c>
      <c r="AC80" t="s">
        <v>61</v>
      </c>
      <c r="AD80">
        <v>23</v>
      </c>
      <c r="AE80">
        <v>29</v>
      </c>
      <c r="AF80" s="5" t="s">
        <v>389</v>
      </c>
      <c r="AG80" t="s">
        <v>390</v>
      </c>
      <c r="AH80" s="2" t="str">
        <f>HYPERLINK("http://exon.niaid.nih.gov/transcriptome/An_funestus_sialome/Sup_tab2/links/NR\AF-119-NR.txt","ENSANGP00000013674 [Anopheles gambiae")</f>
        <v>ENSANGP00000013674 [Anopheles gambiae</v>
      </c>
      <c r="AI80" s="6" t="str">
        <f>HYPERLINK("http://www.ncbi.nlm.nih.gov/sutils/blink.cgi?pid=55247312","1E-100")</f>
        <v>1E-100</v>
      </c>
      <c r="AJ80" t="s">
        <v>62</v>
      </c>
      <c r="AK80">
        <v>100</v>
      </c>
      <c r="AL80">
        <v>100</v>
      </c>
      <c r="AM80" t="s">
        <v>59</v>
      </c>
      <c r="AN80" s="2" t="s">
        <v>63</v>
      </c>
      <c r="AO80" s="3">
        <f>HYPERLINK("http://exon.niaid.nih.gov/transcriptome/An_funestus_sialome/Sup_tab2/links/GO\AF-119-GO.txt",1E-81)</f>
        <v>0</v>
      </c>
      <c r="AP80" t="s">
        <v>64</v>
      </c>
      <c r="AQ80" t="s">
        <v>65</v>
      </c>
      <c r="AR80" t="s">
        <v>66</v>
      </c>
      <c r="AS80" t="s">
        <v>67</v>
      </c>
      <c r="AT80" s="1">
        <v>1E-81</v>
      </c>
      <c r="AU80" s="2" t="str">
        <f>HYPERLINK("http://exon.niaid.nih.gov/transcriptome/An_funestus_sialome/Sup_tab2/links/KOG\AF-119-KOG.txt","Signal peptidase I")</f>
        <v>Signal peptidase I</v>
      </c>
      <c r="AV80" s="3" t="str">
        <f>HYPERLINK("http://www.ncbi.nlm.nih.gov/COG/new/shokog.cgi?KOG3342","2E-077")</f>
        <v>2E-077</v>
      </c>
      <c r="AW80" t="s">
        <v>68</v>
      </c>
      <c r="AX80" s="2" t="str">
        <f>HYPERLINK("http://exon.niaid.nih.gov/transcriptome/An_funestus_sialome/Sup_tab2/links/CDD\AF-119-CDD.txt","Peptidase_S26")</f>
        <v>Peptidase_S26</v>
      </c>
      <c r="AY80" s="3" t="str">
        <f>HYPERLINK("http://www.ncbi.nlm.nih.gov/Structure/cdd/cddsrv.cgi?uid=pfam00461&amp;version=v4.0","2E-027")</f>
        <v>2E-027</v>
      </c>
      <c r="AZ80" t="s">
        <v>69</v>
      </c>
      <c r="BA80" s="2" t="str">
        <f>HYPERLINK("http://exon.niaid.nih.gov/transcriptome/An_funestus_sialome/Sup_tab2/links/PFAM\AF-119-PFAM.txt","Peptidase_S26")</f>
        <v>Peptidase_S26</v>
      </c>
      <c r="BB80" s="3" t="str">
        <f>HYPERLINK("http://pfam.wustl.edu/cgi-bin/getdesc?acc=PF00461","1E-027")</f>
        <v>1E-027</v>
      </c>
      <c r="BC80" s="2" t="str">
        <f>HYPERLINK("http://exon.niaid.nih.gov/transcriptome/An_funestus_sialome/Sup_tab2/links/SMART\AF-119-SMART.txt","LIGANc")</f>
        <v>LIGANc</v>
      </c>
      <c r="BD80" s="3" t="str">
        <f>HYPERLINK("http://smart.embl-heidelberg.de/smart/do_annotation.pl?DOMAIN=LIGANc&amp;BLAST=DUMMY","0.31")</f>
        <v>0.31</v>
      </c>
    </row>
    <row r="81" spans="1:56" s="34" customFormat="1" ht="11.25">
      <c r="A81" s="33" t="s">
        <v>453</v>
      </c>
      <c r="C81" s="35"/>
      <c r="E81" s="36"/>
      <c r="K81" s="36"/>
      <c r="L81" s="37"/>
      <c r="M81" s="37"/>
      <c r="N81" s="37"/>
      <c r="O81" s="38"/>
      <c r="P81" s="39"/>
      <c r="W81" s="38"/>
      <c r="X81" s="39"/>
      <c r="AA81" s="38"/>
      <c r="AB81" s="40"/>
      <c r="AF81" s="38"/>
      <c r="AH81" s="38"/>
      <c r="AI81" s="41"/>
      <c r="AN81" s="38"/>
      <c r="AO81" s="39"/>
      <c r="AU81" s="38"/>
      <c r="AV81" s="39"/>
      <c r="AX81" s="38"/>
      <c r="AY81" s="39"/>
      <c r="BA81" s="38"/>
      <c r="BB81" s="39"/>
      <c r="BC81" s="38"/>
      <c r="BD81" s="39"/>
    </row>
    <row r="82" spans="1:56" ht="11.25">
      <c r="A82" t="str">
        <f>HYPERLINK("http://exon.niaid.nih.gov/transcriptome/An_funestus_sialome/Sup_tab2/links/AF-185-pep.txt","AF-185")</f>
        <v>AF-185</v>
      </c>
      <c r="B82" s="4" t="s">
        <v>3</v>
      </c>
      <c r="C82" s="4">
        <v>70</v>
      </c>
      <c r="D82" t="str">
        <f>HYPERLINK("http://exon.niaid.nih.gov/transcriptome/An_funestus_sialome/Sup_tab2/links/AF-185-cds.txt","AF-185")</f>
        <v>AF-185</v>
      </c>
      <c r="E82" s="22" t="str">
        <f>HYPERLINK("http://exon.niaid.nih.gov/transcriptome/An_funestus_sialome/Sup_tab2/links/AF-185-SigP.txt","SIG")</f>
        <v>SIG</v>
      </c>
      <c r="F82" t="s">
        <v>433</v>
      </c>
      <c r="G82">
        <v>8.195</v>
      </c>
      <c r="H82">
        <v>7.89</v>
      </c>
      <c r="I82">
        <v>6.288</v>
      </c>
      <c r="J82">
        <v>8.94</v>
      </c>
      <c r="K82" s="22" t="str">
        <f>HYPERLINK("http://exon.niaid.nih.gov/transcriptome/An_funestus_sialome/Sup_tab2/links/AF-185-netoglyc.txt","0")</f>
        <v>0</v>
      </c>
      <c r="L82" s="7">
        <v>0</v>
      </c>
      <c r="M82" s="7">
        <v>7.142857</v>
      </c>
      <c r="N82" s="7">
        <v>4.285714</v>
      </c>
      <c r="O82" s="2" t="str">
        <f>HYPERLINK("http://exon.niaid.nih.gov/transcriptome/An_funestus_sialome/Sup_tab2/links/AGFRAG\AF-185-AGFRAG.txt","2L_Piece#1369")</f>
        <v>2L_Piece#1369</v>
      </c>
      <c r="P82" s="3">
        <v>1E-12</v>
      </c>
      <c r="Q82">
        <v>33</v>
      </c>
      <c r="R82">
        <v>100</v>
      </c>
      <c r="S82">
        <v>23693</v>
      </c>
      <c r="T82" s="4" t="str">
        <f>HYPERLINK("http://www.ensembl.org/Anopheles_gambiae/contigview?chr=2L&amp;region=&amp;start=34218693&amp;end=34228791","2L")</f>
        <v>2L</v>
      </c>
      <c r="U82">
        <v>34223693</v>
      </c>
      <c r="V82">
        <v>34223791</v>
      </c>
      <c r="W82" s="2" t="str">
        <f>HYPERLINK("http://exon.niaid.nih.gov/transcriptome/An_funestus_sialome/Sup_tab2/links/AGPROT\AF-185-AGPROT.txt","ENSANGP00000011510")</f>
        <v>ENSANGP00000011510</v>
      </c>
      <c r="X82" s="3" t="str">
        <f>HYPERLINK("http://www.ensembl.org/Anopheles_gambiae/protview?peptide=ENSANGP00000011510","3E-036")</f>
        <v>3E-036</v>
      </c>
      <c r="Y82">
        <v>95</v>
      </c>
      <c r="Z82">
        <v>100</v>
      </c>
      <c r="AA82" s="2" t="str">
        <f>HYPERLINK("http://exon.niaid.nih.gov/transcriptome/An_funestus_sialome/Sup_tab2/links/AGTB2\AF-185-AGTB2.txt","trypsin-like serine proteinase                             18   1.7")</f>
        <v>trypsin-like serine proteinase                             18   1.7</v>
      </c>
      <c r="AB82" s="8">
        <v>1.7</v>
      </c>
      <c r="AC82" t="s">
        <v>102</v>
      </c>
      <c r="AD82">
        <v>50</v>
      </c>
      <c r="AE82">
        <v>3</v>
      </c>
      <c r="AF82" s="5" t="s">
        <v>447</v>
      </c>
      <c r="AG82" t="s">
        <v>387</v>
      </c>
      <c r="AH82" s="2" t="str">
        <f>HYPERLINK("http://exon.niaid.nih.gov/transcriptome/An_funestus_sialome/Sup_tab2/links/NR\AF-185-NR.txt","putative 6.3 kDa salivary peptide [An")</f>
        <v>putative 6.3 kDa salivary peptide [An</v>
      </c>
      <c r="AI82" s="6" t="str">
        <f>HYPERLINK("http://www.ncbi.nlm.nih.gov/sutils/blink.cgi?pid=27372917","1E-034")</f>
        <v>1E-034</v>
      </c>
      <c r="AJ82" t="s">
        <v>103</v>
      </c>
      <c r="AK82">
        <v>97</v>
      </c>
      <c r="AL82">
        <v>100</v>
      </c>
      <c r="AM82" t="s">
        <v>34</v>
      </c>
      <c r="AN82" s="2" t="s">
        <v>104</v>
      </c>
      <c r="AO82" s="3">
        <f>HYPERLINK("http://exon.niaid.nih.gov/transcriptome/An_funestus_sialome/Sup_tab2/links/GO\AF-185-GO.txt",0.00006)</f>
        <v>0</v>
      </c>
      <c r="AP82" t="s">
        <v>105</v>
      </c>
      <c r="AQ82" t="s">
        <v>106</v>
      </c>
      <c r="AR82" t="s">
        <v>107</v>
      </c>
      <c r="AS82" t="s">
        <v>108</v>
      </c>
      <c r="AT82">
        <v>0.0003</v>
      </c>
      <c r="AU82" s="2" t="s">
        <v>4</v>
      </c>
      <c r="AV82" s="3" t="s">
        <v>4</v>
      </c>
      <c r="AW82" t="s">
        <v>4</v>
      </c>
      <c r="AX82" s="2" t="str">
        <f>HYPERLINK("http://exon.niaid.nih.gov/transcriptome/An_funestus_sialome/Sup_tab2/links/CDD\AF-185-CDD.txt","COG4091")</f>
        <v>COG4091</v>
      </c>
      <c r="AY82" s="3" t="str">
        <f>HYPERLINK("http://www.ncbi.nlm.nih.gov/Structure/cdd/cddsrv.cgi?uid=COG4091&amp;version=v4.0","0.39")</f>
        <v>0.39</v>
      </c>
      <c r="AZ82" t="s">
        <v>109</v>
      </c>
      <c r="BA82" s="2" t="str">
        <f>HYPERLINK("http://exon.niaid.nih.gov/transcriptome/An_funestus_sialome/Sup_tab2/links/PFAM\AF-185-PFAM.txt","Cyto_ox_2")</f>
        <v>Cyto_ox_2</v>
      </c>
      <c r="BB82" s="3" t="str">
        <f>HYPERLINK("http://pfam.wustl.edu/cgi-bin/getdesc?acc=PF02322","0.78")</f>
        <v>0.78</v>
      </c>
      <c r="BC82" s="2" t="s">
        <v>4</v>
      </c>
      <c r="BD82" s="3" t="s">
        <v>4</v>
      </c>
    </row>
    <row r="83" spans="1:56" ht="11.25">
      <c r="A83" t="str">
        <f>HYPERLINK("http://exon.niaid.nih.gov/transcriptome/An_funestus_sialome/Sup_tab2/links/AF-33-pep.txt","AF-33")</f>
        <v>AF-33</v>
      </c>
      <c r="B83" s="4" t="s">
        <v>7</v>
      </c>
      <c r="C83" s="4">
        <v>507</v>
      </c>
      <c r="D83" t="str">
        <f>HYPERLINK("http://exon.niaid.nih.gov/transcriptome/An_funestus_sialome/Sup_tab2/links/AF-33-cds.txt","AF-33")</f>
        <v>AF-33</v>
      </c>
      <c r="E83" s="22" t="str">
        <f>HYPERLINK("http://exon.niaid.nih.gov/transcriptome/An_funestus_sialome/Sup_tab2/links/AF-33-SigP.txt","CYT")</f>
        <v>CYT</v>
      </c>
      <c r="F83" t="s">
        <v>4</v>
      </c>
      <c r="G83">
        <v>56.322</v>
      </c>
      <c r="H83">
        <v>6.53</v>
      </c>
      <c r="L83" s="7">
        <v>0.1972387</v>
      </c>
      <c r="M83" s="7">
        <v>8.87574</v>
      </c>
      <c r="N83" s="7">
        <v>5.522683</v>
      </c>
      <c r="O83" s="2" t="s">
        <v>4</v>
      </c>
      <c r="P83" s="3" t="s">
        <v>4</v>
      </c>
      <c r="Q83" t="s">
        <v>4</v>
      </c>
      <c r="R83" t="s">
        <v>4</v>
      </c>
      <c r="S83" t="s">
        <v>4</v>
      </c>
      <c r="T83" s="4" t="s">
        <v>4</v>
      </c>
      <c r="U83" t="s">
        <v>4</v>
      </c>
      <c r="V83" t="s">
        <v>4</v>
      </c>
      <c r="W83" s="2" t="str">
        <f>HYPERLINK("http://exon.niaid.nih.gov/transcriptome/An_funestus_sialome/Sup_tab2/links/AGPROT\AF-33-AGPROT.txt","ENSANGP00000009757")</f>
        <v>ENSANGP00000009757</v>
      </c>
      <c r="X83" s="3" t="str">
        <f>HYPERLINK("http://www.ensembl.org/Anopheles_gambiae/protview?peptide=ENSANGP00000009757","0.27")</f>
        <v>0.27</v>
      </c>
      <c r="Y83">
        <v>26</v>
      </c>
      <c r="Z83">
        <v>14</v>
      </c>
      <c r="AA83" s="2" t="s">
        <v>4</v>
      </c>
      <c r="AB83" s="8" t="s">
        <v>4</v>
      </c>
      <c r="AC83" t="s">
        <v>4</v>
      </c>
      <c r="AD83" t="s">
        <v>4</v>
      </c>
      <c r="AE83" t="s">
        <v>4</v>
      </c>
      <c r="AF83" s="5" t="s">
        <v>403</v>
      </c>
      <c r="AG83" t="s">
        <v>387</v>
      </c>
      <c r="AH83" s="2" t="str">
        <f>HYPERLINK("http://exon.niaid.nih.gov/transcriptome/An_funestus_sialome/Sup_tab2/links/NR\AF-33-NR.txt","cytochrome c oxidase subun")</f>
        <v>cytochrome c oxidase subun</v>
      </c>
      <c r="AI83" s="6" t="str">
        <f>HYPERLINK("http://www.ncbi.nlm.nih.gov/sutils/blink.cgi?pid=5834913","0.0")</f>
        <v>0.0</v>
      </c>
      <c r="AJ83" t="s">
        <v>175</v>
      </c>
      <c r="AK83">
        <v>97</v>
      </c>
      <c r="AL83">
        <v>99</v>
      </c>
      <c r="AM83" t="s">
        <v>120</v>
      </c>
      <c r="AN83" s="2" t="s">
        <v>176</v>
      </c>
      <c r="AO83" s="3">
        <f>HYPERLINK("http://exon.niaid.nih.gov/transcriptome/An_funestus_sialome/Sup_tab2/links/GO\AF-33-GO.txt",0)</f>
        <v>0</v>
      </c>
      <c r="AP83" t="s">
        <v>177</v>
      </c>
      <c r="AQ83" t="s">
        <v>106</v>
      </c>
      <c r="AR83" t="s">
        <v>107</v>
      </c>
      <c r="AS83" t="s">
        <v>178</v>
      </c>
      <c r="AT83">
        <v>0</v>
      </c>
      <c r="AU83" s="2" t="str">
        <f>HYPERLINK("http://exon.niaid.nih.gov/transcriptome/An_funestus_sialome/Sup_tab2/links/KOG\AF-33-KOG.txt","Cytochrome c oxidase, subunit I")</f>
        <v>Cytochrome c oxidase, subunit I</v>
      </c>
      <c r="AV83" s="3" t="str">
        <f>HYPERLINK("http://www.ncbi.nlm.nih.gov/COG/new/shokog.cgi?KOG4769","2E-064")</f>
        <v>2E-064</v>
      </c>
      <c r="AW83" t="s">
        <v>179</v>
      </c>
      <c r="AX83" s="2" t="str">
        <f>HYPERLINK("http://exon.niaid.nih.gov/transcriptome/An_funestus_sialome/Sup_tab2/links/CDD\AF-33-CDD.txt","Cyt_c_Oxidase_I")</f>
        <v>Cyt_c_Oxidase_I</v>
      </c>
      <c r="AY83" s="3" t="str">
        <f>HYPERLINK("http://www.ncbi.nlm.nih.gov/Structure/cdd/cddsrv.cgi?uid=cd01663&amp;version=v4.0","0.0")</f>
        <v>0.0</v>
      </c>
      <c r="AZ83" t="s">
        <v>180</v>
      </c>
      <c r="BA83" s="2" t="str">
        <f>HYPERLINK("http://exon.niaid.nih.gov/transcriptome/An_funestus_sialome/Sup_tab2/links/PFAM\AF-33-PFAM.txt","COX1")</f>
        <v>COX1</v>
      </c>
      <c r="BB83" s="3" t="str">
        <f>HYPERLINK("http://pfam.wustl.edu/cgi-bin/getdesc?acc=PF00115","1E-158")</f>
        <v>1E-158</v>
      </c>
      <c r="BC83" s="2" t="s">
        <v>4</v>
      </c>
      <c r="BD83" s="3" t="s">
        <v>4</v>
      </c>
    </row>
    <row r="84" spans="1:56" ht="11.25">
      <c r="A84" t="str">
        <f>HYPERLINK("http://exon.niaid.nih.gov/transcriptome/An_funestus_sialome/Sup_tab2/links/AF-65-pep.txt","AF-65")</f>
        <v>AF-65</v>
      </c>
      <c r="B84" s="4" t="s">
        <v>3</v>
      </c>
      <c r="C84" s="4">
        <v>76</v>
      </c>
      <c r="D84" t="str">
        <f>HYPERLINK("http://exon.niaid.nih.gov/transcriptome/An_funestus_sialome/Sup_tab2/links/AF-65-cds.txt","AF-65")</f>
        <v>AF-65</v>
      </c>
      <c r="E84" s="22" t="str">
        <f>HYPERLINK("http://exon.niaid.nih.gov/transcriptome/An_funestus_sialome/Sup_tab2/links/AF-65-SigP.txt","CYT")</f>
        <v>CYT</v>
      </c>
      <c r="F84" t="s">
        <v>4</v>
      </c>
      <c r="G84">
        <v>9.056</v>
      </c>
      <c r="H84">
        <v>8.37</v>
      </c>
      <c r="L84" s="7">
        <v>2.631579</v>
      </c>
      <c r="M84" s="7">
        <v>6.578948</v>
      </c>
      <c r="N84" s="7">
        <v>6.578948</v>
      </c>
      <c r="O84" s="2" t="str">
        <f>HYPERLINK("http://exon.niaid.nih.gov/transcriptome/An_funestus_sialome/Sup_tab2/links/AGFRAG\AF-65-AGFRAG.txt","2L_Piece#1282")</f>
        <v>2L_Piece#1282</v>
      </c>
      <c r="P84" s="3">
        <v>2E-40</v>
      </c>
      <c r="Q84">
        <v>76</v>
      </c>
      <c r="R84">
        <v>93</v>
      </c>
      <c r="S84">
        <v>16217</v>
      </c>
      <c r="T84" s="4" t="str">
        <f>HYPERLINK("http://www.ensembl.org/Anopheles_gambiae/contigview?chr=2L&amp;region=&amp;start=32036217&amp;end=32046218","2L")</f>
        <v>2L</v>
      </c>
      <c r="U84">
        <v>32041217</v>
      </c>
      <c r="V84">
        <v>32041218</v>
      </c>
      <c r="W84" s="2" t="str">
        <f>HYPERLINK("http://exon.niaid.nih.gov/transcriptome/An_funestus_sialome/Sup_tab2/links/AGPROT\AF-65-AGPROT.txt","ENSANGP00000024683")</f>
        <v>ENSANGP00000024683</v>
      </c>
      <c r="X84" s="3" t="str">
        <f>HYPERLINK("http://www.ensembl.org/Anopheles_gambiae/protview?peptide=ENSANGP00000024683","8E-042")</f>
        <v>8E-042</v>
      </c>
      <c r="Y84">
        <v>93</v>
      </c>
      <c r="Z84">
        <v>100</v>
      </c>
      <c r="AA84" s="2" t="str">
        <f>HYPERLINK("http://exon.niaid.nih.gov/transcriptome/An_funestus_sialome/Sup_tab2/links/AGTB2\AF-65-AGTB2.txt","Long form salivary protein of the G1 family of a")</f>
        <v>Long form salivary protein of the G1 family of a</v>
      </c>
      <c r="AB84" s="8">
        <v>1.5</v>
      </c>
      <c r="AC84" t="s">
        <v>161</v>
      </c>
      <c r="AD84">
        <v>46</v>
      </c>
      <c r="AE84">
        <v>3</v>
      </c>
      <c r="AF84" s="5" t="s">
        <v>395</v>
      </c>
      <c r="AG84" t="s">
        <v>387</v>
      </c>
      <c r="AH84" s="2" t="str">
        <f>HYPERLINK("http://exon.niaid.nih.gov/transcriptome/An_funestus_sialome/Sup_tab2/links/NR\AF-65-NR.txt","ENSANGP00000024683 [Anopheles gambiae")</f>
        <v>ENSANGP00000024683 [Anopheles gambiae</v>
      </c>
      <c r="AI84" s="6" t="str">
        <f>HYPERLINK("http://www.ncbi.nlm.nih.gov/sutils/blink.cgi?pid=55239241","2E-039")</f>
        <v>2E-039</v>
      </c>
      <c r="AJ84" t="s">
        <v>248</v>
      </c>
      <c r="AK84">
        <v>93</v>
      </c>
      <c r="AL84">
        <v>100</v>
      </c>
      <c r="AM84" t="s">
        <v>59</v>
      </c>
      <c r="AN84" s="2" t="s">
        <v>249</v>
      </c>
      <c r="AO84" s="3">
        <f>HYPERLINK("http://exon.niaid.nih.gov/transcriptome/An_funestus_sialome/Sup_tab2/links/GO\AF-65-GO.txt",1E-29)</f>
        <v>0</v>
      </c>
      <c r="AP84" t="s">
        <v>177</v>
      </c>
      <c r="AQ84" t="s">
        <v>106</v>
      </c>
      <c r="AR84" t="s">
        <v>107</v>
      </c>
      <c r="AS84" t="s">
        <v>178</v>
      </c>
      <c r="AT84" s="1">
        <v>1E-29</v>
      </c>
      <c r="AU84" s="2" t="str">
        <f>HYPERLINK("http://exon.niaid.nih.gov/transcriptome/An_funestus_sialome/Sup_tab2/links/KOG\AF-65-KOG.txt","Cytochrome c oxidase, subunit VIb/COX12")</f>
        <v>Cytochrome c oxidase, subunit VIb/COX12</v>
      </c>
      <c r="AV84" s="3" t="str">
        <f>HYPERLINK("http://www.ncbi.nlm.nih.gov/COG/new/shokog.cgi?KOG3057","7E-023")</f>
        <v>7E-023</v>
      </c>
      <c r="AW84" t="s">
        <v>179</v>
      </c>
      <c r="AX84" s="2" t="str">
        <f>HYPERLINK("http://exon.niaid.nih.gov/transcriptome/An_funestus_sialome/Sup_tab2/links/CDD\AF-65-CDD.txt","COX6B")</f>
        <v>COX6B</v>
      </c>
      <c r="AY84" s="3" t="str">
        <f>HYPERLINK("http://www.ncbi.nlm.nih.gov/Structure/cdd/cddsrv.cgi?uid=pfam02297&amp;version=v4.0","3E-022")</f>
        <v>3E-022</v>
      </c>
      <c r="AZ84" t="s">
        <v>250</v>
      </c>
      <c r="BA84" s="2" t="str">
        <f>HYPERLINK("http://exon.niaid.nih.gov/transcriptome/An_funestus_sialome/Sup_tab2/links/PFAM\AF-65-PFAM.txt","COX6B")</f>
        <v>COX6B</v>
      </c>
      <c r="BB84" s="3" t="str">
        <f>HYPERLINK("http://pfam.wustl.edu/cgi-bin/getdesc?acc=PF02297","1E-022")</f>
        <v>1E-022</v>
      </c>
      <c r="BC84" s="2" t="str">
        <f>HYPERLINK("http://exon.niaid.nih.gov/transcriptome/An_funestus_sialome/Sup_tab2/links/SMART\AF-65-SMART.txt","C345C")</f>
        <v>C345C</v>
      </c>
      <c r="BD84" s="3" t="str">
        <f>HYPERLINK("http://smart.embl-heidelberg.de/smart/do_annotation.pl?DOMAIN=C345C&amp;BLAST=DUMMY","0.13")</f>
        <v>0.13</v>
      </c>
    </row>
    <row r="85" spans="1:56" ht="11.25">
      <c r="A85" t="str">
        <f>HYPERLINK("http://exon.niaid.nih.gov/transcriptome/An_funestus_sialome/Sup_tab2/links/AF-95-pep.txt","AF-95")</f>
        <v>AF-95</v>
      </c>
      <c r="B85" s="4" t="s">
        <v>3</v>
      </c>
      <c r="C85" s="4">
        <v>138</v>
      </c>
      <c r="D85" t="str">
        <f>HYPERLINK("http://exon.niaid.nih.gov/transcriptome/An_funestus_sialome/Sup_tab2/links/AF-95-cds.txt","AF-95")</f>
        <v>AF-95</v>
      </c>
      <c r="E85" s="22" t="str">
        <f>HYPERLINK("http://exon.niaid.nih.gov/transcriptome/An_funestus_sialome/Sup_tab2/links/AF-95-SigP.txt","CYT")</f>
        <v>CYT</v>
      </c>
      <c r="F85" t="s">
        <v>4</v>
      </c>
      <c r="G85">
        <v>14.287</v>
      </c>
      <c r="H85">
        <v>10.28</v>
      </c>
      <c r="L85" s="7">
        <v>2.898551</v>
      </c>
      <c r="M85" s="7">
        <v>8.695652</v>
      </c>
      <c r="N85" s="7">
        <v>4.347826</v>
      </c>
      <c r="O85" s="2" t="str">
        <f>HYPERLINK("http://exon.niaid.nih.gov/transcriptome/An_funestus_sialome/Sup_tab2/links/AGFRAG\AF-95-AGFRAG.txt","X_Piece#379")</f>
        <v>X_Piece#379</v>
      </c>
      <c r="P85" s="3">
        <v>3E-57</v>
      </c>
      <c r="Q85">
        <v>148</v>
      </c>
      <c r="R85">
        <v>82</v>
      </c>
      <c r="S85">
        <v>5668</v>
      </c>
      <c r="T85" s="4" t="str">
        <f>HYPERLINK("http://www.ensembl.org/Anopheles_gambiae/contigview?chr=X&amp;region=&amp;start=9450668&amp;end=9461111","X")</f>
        <v>X</v>
      </c>
      <c r="U85">
        <v>9455668</v>
      </c>
      <c r="V85">
        <v>9456111</v>
      </c>
      <c r="W85" s="2" t="str">
        <f>HYPERLINK("http://exon.niaid.nih.gov/transcriptome/An_funestus_sialome/Sup_tab2/links/AGPROT\AF-95-AGPROT.txt","ENSANGP00000017326")</f>
        <v>ENSANGP00000017326</v>
      </c>
      <c r="X85" s="3" t="str">
        <f>HYPERLINK("http://www.ensembl.org/Anopheles_gambiae/protview?peptide=ENSANGP00000017326","5E-071")</f>
        <v>5E-071</v>
      </c>
      <c r="Y85">
        <v>100</v>
      </c>
      <c r="Z85">
        <v>100</v>
      </c>
      <c r="AA85" s="2" t="str">
        <f>HYPERLINK("http://exon.niaid.nih.gov/transcriptome/An_funestus_sialome/Sup_tab2/links/AGTB2\AF-95-AGTB2.txt","peroxinectin precursor                                    22   0.45")</f>
        <v>peroxinectin precursor                                    22   0.45</v>
      </c>
      <c r="AB85" s="8">
        <v>0.45</v>
      </c>
      <c r="AC85" t="s">
        <v>284</v>
      </c>
      <c r="AD85">
        <v>29</v>
      </c>
      <c r="AE85">
        <v>7</v>
      </c>
      <c r="AF85" s="5" t="s">
        <v>386</v>
      </c>
      <c r="AG85" t="s">
        <v>387</v>
      </c>
      <c r="AH85" s="2" t="str">
        <f>HYPERLINK("http://exon.niaid.nih.gov/transcriptome/An_funestus_sialome/Sup_tab2/links/NR\AF-95-NR.txt","ENSANGP00000017326 [Anopheles gambiae")</f>
        <v>ENSANGP00000017326 [Anopheles gambiae</v>
      </c>
      <c r="AI85" s="6" t="str">
        <f>HYPERLINK("http://www.ncbi.nlm.nih.gov/sutils/blink.cgi?pid=55243269","6E-069")</f>
        <v>6E-069</v>
      </c>
      <c r="AJ85" t="s">
        <v>285</v>
      </c>
      <c r="AK85">
        <v>100</v>
      </c>
      <c r="AL85">
        <v>100</v>
      </c>
      <c r="AM85" t="s">
        <v>59</v>
      </c>
      <c r="AN85" s="2" t="s">
        <v>286</v>
      </c>
      <c r="AO85" s="3">
        <f>HYPERLINK("http://exon.niaid.nih.gov/transcriptome/An_funestus_sialome/Sup_tab2/links/GO\AF-95-GO.txt",1E-63)</f>
        <v>0</v>
      </c>
      <c r="AP85" t="s">
        <v>287</v>
      </c>
      <c r="AQ85" t="s">
        <v>106</v>
      </c>
      <c r="AR85" t="s">
        <v>107</v>
      </c>
      <c r="AS85" t="s">
        <v>288</v>
      </c>
      <c r="AT85" s="1">
        <v>1E-63</v>
      </c>
      <c r="AU85" s="2" t="str">
        <f>HYPERLINK("http://exon.niaid.nih.gov/transcriptome/An_funestus_sialome/Sup_tab2/links/KOG\AF-95-KOG.txt","Mitochondrial F1F0-ATP synthase, subunit c/ATP9/proteolipid")</f>
        <v>Mitochondrial F1F0-ATP synthase, subunit c/ATP9/proteolipid</v>
      </c>
      <c r="AV85" s="3" t="str">
        <f>HYPERLINK("http://www.ncbi.nlm.nih.gov/COG/new/shokog.cgi?KOG3025","8E-038")</f>
        <v>8E-038</v>
      </c>
      <c r="AW85" t="s">
        <v>179</v>
      </c>
      <c r="AX85" s="2" t="str">
        <f>HYPERLINK("http://exon.niaid.nih.gov/transcriptome/An_funestus_sialome/Sup_tab2/links/CDD\AF-95-CDD.txt","ATP-synt_C")</f>
        <v>ATP-synt_C</v>
      </c>
      <c r="AY85" s="3" t="str">
        <f>HYPERLINK("http://www.ncbi.nlm.nih.gov/Structure/cdd/cddsrv.cgi?uid=pfam00137&amp;version=v4.0","4E-010")</f>
        <v>4E-010</v>
      </c>
      <c r="AZ85" t="s">
        <v>289</v>
      </c>
      <c r="BA85" s="2" t="str">
        <f>HYPERLINK("http://exon.niaid.nih.gov/transcriptome/An_funestus_sialome/Sup_tab2/links/PFAM\AF-95-PFAM.txt","ATP-synt_C")</f>
        <v>ATP-synt_C</v>
      </c>
      <c r="BB85" s="3" t="str">
        <f>HYPERLINK("http://pfam.wustl.edu/cgi-bin/getdesc?acc=PF00137","2E-010")</f>
        <v>2E-010</v>
      </c>
      <c r="BC85" s="2" t="str">
        <f>HYPERLINK("http://exon.niaid.nih.gov/transcriptome/An_funestus_sialome/Sup_tab2/links/SMART\AF-95-SMART.txt","PLAc")</f>
        <v>PLAc</v>
      </c>
      <c r="BD85" s="3" t="str">
        <f>HYPERLINK("http://smart.embl-heidelberg.de/smart/do_annotation.pl?DOMAIN=PLAc&amp;BLAST=DUMMY","0.37")</f>
        <v>0.37</v>
      </c>
    </row>
    <row r="86" spans="1:56" ht="11.25">
      <c r="A86" t="str">
        <f>HYPERLINK("http://exon.niaid.nih.gov/transcriptome/An_funestus_sialome/Sup_tab2/links/AF-388-pep.txt","AF-388")</f>
        <v>AF-388</v>
      </c>
      <c r="B86" s="4" t="s">
        <v>3</v>
      </c>
      <c r="C86" s="4">
        <v>207</v>
      </c>
      <c r="D86" t="str">
        <f>HYPERLINK("http://exon.niaid.nih.gov/transcriptome/An_funestus_sialome/Sup_tab2/links/AF-388-cds.txt","AF-388")</f>
        <v>AF-388</v>
      </c>
      <c r="E86" s="22" t="str">
        <f>HYPERLINK("http://exon.niaid.nih.gov/transcriptome/An_funestus_sialome/Sup_tab2/links/AF-388-SigP.txt","SIG")</f>
        <v>SIG</v>
      </c>
      <c r="F86" t="s">
        <v>421</v>
      </c>
      <c r="G86">
        <v>23.076</v>
      </c>
      <c r="H86">
        <v>9.68</v>
      </c>
      <c r="I86">
        <v>21.095</v>
      </c>
      <c r="J86">
        <v>9.55</v>
      </c>
      <c r="L86" s="7">
        <v>0.4830918</v>
      </c>
      <c r="M86" s="7">
        <v>6.763285</v>
      </c>
      <c r="N86" s="7">
        <v>7.729469</v>
      </c>
      <c r="O86" s="2" t="str">
        <f>HYPERLINK("http://exon.niaid.nih.gov/transcriptome/An_funestus_sialome/Sup_tab2/links/AGFRAG\AF-388-AGFRAG.txt","X_Piece#117")</f>
        <v>X_Piece#117</v>
      </c>
      <c r="P86" s="3">
        <v>1E-119</v>
      </c>
      <c r="Q86">
        <v>207</v>
      </c>
      <c r="R86">
        <v>99</v>
      </c>
      <c r="S86">
        <v>5189</v>
      </c>
      <c r="T86" s="4" t="str">
        <f>HYPERLINK("http://www.ensembl.org/Anopheles_gambiae/contigview?chr=X&amp;region=&amp;start=2900189&amp;end=2910550","X")</f>
        <v>X</v>
      </c>
      <c r="U86">
        <v>2905189</v>
      </c>
      <c r="V86">
        <v>2905550</v>
      </c>
      <c r="W86" s="2" t="str">
        <f>HYPERLINK("http://exon.niaid.nih.gov/transcriptome/An_funestus_sialome/Sup_tab2/links/AGPROT\AF-388-AGPROT.txt","ENSANGP00000019428")</f>
        <v>ENSANGP00000019428</v>
      </c>
      <c r="X86" s="3" t="str">
        <f>HYPERLINK("http://www.ensembl.org/Anopheles_gambiae/protview?peptide=ENSANGP00000019428","1E-120")</f>
        <v>1E-120</v>
      </c>
      <c r="Y86">
        <v>99</v>
      </c>
      <c r="Z86">
        <v>100</v>
      </c>
      <c r="AA86" s="2" t="str">
        <f>HYPERLINK("http://exon.niaid.nih.gov/transcriptome/An_funestus_sialome/Sup_tab2/links/AGTB2\AF-388-AGTB2.txt","salivary protein                                                19   4.9")</f>
        <v>salivary protein                                                19   4.9</v>
      </c>
      <c r="AB86" s="8">
        <v>4.9</v>
      </c>
      <c r="AC86" t="s">
        <v>203</v>
      </c>
      <c r="AD86">
        <v>80</v>
      </c>
      <c r="AE86">
        <v>7</v>
      </c>
      <c r="AF86" s="5" t="s">
        <v>400</v>
      </c>
      <c r="AG86" t="s">
        <v>387</v>
      </c>
      <c r="AH86" s="2" t="str">
        <f>HYPERLINK("http://exon.niaid.nih.gov/transcriptome/An_funestus_sialome/Sup_tab2/links/NR\AF-388-NR.txt","ENSANGP00000019428 [Anopheles gambiae")</f>
        <v>ENSANGP00000019428 [Anopheles gambiae</v>
      </c>
      <c r="AI86" s="6" t="str">
        <f>HYPERLINK("http://www.ncbi.nlm.nih.gov/sutils/blink.cgi?pid=55243649","1E-118")</f>
        <v>1E-118</v>
      </c>
      <c r="AJ86" t="s">
        <v>204</v>
      </c>
      <c r="AK86">
        <v>99</v>
      </c>
      <c r="AL86">
        <v>100</v>
      </c>
      <c r="AM86" t="s">
        <v>59</v>
      </c>
      <c r="AN86" s="2" t="s">
        <v>205</v>
      </c>
      <c r="AO86" s="3">
        <f>HYPERLINK("http://exon.niaid.nih.gov/transcriptome/An_funestus_sialome/Sup_tab2/links/GO\AF-388-GO.txt",9E-95)</f>
        <v>0</v>
      </c>
      <c r="AP86" t="s">
        <v>206</v>
      </c>
      <c r="AQ86" t="s">
        <v>106</v>
      </c>
      <c r="AR86" t="s">
        <v>207</v>
      </c>
      <c r="AS86" t="s">
        <v>208</v>
      </c>
      <c r="AT86" s="1">
        <v>9E-95</v>
      </c>
      <c r="AU86" s="2" t="str">
        <f>HYPERLINK("http://exon.niaid.nih.gov/transcriptome/An_funestus_sialome/Sup_tab2/links/KOG\AF-388-KOG.txt","NADH-ubiquinone oxidoreductase, NUFS7/PSST/20 kDa subunit")</f>
        <v>NADH-ubiquinone oxidoreductase, NUFS7/PSST/20 kDa subunit</v>
      </c>
      <c r="AV86" s="3" t="str">
        <f>HYPERLINK("http://www.ncbi.nlm.nih.gov/COG/new/shokog.cgi?KOG1687","2E-086")</f>
        <v>2E-086</v>
      </c>
      <c r="AW86" t="s">
        <v>179</v>
      </c>
      <c r="AX86" s="2" t="str">
        <f>HYPERLINK("http://exon.niaid.nih.gov/transcriptome/An_funestus_sialome/Sup_tab2/links/CDD\AF-388-CDD.txt","NuoB")</f>
        <v>NuoB</v>
      </c>
      <c r="AY86" s="3" t="str">
        <f>HYPERLINK("http://www.ncbi.nlm.nih.gov/Structure/cdd/cddsrv.cgi?uid=COG0377&amp;version=v4.0","1E-072")</f>
        <v>1E-072</v>
      </c>
      <c r="AZ86" t="s">
        <v>209</v>
      </c>
      <c r="BA86" s="2" t="str">
        <f>HYPERLINK("http://exon.niaid.nih.gov/transcriptome/An_funestus_sialome/Sup_tab2/links/PFAM\AF-388-PFAM.txt","Oxidored_q6")</f>
        <v>Oxidored_q6</v>
      </c>
      <c r="BB86" s="3" t="str">
        <f>HYPERLINK("http://pfam.wustl.edu/cgi-bin/getdesc?acc=PF01058","2E-035")</f>
        <v>2E-035</v>
      </c>
      <c r="BC86" s="2" t="s">
        <v>4</v>
      </c>
      <c r="BD86" s="3" t="s">
        <v>4</v>
      </c>
    </row>
    <row r="87" spans="1:56" s="34" customFormat="1" ht="11.25">
      <c r="A87" s="33" t="s">
        <v>454</v>
      </c>
      <c r="C87" s="35"/>
      <c r="E87" s="36"/>
      <c r="K87" s="36"/>
      <c r="L87" s="37"/>
      <c r="M87" s="37"/>
      <c r="N87" s="37"/>
      <c r="O87" s="38"/>
      <c r="P87" s="39"/>
      <c r="W87" s="38"/>
      <c r="X87" s="39"/>
      <c r="AA87" s="38"/>
      <c r="AB87" s="40"/>
      <c r="AF87" s="38"/>
      <c r="AH87" s="38"/>
      <c r="AI87" s="41"/>
      <c r="AN87" s="38"/>
      <c r="AO87" s="39"/>
      <c r="AU87" s="38"/>
      <c r="AV87" s="39"/>
      <c r="AX87" s="38"/>
      <c r="AY87" s="39"/>
      <c r="BA87" s="38"/>
      <c r="BB87" s="39"/>
      <c r="BC87" s="38"/>
      <c r="BD87" s="39"/>
    </row>
    <row r="88" spans="1:56" ht="11.25">
      <c r="A88" t="str">
        <f>HYPERLINK("http://exon.niaid.nih.gov/transcriptome/An_funestus_sialome/Sup_tab2/links/AF-7-90-90-asb-96-pep.txt","AF-7-90-90-asb-96")</f>
        <v>AF-7-90-90-asb-96</v>
      </c>
      <c r="B88" s="4" t="s">
        <v>3</v>
      </c>
      <c r="C88" s="4">
        <v>153</v>
      </c>
      <c r="D88" t="str">
        <f>HYPERLINK("http://exon.niaid.nih.gov/transcriptome/An_funestus_sialome/Sup_tab2/links/AF-7-90-90-asb-96-cds.txt","AF-7-90-90-asb-96")</f>
        <v>AF-7-90-90-asb-96</v>
      </c>
      <c r="E88" s="22" t="str">
        <f>HYPERLINK("http://exon.niaid.nih.gov/transcriptome/An_funestus_sialome/Sup_tab2/links/AF-7-90-90-ASB-96-SigP.txt","CYT")</f>
        <v>CYT</v>
      </c>
      <c r="F88" t="s">
        <v>4</v>
      </c>
      <c r="G88">
        <v>16.796</v>
      </c>
      <c r="H88">
        <v>4.78</v>
      </c>
      <c r="L88" s="7">
        <v>0</v>
      </c>
      <c r="M88" s="7">
        <v>5.228758</v>
      </c>
      <c r="N88" s="7">
        <v>2.614379</v>
      </c>
      <c r="O88" s="2" t="str">
        <f>HYPERLINK("http://exon.niaid.nih.gov/transcriptome/An_funestus_sialome/Sup_tab2/links/AGFRAG\AF-7-90-90-asb-96-AGFRAG.txt","3R_Piece#834")</f>
        <v>3R_Piece#834</v>
      </c>
      <c r="P88" s="3">
        <v>4E-75</v>
      </c>
      <c r="Q88">
        <v>104</v>
      </c>
      <c r="R88">
        <v>99</v>
      </c>
      <c r="S88">
        <v>16636</v>
      </c>
      <c r="T88" s="4" t="str">
        <f>HYPERLINK("http://www.ensembl.org/Anopheles_gambiae/contigview?chr=3R&amp;region=&amp;start=20836636&amp;end=20846947","3R")</f>
        <v>3R</v>
      </c>
      <c r="U88">
        <v>20841636</v>
      </c>
      <c r="V88">
        <v>20841947</v>
      </c>
      <c r="W88" s="2" t="str">
        <f>HYPERLINK("http://exon.niaid.nih.gov/transcriptome/An_funestus_sialome/Sup_tab2/links/AGPROT\AF-7-90-90-asb-96-AGPROT.txt","ENSANGP00000013934")</f>
        <v>ENSANGP00000013934</v>
      </c>
      <c r="X88" s="3" t="str">
        <f>HYPERLINK("http://www.ensembl.org/Anopheles_gambiae/protview?peptide=ENSANGP00000013934","1E-081")</f>
        <v>1E-081</v>
      </c>
      <c r="Y88">
        <v>98</v>
      </c>
      <c r="Z88">
        <v>100</v>
      </c>
      <c r="AA88" s="2" t="str">
        <f>HYPERLINK("http://exon.niaid.nih.gov/transcriptome/An_funestus_sialome/Sup_tab2/links/AGTB2\AF-7-90-90-asb-96-AGTB2.txt","homolog of An. albimanus anophelin                                 24   0.10")</f>
        <v>homolog of An. albimanus anophelin                                 24   0.10</v>
      </c>
      <c r="AB88" s="8">
        <v>0.1</v>
      </c>
      <c r="AC88" t="s">
        <v>255</v>
      </c>
      <c r="AD88">
        <v>22</v>
      </c>
      <c r="AE88">
        <v>61</v>
      </c>
      <c r="AF88" s="5" t="s">
        <v>381</v>
      </c>
      <c r="AG88" t="s">
        <v>380</v>
      </c>
      <c r="AH88" s="2" t="str">
        <f>HYPERLINK("http://exon.niaid.nih.gov/transcriptome/An_funestus_sialome/Sup_tab2/links/NR\AF-7-90-90-asb-96-NR.txt","ENSANGP00000013934 [Anopheles gambiae")</f>
        <v>ENSANGP00000013934 [Anopheles gambiae</v>
      </c>
      <c r="AI88" s="6" t="str">
        <f>HYPERLINK("http://www.ncbi.nlm.nih.gov/sutils/blink.cgi?pid=55235194","9E-080")</f>
        <v>9E-080</v>
      </c>
      <c r="AJ88" t="s">
        <v>256</v>
      </c>
      <c r="AK88">
        <v>98</v>
      </c>
      <c r="AL88">
        <v>100</v>
      </c>
      <c r="AM88" t="s">
        <v>59</v>
      </c>
      <c r="AN88" s="2" t="s">
        <v>257</v>
      </c>
      <c r="AO88" s="3">
        <f>HYPERLINK("http://exon.niaid.nih.gov/transcriptome/An_funestus_sialome/Sup_tab2/links/GO\AF-7-90-90-asb-96-GO.txt",1E-58)</f>
        <v>0</v>
      </c>
      <c r="AP88" t="s">
        <v>73</v>
      </c>
      <c r="AQ88" t="s">
        <v>45</v>
      </c>
      <c r="AR88" t="s">
        <v>74</v>
      </c>
      <c r="AS88" t="s">
        <v>75</v>
      </c>
      <c r="AT88" s="1">
        <v>1E-58</v>
      </c>
      <c r="AU88" s="2" t="str">
        <f>HYPERLINK("http://exon.niaid.nih.gov/transcriptome/An_funestus_sialome/Sup_tab2/links/KOG\AF-7-90-90-asb-96-KOG.txt","Actin-related protein Arp2/3 complex, subunit ARPC5")</f>
        <v>Actin-related protein Arp2/3 complex, subunit ARPC5</v>
      </c>
      <c r="AV88" s="3" t="str">
        <f>HYPERLINK("http://www.ncbi.nlm.nih.gov/COG/new/shokog.cgi?KOG3380","1E-044")</f>
        <v>1E-044</v>
      </c>
      <c r="AW88" t="s">
        <v>144</v>
      </c>
      <c r="AX88" s="2" t="str">
        <f>HYPERLINK("http://exon.niaid.nih.gov/transcriptome/An_funestus_sialome/Sup_tab2/links/CDD\AF-7-90-90-asb-96-CDD.txt","P16-Arc")</f>
        <v>P16-Arc</v>
      </c>
      <c r="AY88" s="3" t="str">
        <f>HYPERLINK("http://www.ncbi.nlm.nih.gov/Structure/cdd/cddsrv.cgi?uid=pfam04699&amp;version=v4.0","3E-045")</f>
        <v>3E-045</v>
      </c>
      <c r="AZ88" t="s">
        <v>258</v>
      </c>
      <c r="BA88" s="2" t="str">
        <f>HYPERLINK("http://exon.niaid.nih.gov/transcriptome/An_funestus_sialome/Sup_tab2/links/PFAM\AF-7-90-90-asb-96-PFAM.txt","P16-Arc")</f>
        <v>P16-Arc</v>
      </c>
      <c r="BB88" s="3" t="str">
        <f>HYPERLINK("http://pfam.wustl.edu/cgi-bin/getdesc?acc=PF04699","2E-045")</f>
        <v>2E-045</v>
      </c>
      <c r="BC88" s="2" t="s">
        <v>4</v>
      </c>
      <c r="BD88" s="3" t="s">
        <v>4</v>
      </c>
    </row>
    <row r="89" spans="1:56" ht="11.25">
      <c r="A89" t="str">
        <f>HYPERLINK("http://exon.niaid.nih.gov/transcriptome/An_funestus_sialome/Sup_tab2/links/AF-7-90-90-asb-341-pep.txt","AF-7-90-90-asb-341")</f>
        <v>AF-7-90-90-asb-341</v>
      </c>
      <c r="B89" s="4" t="s">
        <v>3</v>
      </c>
      <c r="C89" s="4">
        <v>171</v>
      </c>
      <c r="D89" t="str">
        <f>HYPERLINK("http://exon.niaid.nih.gov/transcriptome/An_funestus_sialome/Sup_tab2/links/AF-7-90-90-asb-341-cds.txt","AF-7-90-90-asb-341")</f>
        <v>AF-7-90-90-asb-341</v>
      </c>
      <c r="E89" s="22" t="str">
        <f>HYPERLINK("http://exon.niaid.nih.gov/transcriptome/An_funestus_sialome/Sup_tab2/links/AF-7-90-90-ASB-341-SigP.txt","CYT")</f>
        <v>CYT</v>
      </c>
      <c r="F89" t="s">
        <v>4</v>
      </c>
      <c r="G89">
        <v>19.488</v>
      </c>
      <c r="H89">
        <v>4.67</v>
      </c>
      <c r="L89" s="7">
        <v>0</v>
      </c>
      <c r="M89" s="7">
        <v>7.602339</v>
      </c>
      <c r="N89" s="7">
        <v>1.754386</v>
      </c>
      <c r="O89" s="2" t="str">
        <f>HYPERLINK("http://exon.niaid.nih.gov/transcriptome/An_funestus_sialome/Sup_tab2/links/AGFRAG\AF-7-90-90-asb-341-AGFRAG.txt","2R_Piece#1011")</f>
        <v>2R_Piece#1011</v>
      </c>
      <c r="P89" s="3">
        <v>9E-43</v>
      </c>
      <c r="Q89">
        <v>88</v>
      </c>
      <c r="R89">
        <v>95</v>
      </c>
      <c r="S89">
        <v>12818</v>
      </c>
      <c r="T89" s="4" t="str">
        <f>HYPERLINK("http://www.ensembl.org/Anopheles_gambiae/contigview?chr=2R&amp;region=&amp;start=25257818&amp;end=25268081","2R")</f>
        <v>2R</v>
      </c>
      <c r="U89">
        <v>25262818</v>
      </c>
      <c r="V89">
        <v>25263081</v>
      </c>
      <c r="W89" s="2" t="str">
        <f>HYPERLINK("http://exon.niaid.nih.gov/transcriptome/An_funestus_sialome/Sup_tab2/links/AGPROT\AF-7-90-90-asb-341-AGPROT.txt","ENSANGP00000021085")</f>
        <v>ENSANGP00000021085</v>
      </c>
      <c r="X89" s="3" t="str">
        <f>HYPERLINK("http://www.ensembl.org/Anopheles_gambiae/protview?peptide=ENSANGP00000021085","3E-094")</f>
        <v>3E-094</v>
      </c>
      <c r="Y89">
        <v>96</v>
      </c>
      <c r="Z89">
        <v>100</v>
      </c>
      <c r="AA89" s="2" t="str">
        <f>HYPERLINK("http://exon.niaid.nih.gov/transcriptome/An_funestus_sialome/Sup_tab2/links/AGTB2\AF-7-90-90-asb-341-AGTB2.txt","salivary calreticulin                                 24   0.093")</f>
        <v>salivary calreticulin                                 24   0.093</v>
      </c>
      <c r="AB89" s="8">
        <v>0.093</v>
      </c>
      <c r="AC89" t="s">
        <v>70</v>
      </c>
      <c r="AD89">
        <v>26</v>
      </c>
      <c r="AE89">
        <v>17</v>
      </c>
      <c r="AF89" s="5" t="s">
        <v>379</v>
      </c>
      <c r="AG89" t="s">
        <v>380</v>
      </c>
      <c r="AH89" s="2" t="str">
        <f>HYPERLINK("http://exon.niaid.nih.gov/transcriptome/An_funestus_sialome/Sup_tab2/links/NR\AF-7-90-90-asb-341-NR.txt","ENSANGP00000021085 [Anopheles gambiae")</f>
        <v>ENSANGP00000021085 [Anopheles gambiae</v>
      </c>
      <c r="AI89" s="6" t="str">
        <f>HYPERLINK("http://www.ncbi.nlm.nih.gov/sutils/blink.cgi?pid=55242098","3E-092")</f>
        <v>3E-092</v>
      </c>
      <c r="AJ89" t="s">
        <v>251</v>
      </c>
      <c r="AK89">
        <v>96</v>
      </c>
      <c r="AL89">
        <v>100</v>
      </c>
      <c r="AM89" t="s">
        <v>59</v>
      </c>
      <c r="AN89" s="2" t="s">
        <v>252</v>
      </c>
      <c r="AO89" s="3">
        <f>HYPERLINK("http://exon.niaid.nih.gov/transcriptome/An_funestus_sialome/Sup_tab2/links/GO\AF-7-90-90-asb-341-GO.txt",5E-70)</f>
        <v>0</v>
      </c>
      <c r="AP89" t="s">
        <v>53</v>
      </c>
      <c r="AQ89" t="s">
        <v>53</v>
      </c>
      <c r="AS89" t="s">
        <v>54</v>
      </c>
      <c r="AT89" s="1">
        <v>7E-40</v>
      </c>
      <c r="AU89" s="2" t="str">
        <f>HYPERLINK("http://exon.niaid.nih.gov/transcriptome/An_funestus_sialome/Sup_tab2/links/KOG\AF-7-90-90-asb-341-KOG.txt","Microtubule-binding protein (translationally controlled tumor protein)")</f>
        <v>Microtubule-binding protein (translationally controlled tumor protein)</v>
      </c>
      <c r="AV89" s="3" t="str">
        <f>HYPERLINK("http://www.ncbi.nlm.nih.gov/COG/new/shokog.cgi?KOG1727","2E-043")</f>
        <v>2E-043</v>
      </c>
      <c r="AW89" t="s">
        <v>253</v>
      </c>
      <c r="AX89" s="2" t="str">
        <f>HYPERLINK("http://exon.niaid.nih.gov/transcriptome/An_funestus_sialome/Sup_tab2/links/CDD\AF-7-90-90-asb-341-CDD.txt","TCTP")</f>
        <v>TCTP</v>
      </c>
      <c r="AY89" s="3" t="str">
        <f>HYPERLINK("http://www.ncbi.nlm.nih.gov/Structure/cdd/cddsrv.cgi?uid=pfam00838&amp;version=v4.0","1E-048")</f>
        <v>1E-048</v>
      </c>
      <c r="AZ89" t="s">
        <v>254</v>
      </c>
      <c r="BA89" s="2" t="str">
        <f>HYPERLINK("http://exon.niaid.nih.gov/transcriptome/An_funestus_sialome/Sup_tab2/links/PFAM\AF-7-90-90-asb-341-PFAM.txt","TCTP")</f>
        <v>TCTP</v>
      </c>
      <c r="BB89" s="3" t="str">
        <f>HYPERLINK("http://pfam.wustl.edu/cgi-bin/getdesc?acc=PF00838","6E-049")</f>
        <v>6E-049</v>
      </c>
      <c r="BC89" s="2" t="str">
        <f>HYPERLINK("http://exon.niaid.nih.gov/transcriptome/An_funestus_sialome/Sup_tab2/links/SMART\AF-7-90-90-asb-341-SMART.txt","eIF2B_5")</f>
        <v>eIF2B_5</v>
      </c>
      <c r="BD89" s="3" t="str">
        <f>HYPERLINK("http://smart.embl-heidelberg.de/smart/do_annotation.pl?DOMAIN=eIF2B_5&amp;BLAST=DUMMY","0.15")</f>
        <v>0.15</v>
      </c>
    </row>
    <row r="93" ht="11.25">
      <c r="C93"/>
    </row>
    <row r="94" ht="11.25">
      <c r="C94"/>
    </row>
    <row r="95" ht="11.25">
      <c r="C95"/>
    </row>
    <row r="96" ht="11.25">
      <c r="C96"/>
    </row>
    <row r="97" ht="11.25">
      <c r="C97"/>
    </row>
    <row r="98" ht="11.25">
      <c r="C98"/>
    </row>
    <row r="99" ht="11.25">
      <c r="C99"/>
    </row>
    <row r="100" ht="11.25">
      <c r="C100"/>
    </row>
    <row r="101" ht="11.25">
      <c r="C101"/>
    </row>
    <row r="102" ht="11.25">
      <c r="C102"/>
    </row>
    <row r="103" ht="11.25">
      <c r="C103"/>
    </row>
    <row r="104" ht="11.25">
      <c r="C104"/>
    </row>
    <row r="105" ht="11.25">
      <c r="C105"/>
    </row>
    <row r="106" ht="11.25">
      <c r="C106"/>
    </row>
    <row r="107" ht="11.25">
      <c r="C107"/>
    </row>
    <row r="108" ht="11.25">
      <c r="C108"/>
    </row>
    <row r="109" ht="11.25">
      <c r="C109"/>
    </row>
    <row r="110" ht="11.25">
      <c r="C110"/>
    </row>
    <row r="111" ht="11.25">
      <c r="C111"/>
    </row>
    <row r="112" ht="11.25">
      <c r="C112"/>
    </row>
    <row r="113" ht="11.25">
      <c r="C113"/>
    </row>
    <row r="114" ht="11.25">
      <c r="C114"/>
    </row>
    <row r="115" ht="11.25">
      <c r="C115"/>
    </row>
    <row r="116" ht="11.25">
      <c r="C116"/>
    </row>
    <row r="117" ht="11.25">
      <c r="C117"/>
    </row>
    <row r="118" ht="11.25">
      <c r="C118"/>
    </row>
    <row r="119" ht="11.25">
      <c r="C119"/>
    </row>
    <row r="120" ht="11.25">
      <c r="C120"/>
    </row>
    <row r="121" ht="11.25">
      <c r="C121"/>
    </row>
    <row r="122" ht="11.25">
      <c r="C122"/>
    </row>
    <row r="123" ht="11.25">
      <c r="C123"/>
    </row>
    <row r="124" ht="11.25">
      <c r="C124"/>
    </row>
    <row r="125" ht="11.25">
      <c r="C125"/>
    </row>
    <row r="126" ht="11.25">
      <c r="C126"/>
    </row>
    <row r="127" spans="3:32" ht="11.25">
      <c r="C127"/>
      <c r="AF127" s="51"/>
    </row>
    <row r="128" spans="3:32" ht="11.25">
      <c r="C128"/>
      <c r="AF128" s="34"/>
    </row>
    <row r="129" spans="3:32" ht="11.25">
      <c r="C129"/>
      <c r="AF129" s="51"/>
    </row>
    <row r="130" ht="11.25">
      <c r="AF130" s="34"/>
    </row>
    <row r="131" ht="11.25">
      <c r="AF131" s="51"/>
    </row>
    <row r="132" ht="11.25">
      <c r="AF132" s="51"/>
    </row>
    <row r="133" ht="11.25">
      <c r="AF133" s="34"/>
    </row>
    <row r="134" ht="11.25">
      <c r="AF134" s="51"/>
    </row>
    <row r="135" ht="11.25">
      <c r="AF135" s="34"/>
    </row>
    <row r="136" ht="11.25">
      <c r="AF136" s="51"/>
    </row>
    <row r="137" ht="11.25">
      <c r="AF137" s="34"/>
    </row>
    <row r="138" ht="11.25">
      <c r="AF138" s="51"/>
    </row>
    <row r="139" ht="11.25">
      <c r="AF139" s="34"/>
    </row>
    <row r="140" ht="11.25">
      <c r="AF140" s="51"/>
    </row>
    <row r="141" ht="11.25">
      <c r="AF141" s="34"/>
    </row>
    <row r="142" ht="11.25">
      <c r="AF142" s="51"/>
    </row>
    <row r="143" ht="11.25">
      <c r="AF143" s="34"/>
    </row>
    <row r="144" ht="11.25">
      <c r="AF144" s="51"/>
    </row>
  </sheetData>
  <hyperlinks>
    <hyperlink ref="E1" r:id="rId1" display="SigP Result"/>
    <hyperlink ref="K1" r:id="rId2" display="No. glyc site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Ribeiro</cp:lastModifiedBy>
  <dcterms:created xsi:type="dcterms:W3CDTF">2006-07-12T21:30:46Z</dcterms:created>
  <dcterms:modified xsi:type="dcterms:W3CDTF">2006-08-15T18:40:08Z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