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840" yWindow="65521" windowWidth="18885" windowHeight="12795" activeTab="0"/>
  </bookViews>
  <sheets>
    <sheet name="Tx. amboinensis sialome" sheetId="1" r:id="rId1"/>
  </sheets>
  <definedNames/>
  <calcPr fullCalcOnLoad="1"/>
</workbook>
</file>

<file path=xl/sharedStrings.xml><?xml version="1.0" encoding="utf-8"?>
<sst xmlns="http://schemas.openxmlformats.org/spreadsheetml/2006/main" count="11058" uniqueCount="1334">
  <si>
    <t xml:space="preserve">ESTRADIOL 17 BETA-DEHYDROGENASE AEDES AEGYPTI BETA DEHYDROGENASE ANOPHELES GAMBIAE STR. PEST DROSOPHILA MELANOGASTER PSEUDOOBSCURA SIMILAR TO YAKUBA PEROXISOMAL MULTIFUNCTIONAL ENZYME TYPE 2 MFE-2 D-BIFUNCTIONAL DBP 17-BETA-HYDROXYSTEROID 4 17-BETA-HSD TRIBOLIUM CASTANEUM MFE D BIFUNCTIONAL BETA-HYDROXYSTEROID HYDROXYSTEROID BETA-HSD HSD MELLIFERA XENOPUS LAEVIS HYPOTHETICAL TROPICALIS 17-BETA GALLUS RATTUS NORVEGICUS II IV SP. DHB4_RAT D-3-HYDROXYACYL-COA DEHYDRATASE 3-ALPHA 7-ALPHA 12-ALPHA-TRIHYDROXY-5-BETA-CHOLEST-24-ENOYL-COA HYDRATASE 3-HYDROXYACYL-COA 3 HYDROXYACYL-COA HYDROXYACYL COA ALPHA 7 12 ALPHA-TRIHYDROXY-5-BETA-CHOLEST-24-ENOYL-COA TRIHYDROXY-5-BETA-CHOLEST-24-ENOYL-COA TRIHYDROXY 5-BETA-CHOLEST-24-ENOYL-COA BETA-CHOLEST-24-ENOYL-COA CHOLEST-24-ENOYL-COA CHOLEST 24-ENOYL-COA ENOYL-COA ENOYL ISOFORM 5 CANIS FAMILIARIS STRONGYLOCENTROTUS PURPURATUS DANIO RERIO HSD17B4 MUTIFUNCTIONAL PROTEIN2 CAVIA PORCELLUS EQUUS CABALLUS MACACA MULATTA 1 </t>
  </si>
  <si>
    <t>gi|108881553</t>
  </si>
  <si>
    <t xml:space="preserve">LACTOYLGLUTATHIONE LYASE AEDES AEGYPTI ALTEROMONAS MACLEODII 'DEEP ECOTYPE' PSEUDOALTEROMONAS ATLANTICA T6C ANOPHELES GAMBIAE STR. PEST CG1707-PA DROSOPHILA MELANOGASTER ORYZA SATIVA JAPONICA CULTIVAR-GROUP CULTIVAR GROUP GLYOXALASE 1 MUS MUSCULUS UNNAMED PRODUCT Q9CPU0 LGUL_MOUSE METHYLGLYOXALASE ALDOKETOMUTASE I GLX KETONE-ALDEHYDE MUTASE S-D-LACTOYLGLUTATHIONE METHYLGLYOXAL KETONE ALDEHYDE S D-LACTOYLGLUTATHIONE D SIMILAR TO MELLIFERA GLYCINE MAX VARIANT HOMO SAPIENS SYNTHETIC CONSTRUCT GLYOXYLASE RATTUS NORVEGICUS LGUL_RAT LACTOYL GLUTATHIONE GLYOXALASE-I LGUL_HUMAN GLYOXASLASE MACACA MULATTA FASCICULARIS LGUL_MACFA CHAIN HUMAN COMPLEXED WITH S-P- NITROBENZYLOXYCARBONYLGLUTATHIONE N-HYDROXY-N-P- IODOPHENYLCARBAMOYL BENZYL-GLUTATHIONE INHIBITOR HYDROXY-N-P- HYDROXY N-P- BENZYL CICER ARIETINUM LGUL_CICAR CANIS FAMILIARIS Q33E DOUBLE MUTANT AVICENNIA MARINA IDIOMARINA BALTICA </t>
  </si>
  <si>
    <t>gi|90819992</t>
  </si>
  <si>
    <t>Graphocephala atropunctata</t>
  </si>
  <si>
    <t xml:space="preserve">TRANSLOCASE GRAPHOCEPHALA ATROPUNCTATA ANOPHELES GAMBIAE ADT1_ANOGA CARRIER 1 ADENINE NUCLEOTIDE TRANSLOCATOR ANT AFRICAN MALARIA MOSQUITO AEDES AEGYPTI STR. PEST SIMILAR TO ISOFORM A TRIBOLIUM CASTANEUM MITOCHONDRIAL ADP ATP ONCOMETOPIA NIGRICANS HYPOTHETICAL DICTYOSTELIUM DISCOIDEUM AX4 C DROSOPHILA MELANOGASTER STRESS-SENSITIVE B ADT_DROME STRESS SENSITIVE APIS MELLIFERA Q7PQV7 ADT2_ANOGA 2 ADP-ATP ETHMOSTIGMUS RUBRIPES PSEUDOOBSCURA HALOCYNTHIA RORETZI LUCILIA CUPRINA IXODES SCAPULARIS 8 LONOMIA OBLIQUA SLC25A4 TAURUS XENOPUS TROPICALIS SOLUTE FAMILY 25 MEMBER 4 CHAIN BOVINE STRUCTURE ADPATP IN COMPLEX WITH CARBOXYATRACTYLOSIDE BOS ADT1_BOVIN HEART T1 </t>
  </si>
  <si>
    <t>gi|94469376</t>
  </si>
  <si>
    <t xml:space="preserve">MITOCHONDRIAL CYTOCHROME C OXIDASE SUBUNIT VIC AEDES AEGYPTI CONSERVED HYPOTHETICAL DROSOPHILA MELANOGASTER CYCLOPE POLYPEPTIDE MAURITIANA SIMULANS PSEUDOOBSCURA SIMILAR TO PRECURSOR TRIBOLIUM CASTANEUM THUNNUS OBESUS CYPRINUS CARPIO HOMO SAPIENS PROPROTEIN SYNTHETIC CONSTRUCT COX6C_HUMAN PREPROTEIN PONGO PYGMAEUS Q7YRK3 COX6C_PONPY MUS MUSCULUS UNNAMED PRODUCT Q9CPQ1 COX6C_MOUSE TRACHYPITHECUS CRISTATUS Q7YRK1 COX6C_TRACR OGHU6C CYTOCHROME-C EC CHAIN HUMAN LAMA PACOS COX6C RATTUS NORVEGICUS CX6C2_RAT VIC-2 MACACA MULATTA NYCTICEBUS COUCANG Q7YRJ8 COX6C_NYCCO NOVEL MOUSE DANIO RERIO SILENUS 6C Q7YRK2 COX6C_MACSL XENOPUS LAEVIS TARSIUS SYRICHTA Q7YRK7 COX6C_TARSY TROPICALIS STRONGYLOCENTROTUS PURPURATUS </t>
  </si>
  <si>
    <t>gi|94468508</t>
  </si>
  <si>
    <t xml:space="preserve">CYTOCHROME C OXIDASE SUBUNIT VIA COX13 AEDES AEGYPTI ANOPHELES GAMBIAE STR. PEST DROSOPHILA PSEUDOOBSCURA MELANOGASTER SIMILAR TO YAKUBA TRIBOLIUM CASTANEUM MELEAGRIS GALLOPAVO GALLUS HYPOTHETICAL XENOPUS TROPICALIS POLYPEPTIDE 1 DANIO RERIO PRECURSOR UNNAMED PRODUCT TETRAODON NIGROVIRIDIS MITOCHONDRIAL VI A GRAPHOCEPHALA ATROPUNCTATA CYPRINUS CARPIO CX6A1_CYPCA ORYCTOLAGUS CUNICULUS Q9TTT7 CX6A1_RABIT VIA-LIVER LIVER THUNNUS OBESUS HOMOLOG PAN TROGLODYTES RATTUS NORVEGICUS CX6A1_RAT UNKNOWN FOR MGC LAEVIS SAPIENS HOMO EC CX6A1_HUMAN ONCORHYNCHUS MYKISS CX6A1_ONCMY </t>
  </si>
  <si>
    <t xml:space="preserve">CYTOCHROME OXIDASE SUBUNIT II AEDES ASHWORTHI C CULEX PIPIENS QUINQUEFASCIATUS TORRENTIUM ALBOPICTUS COX2_CULQU 2 POLYPEPTIDE DROSOPHILA NIGROMACULATA MADEIRENSIS BIFASCIATA COX2_DROBF COX2_AEDAE CARDINOIDES PRIMAEVA OEDICARENA LATIFRONS ANOPHELES SOLOMONIS DERMATOBIA HOMINIS CALLIPHORA STERNALIS RUBERRIMA PROPACHUCA PACHUCA LONGICORNIS MONTANA LOWEI COX2_DROLO CUASO DIPLOCHORDA MINOR </t>
  </si>
  <si>
    <t xml:space="preserve">MARINER TRANSPOSASE BUENOA SP. ANOPHELES GAMBIAE STR. PEST STOMOXYS URUMA DELIVERY VECTOR HIMAR1-DELIVERY MUTAGENESIS PFNLTP16 HIMAR1 HYDRA VULGARIS C9 MUTANT PCAM45 TRANSPOSON CLONE 3.4 HORN FLY FRAGMENT </t>
  </si>
  <si>
    <t xml:space="preserve">HYPOTHETICAL CAENORHABDITIS BRIGGSAE YARROWIA LIPOLYTICA UNNAMED PRODUCT CLIB122 HOMO SAPIENS GURADRAFT_1187 GEOBACTER URANIUMREDUCENS RF4 Y50E8A.I ELEGANS CONSERVED EIMERIA TENELLA DDBDRAFT_0191040 DICTYOSTELIUM DISCOIDEUM AX4 SJCHGC01974 SCHISTOSOMA JAPONICUM PLASMODIUM BERGHEI STRAIN ANKA FALCIPARUM 3D7 ASPERGILLUS NIDULANS FGSC A4 SJCHGC07766 TRANSCRIPTION INITIATION FACTOR TFIID SUBUNIT CANDIDA ALBICANS </t>
  </si>
  <si>
    <t>gi|23498298</t>
  </si>
  <si>
    <t xml:space="preserve">HYPOTHETICAL PLASMODIUM FALCIPARUM 3D7 ALTEROMONAS MACLEODII 'DEEP ECOTYPE' CONSERVED AEDES AEGYPTI CHABAUDI MUS MUSCULUS MODEL 259 NCBI CHLOROBIUM PHAEOBACTEROIDES BS1 UNNAMED PRODUCT KLUYVEROMYCES LACTIS NEUROSPORA CRASSA OR74A STRONGYLOCENTROTUS PURPURATUS HOMO SAPIENS TRIBOLIUM CASTANEUM CAENORHABDITIS BRIGGSAE ARABIDOPSIS THALIANA BURKHOLDERIA MALLEI ATCC RATTUS NORVEGICUS SIMILAR TO CALCITONIN GENE-RELATED TYPE 1 RECEPTOR PRECURSOR CGRP RECEPTOR-LIKE GENE RELATED LIKE PARTIAL </t>
  </si>
  <si>
    <t>gi|109485840</t>
  </si>
  <si>
    <t xml:space="preserve">HYPOTHETICAL RATTUS NORVEGICUS COCCIDIOIDES IMMITIS RS TETRAHYMENA THERMOPHILA UNNAMED PRODUCT TETRAODON NIGROVIRIDIS MUS MUSCULUS TRIBOLIUM CASTANEUM DDBDRAFT_0219636 DICTYOSTELIUM DISCOIDEUM AX4 UNCULTURED ORGANISM DROSOPHILA MELANOGASTER PLASMODIUM FALCIPARUM 3D7 SIMILAR TO RNA BINDING MOTIF 25 ISOFORM 13 BOS TAURUS 12 DDBDRAFT_0188541 CG2839-PA HYDROXYPROLINE-RICH GLYCOPROTEIN DZ-HRGP PRECURSOR CRYPTOSPORIDIUM HOMINIS HYDROXYPROLINE RICH DZ HRGP 1 MACACA MULATTA CYCLOPHILIN-RNA INTERACTING PARAMECIUM TETRAURELIA CYCLOPHILIN </t>
  </si>
  <si>
    <t xml:space="preserve">FORMIN HOMOLOGY DOMAIN-CONTAINING DICTYOSTELIUM DISCOIDEUM AX4 DOMAIN CONTAINING CYTOKINESIS SEPA ASPERGILLUS NIDULANS FGSC A4 SEPA_EMENI FH1 2 FORCED EXPRESSION INHIBITION GROWTH A HOMOLOG EMERICELLA HYPOTHETICAL SIMILAR TO MUS MUSCULUS MOUSE . 1 ISOFORM IV LIMB DEFORMITY DISHEVELED ASSOCIATED ACTIVATOR MORPHOGENESIS STRONGYLOCENTROTUS PURPURATUS YARROWIA LIPOLYTICA UNNAMED PRODUCT CLIB122 GIBBERELLA ZEAE PH-1 NEUROSPORA CRASSA OR74A XENOPUS LAEVIS TETRAODON NIGROVIRIDIS PROBABLE B ACTIN-BINDING ACTIN BINDING COCCIDIOIDES IMMITIS RS DISHEVELLED-ASSOCIATED PARTIAL BOS TAURUS DISHEVELLED CANIS FAMILIARIS 7 6 5 4 3 </t>
  </si>
  <si>
    <t>gi|88937037</t>
  </si>
  <si>
    <t>Geobacter uraniumreducens Rf4</t>
  </si>
  <si>
    <t xml:space="preserve">HYPOTHETICAL GURADRAFT_1187 GEOBACTER URANIUMREDUCENS RF4 RATTUS NORVEGICUS CAENORHABDITIS BRIGGSAE STRONGYLOCENTROTUS PURPURATUS UNNAMED PRODUCT ARABIDOPSIS THALIANA NEUROSPORA CRASSA OR74A HOMO SAPIENS MUS MUSCULUS PARTIAL MACACA MULATTA SIMILAR TO CALCITONIN GENE-RELATED TYPE 1 RECEPTOR PRECURSOR CGRP RECEPTOR-LIKE GENE RELATED LIKE </t>
  </si>
  <si>
    <t xml:space="preserve">HYPOTHETICAL DDBDRAFT_0188541 DICTYOSTELIUM DISCOIDEUM AX4 LIGASE I SIMILAR TO XENOPUS LAEVIS AFRICAN CLAWED FROG . EC POLYDEOXYRIBONUCLEOTIDE SYNTHASE ATP RATTUS NORVEGICUS MACACA MULATTA CAENORHABDITIS ELEGANS UNKNOWN ARABIDOPSIS THALIANA UNNAMED PRODUCT OLFACTORY RECEPTOR 775 MUS MUSCULUS STRONGYLOCENTROTUS PURPURATUS CRYPTOCOCCUS NEOFORMANS VAR. JEC21 NEUROSPORA CRASSA OR74A PLASMODIUM FALCIPARUM 3D7 DEBARYOMYCES HANSENII ACTIN ENTAMOEBA HISTOLYTICA HM-1 IMSS HOMO SAPIENS CG2839-PA DROSOPHILA MELANOGASTER LEUCINE RICH REPEAT </t>
  </si>
  <si>
    <t xml:space="preserve">HYPOTHETICAL GURADRAFT_1187 GEOBACTER URANIUMREDUCENS RF4 DDBDRAFT_0191040 DICTYOSTELIUM DISCOIDEUM AX4 UNKNOWN SCHISTOSOMA JAPONICUM SJCHGC01957 TRANSCRIPTION INITIATION FACTOR TFIID SUBUNIT CANDIDA ALBICANS Y50E8A.I CAENORHABDITIS ELEGANS DEHYDROGENASE 5 STRONGYLOIDES STERCORALIS DDBDRAFT_0202310 EIMERIA TENELLA YARROWIA LIPOLYTICA UNNAMED PRODUCT CLIB122 BRIGGSAE PLASMODIUM BERGHEI STRAIN ANKA YOELII STR. 17XNL PRODUCT-RELATED RELATED DDBDRAFT_0215454 TRYPANOSOMA BRUCEI TREU927 UNLIKELY WSSV375 SHRIMP WHITE SPOT SYNDROME VIRUS DDBDRAFT_0187196 DDBDRAFT_0189069 ATPASEATPAS NOCARDIOIDES SP. SIMILAR TO MITOGEN-ACTIVATED KINASE 9 PARTIAL STRONGYLOCENTROTUS PURPURATUS MITOGEN ACTIVATED </t>
  </si>
  <si>
    <t xml:space="preserve">HYPOTHETICAL CAENORHABDITIS BRIGGSAE PLASMODIUM FALCIPARUM 3D7 TETRAHYMENA THERMOPHILA TEMPORARILY ASSIGNED GENE NAME FAMILY MEMBER TAG-58 ELEGANS 1MDA_1 2MDA_2 2MDA_1 TAG 58 </t>
  </si>
  <si>
    <t xml:space="preserve">HYPOTHETICAL Y50E8A.I CAENORHABDITIS ELEGANS CONSERVED EIMERIA TENELLA CRYPTOSPORIDIUM PARVUM IOWA II SIGNAL PLASMODIUM FALCIPARUM 3D7 CANDIDA ALBICANS ASPERGILLUS NIDULANS FGSC A4 UNNAMED PRODUCT TRYPANOSOMA BRUCEI DEHYDROGENASE SUBUNIT 5 NU5M_TRYBB NADH-UBIQUINONE OXIDOREDUCTASE CHAIN UBIQUINONE BERGHEI STRAIN ANKA PB-FAM-2 FAM-2 FAM LEISHMANIA MAJOR 4 TRIATOMA PALLIDIPENNIS SJCHGC01957 SCHISTOSOMA JAPONICUM CYB-COII INTERGENIC REGION TARENTOLAE MITOCHONDRION CYB COII ATPASE 6 MURF4 GURADRAFT_1187 GEOBACTER URANIUMREDUCENS RF4 YARROWIA LIPOLYTICA CLIB122 DDBDRAFT_0191040 DICTYOSTELIUM DISCOIDEUM AX4 ANISAKIS SIMPLEX DIMIDIATA TRANSCRIPTION INITIATION FACTOR TFIID </t>
  </si>
  <si>
    <t>gi|94468848</t>
  </si>
  <si>
    <t xml:space="preserve">SALIVARY SECRETED AEDES AEGYPTI CONSERVED HYPOTHETICAL TRIPARTITE ATP-INDEPENDENT PERIPLASMIC TRAP-T TRANSPORTER DCTM SUBUNIT THIOMICROSPIRA CRUNOGENA XCL-2 DICARBOXYLATE TRANSPORTER- ATP INDEPENDENT T XCL 2 TRANSPORTER-LIKE ORYZA SATIVA JAPONICA CULTIVAR-GROUP LIKE CULTIVAR GROUP PERMEASE COMPONENT C4 MARINE GAMMA PROTEOBACTERIUM USTILAGO MAYDIS 521 </t>
  </si>
  <si>
    <t>gi|113198405</t>
  </si>
  <si>
    <t>Campylobacter fetus subsp. fetus 82-40</t>
  </si>
  <si>
    <t xml:space="preserve">HYPOTHETICAL CAMPYLOBACTER FETUS SUBSP. MYPU_1210 MYCOPLASMA PULMONIS UAB CTIP UNKNOWN CODING REGION SIMILAR TO MYOSIN-9 MYOSIN HEAVY CHAIN NONMUSCLE IIA NMHC II-A CELLULAR TYPE A CHAIN-A NMMHC-A CANIS FAMILIARIS 9 II NMMHC CIAO1 VARIANT FRAGMENT EIMERIA TENELLA </t>
  </si>
  <si>
    <t>gi|109500732</t>
  </si>
  <si>
    <t xml:space="preserve">HYPOTHETICAL ISOFORM 2 RATTUS NORVEGICUS 3 1 SIMILAR TO FREE FATTY ACID RECEPTOR G-PROTEIN COUPLED 41 PEPTIDASE M48 MARINE GAMMA PROTEOBACTERIUM SULFOLOBUS SOLFATARICUS P2 </t>
  </si>
  <si>
    <t xml:space="preserve">HYPOTHETICAL MAGNAPORTHE GRISEA FLAGELLAR BIOSYNTHETIC FLIR CAMPYLOBACTER COLI ISOFORM 3 MUS MUSCULUS </t>
  </si>
  <si>
    <t>gi|62360073</t>
  </si>
  <si>
    <t>Trypanosoma brucei TREU927</t>
  </si>
  <si>
    <t xml:space="preserve">HYPOTHETICAL CONSERVED TRYPANOSOMA BRUCEI TREU927 </t>
  </si>
  <si>
    <t xml:space="preserve">HYPOTHETICAL DDBDRAFT_0187956 DICTYOSTELIUM DISCOIDEUM AX4 CG3897-PB ISOFORM B DROSOPHILA MELANOGASTER CG3897-PD BLOATED TUBULES ORPHAN NEUROTRANSMITTER TRANSPORTER PLASMODIUM FALCIPARUM 3D7 DDBDRAFT_0216873 </t>
  </si>
  <si>
    <t>gi|4493974</t>
  </si>
  <si>
    <t xml:space="preserve">HYPOTHETICAL PLASMODIUM FALCIPARUM 3D7 CHABAUDI UNNAMED PRODUCT TETRAODON NIGROVIRIDIS </t>
  </si>
  <si>
    <t>gi|89304469</t>
  </si>
  <si>
    <t>Tetrahymena thermophila SB210</t>
  </si>
  <si>
    <t xml:space="preserve">KINASE DOMAIN CONTAINING TETRAHYMENA THERMOPHILA </t>
  </si>
  <si>
    <t xml:space="preserve">SIMILAR TO PROGESTIN ADIPOQ RECEPTOR FAMILY MEMBER VIII STRONGYLOCENTROTUS PURPURATUS DROSOPHILA MELANOGASTER ATPASE EIMERIA TENELLA ANOPHELES GAMBIAE STR. PEST HYPOTHETICAL TETRAHYMENA THERMOPHILA CANDIDA ALBICANS CYSTEINE STRING AEDES AEGYPTI CONSERVED DNAJ HSP40 HOMOLOG SUBFAMILY C 5 TRANSFORMING GROWTH FACTOR BETA 2 VARIANT HOMO SAPIENS TRYPANOSOMA CRUZI STRAIN CL BRENER PLASMODIUM YOELII 17XNL TPA_INF DDBDRAFT_0216550 DICTYOSTELIUM DISCOIDEUM AX4 APIS MELLIFERA BRUCEI TREU927 DANIO RERIO </t>
  </si>
  <si>
    <t xml:space="preserve">CRYPTDIN RELATED SEQUENCE MUS MUSCULUS ENVRONMENTAL STRESS-INDUCIBLE MEDICAGO SATIVA ABSCISIC ACID-AND ENVIRONMENTAL STRESS INDUCIBLE ACID HYPOTHETICAL DESULFOVIBRIO DESULFURICANS G20 CORA_MEDSA COLD DROUGHT-REGULATED CORA PRODUCT DROUGHT REGULATED CONSERVED WINGED HELIX DNA-BINDING DOMAIN FRANKIA ALNI ACN14A BINDING SECRETION TARGET REPEAT ROSEOBACTER SP. DIGUANYLATE CYCLASE GGDEF WITH PAS PAC SENSOR CCI3 SIMILAR TO PROCOLLAGEN TYPE IV ALPHA 3 RATTUS NORVEGICUS MMCS_0327 MYCOBACTERIUM MCS MKMSDRAFT_3047 MJLSDRAFT_2496 BY GLIMMER CRITICA BDELLOVIBRIO BACTERIOVORUS UNKNOWN FUNCTION KINEOCOCCUS RADIOTOLERANS DEFENSIN-LIKE GENE PRECURSOR DEFR7_MOUSE DEFENSIN-RELATED 7 CRYPTDIN-RELATED 4C-2 CRS4C DEFENSIN LIKE 4C 2 BRADYRHIZOBIUM BTAI1 PE-PGRS FAMILY PROTEIN-LIKE ORYZA JAPONICA CULTIVAR-GROUP PE PGRS CULTIVAR GROUP BETA-1 4-ENDOXYLANASE THERMOBIFIDA ALBA BETA 1 4 ENDOXYLANASE GLYCOSIDE HYDROLASE 10 CELLULOSE-BINDING II BACTERIAL FUSCA YX CELLULOSE ALLERGEN V5 TPX-1 COLLAGEN XXII BOS TAURUS ISOFORM CHAETOMIUM GLOBOSUM CBS </t>
  </si>
  <si>
    <t xml:space="preserve">UNKNOWN SCHISTOSOMA JAPONICUM DEHYDROGENASE SUBUNIT 2 DIROFILARIA IMMITIS </t>
  </si>
  <si>
    <t>gi|46107326</t>
  </si>
  <si>
    <t xml:space="preserve">HYPOTHETICAL GIBBERELLA ZEAE PH-1 URACIL-DNA GLYCOSYLASE FAMILY BACILLUS ANTHRACIS STR. 'AMES ANCESTOR' STERNE URACIL DNA SIMILAR TO CANIS FAMILIARIS HEMOLYSIN-TYPE CALCIUM-BINDING REGION SILICIBACTER SP. HEMOLYSIN TYPE CALCIUM BINDING SUPERFAMILY CEREUS SUBSP. CYTOTOXIS NVH 391 98 SHORT CHAIN FATTY ACID TRANSPORTER RALSTONIA METALLIDURANS CH34 SPLICING FACTOR ARGININE SERINE-RICH 46KD PAN TROGLODYTES SERINE RICH DOUBLECORTIN DOMAIN-CONTAINING 2 RU2S DOMAIN CONTAINING ASPERGILLUS FUMIGATUS RHOGAP FES CIP4 ZEA MAYS XENOPUS LAEVIS UNNAMED PRODUCT HOMO SAPIENS DOWNSTREAM NEIGHBOR SON Q9NYP3 DONS_HUMAN B17 SODIUM-TYPE FLAGELLAR MOTX COLWELLIA PSYCHRERYTHRAEA 34H SODIUM METHYLTRANSFERASE KINEOCOCCUS RADIOTOLERANS ISOFORM MACACA MULATTA CONSERVED COFD RELATED TRANSCRIPTIONAL REGULATOR LUXR PSEUDOMONAS SYRINGAE PV. TOMATO UNKNOWN EUTROPHA H16 TRANSIENT RECEPTOR POTENTIAL CATION CHANNEL SUBFAMILY M MEMBER 4 RATTUS NORVEGICUS 1 SWI SNF-RELATED MATRIX-ASSOCIATED ACTIN-DEPENDENT CHROMATIN A-LIKE SUCROSE NONFERMENTING 2-LIKE HEPA-RELATED MHARP STRONGYLOCENTROTUS PURPURATUS SNF MATRIX ASSOCIATED ACTIN DEPENDENT A LIKE HEPA DNA-BINDING HTH AN AMINOTRANSFERASE MOCR -LIKE VERMINEPHROBACTER EISENIAE EF01 </t>
  </si>
  <si>
    <t>gi|109238416</t>
  </si>
  <si>
    <t>Eimeria tenella</t>
  </si>
  <si>
    <t xml:space="preserve">HYPOTHETICAL CONSERVED EIMERIA TENELLA UNNAMED PRODUCT CHLORELLA VULGARIS 41B CHLOROPLAST CHVUCP076 PLASMODIUM YOELII STR. 17XNL DEHYDROGENASE UBIQUINONE CHAIN 2 HOMOLOG CHVUCP168 UNKNOWN SCHISTOSOMA JAPONICUM VIBRIO CHOLERAE DDBDRAFT_0203151 DICTYOSTELIUM DISCOIDEUM AX4 DDBDRAFT_0187196 FALCIPARUM 3D7 DDBDRAFT_0206068 TRANSCRIPTION INITIATION FACTOR TFIID SUBUNIT ARABIDOPSIS THALIANA DDBDRAFT_0204172 Y50E8A.I CAENORHABDITIS ELEGANS GYRASE A A-RELATED RELATED LARGEST RNA POLYMERASE I BIGELOWIELLA NATANS </t>
  </si>
  <si>
    <t xml:space="preserve">UNNAMED PRODUCT TETRAODON NIGROVIRIDIS CAENORHABDITIS ELEGANS HYPOTHETICAL INTERACTING GIP HOMO SAPIENS COUPLED RECEPTOR THEILERIA ANNULATA STRAIN ANKARA MUS MUSCULUS GUIDE RNA BINDING LEISHMANIA TARENTOLAE PLASMODIUM FALCIPARUM 3D7 CANDIDA ALBICANS ANTIGEN DONOVANI MACACA MULATTA </t>
  </si>
  <si>
    <t>gi|109238457</t>
  </si>
  <si>
    <t xml:space="preserve">FAMILY ATPASE EIMERIA TENELLA SERINE THREONINE KINASE DICTYOSTELIUM DISCOIDEUM AX4 HYPOTHETICAL CANDIDA ALBICANS THEILERIA PARVA STRAIN MUGUGA DIGUANYLATE CYCLASE GGDEF DOMAIN PSYCHROBACTER CRYOHALOLENTIS K5 DANIO RERIO PHOSPHATIDYLSERINE PHOSPHATIDYLGLYCEROPHOSPHATE CARDIOLIPIN SYNTHASES RELATED ENZYMES ACTINOBACILLUS PLEUROPNEUMONIAE SEROVAR 1 STR. 4074 UNKNOWN FOR MGC XENOPUS LAEVIS </t>
  </si>
  <si>
    <t>gi|94468996</t>
  </si>
  <si>
    <t xml:space="preserve">RIBOSOMAL SA AEDES AEGYPTI LAMININ RECEPTOR COLON CARCINOMA LAMININ-BINDING BINDING P40 34 67 KDA HYPOTHETICAL CANDIDA ALBICANS FORKHEAD BOX G1 EQUUS BURCHELLII MYCOBACTERIUM AVIUM SUBSP. PARATUBERCULOSIS K-10 MAP_0716C PHAEOSPHAERIA NODORUM SN15 DIVISION FTSK HOMOLOG MESORHIZOBIUM LOTI FTSK_RHILO DNA TRANSLOCASE RATTUS NORVEGICUS SIMILAR TO FC RECEPTOR-LIKE MUCIN-LIKE 2 ISOFORM 1 MACACA MULATTA LIKE MUCIN DDBDRAFT_0184481 DICTYOSTELIUM DISCOIDEUM AX4 </t>
  </si>
  <si>
    <t>gi|67479501</t>
  </si>
  <si>
    <t xml:space="preserve">GTPASE ACTIVATING ENTAMOEBA HISTOLYTICA HM-1 IMSS </t>
  </si>
  <si>
    <t>gi|113195531</t>
  </si>
  <si>
    <t>Clanis bilineata nucleopolyhedrosis virus</t>
  </si>
  <si>
    <t xml:space="preserve">ECDYSTEROID UDP-GLUCOSYL TRANSFERASE CLANIS BILINEATA NUCLEOPOLYHEDROSIS VIRUS GLUCOSYL COX3_LEITA CYTOCHROME C OXIDASE SUBUNIT 3 POLYPEPTIDE III HYPOTHETICAL DDBDRAFT_0218820 DICTYOSTELIUM DISCOIDEUM AX4 CYTOCHROME-C EC CHAIN CRITHIDIA FASCICULATA MITOCHONDRION FRAGMENT PB-FAM-2 PLASMODIUM BERGHEI STRAIN ANKA FAM-2 FAM SJCHGC02709 SCHISTOSOMA JAPONICUM MBAR_A2010 METHANOSARCINA BARKERI STR. FUSARO </t>
  </si>
  <si>
    <t xml:space="preserve">DEHYDROGENASE SUBUNIT F ANEILEMA CALCEOLUS CONSERVED HYPOTHETICAL POSSIBLE PERMEASE CYTOPHAGA HUTCHINSONII ATCC PERMEASES MAJOR FACILITATOR SUPERFAMILY TRANSPORTER PICROPHILUS TORRIDUS DSM 9790 KINESIN MOTOR DOMAIN CONTAINING TETRAHYMENA THERMOPHILA </t>
  </si>
  <si>
    <t xml:space="preserve">PROTEASE ORYZA SATIVA JAPONICA CULTIVAR-GROUP CULTIVAR GROUP TRANSPOSON CACTA EN SPM SUB-CLASS SUB CLASS HYDRO-LYASES TARTRATE FUMARATE ALPHA REGION BETA CHLOROBIUM PHAEOBACTEROIDES DSM 266 HYDRO LYASES </t>
  </si>
  <si>
    <t xml:space="preserve">HYPOTHETICAL DDBDRAFT_0189426 DICTYOSTELIUM DISCOIDEUM AX4 UNNAMED PRODUCT TETRAODON NIGROVIRIDIS </t>
  </si>
  <si>
    <t xml:space="preserve">CONSERVED HYPOTHETICAL PARACHLAMYDIA SP. UWE25 CANDIDATUS PROTOCHLAMYDIA AMOEBOPHILA TETRAHYMENA THERMOPHILA </t>
  </si>
  <si>
    <t>gi|56544057</t>
  </si>
  <si>
    <t xml:space="preserve">CONSERVED HYPOTHETICAL ZYMOMONAS MOBILIS SUBSP. ZM4 GLYCOSIDE HYDROLASE FAMILY SYNECHOCOCCUS SP. </t>
  </si>
  <si>
    <t xml:space="preserve">HYPOTHETICAL CAENORHABDITIS BRIGGSAE DIACYLGLYCEROL KINASE THETA SAPIENS VARIANT HOMO DGKQ_HUMAN DIGLYCERIDE DGK-THETA DAG MACACA MULATTA SIMILAR TO CANIS FAMILIARIS </t>
  </si>
  <si>
    <t xml:space="preserve">CAMAR1 TRANSPOSASE CHYMOMYZA AMOENA HYPOTHETICAL CAMPYLOBACTER FETUS SUBSP. TRYPANOSOMA CRUZI STRAIN CL BRENER CONSERVED </t>
  </si>
  <si>
    <t xml:space="preserve">56KDA SELENIUM BINDING RALSTONIA EUTROPHA HYPOTHETICAL CHAETOMIUM GLOBOSUM CBS </t>
  </si>
  <si>
    <t>gi|54638597</t>
  </si>
  <si>
    <t>Drosophila pseudoobscura</t>
  </si>
  <si>
    <t xml:space="preserve">DROSOPHILA PSEUDOOBSCURA </t>
  </si>
  <si>
    <t>gi|88770850</t>
  </si>
  <si>
    <t>Streptococcus mutans</t>
  </si>
  <si>
    <t xml:space="preserve">TRANSPORTER STREPTOCOCCUS MUTANS </t>
  </si>
  <si>
    <t>gi|83591482</t>
  </si>
  <si>
    <t>Rhodospirillum rubrum ATCC 11170</t>
  </si>
  <si>
    <t xml:space="preserve">CYCLASE RHODOSPIRILLUM RUBRUM ATCC </t>
  </si>
  <si>
    <t>gi|89094294</t>
  </si>
  <si>
    <t>Oceanospirillum sp. MED92</t>
  </si>
  <si>
    <t xml:space="preserve">PYRUVATE FORMATE LYASE-ACTIVATING ENZYME PFLA OCEANOSPIRILLUM SP. MED92 LYASE ACTIVATING </t>
  </si>
  <si>
    <t>gi|3805785</t>
  </si>
  <si>
    <t>Clostridium botulinum</t>
  </si>
  <si>
    <t xml:space="preserve">CLOSTRIDIUM BOTULINUM CRYPTIC NEUROTOXIN TYPE B </t>
  </si>
  <si>
    <t>gi|110674828</t>
  </si>
  <si>
    <t>Clostridium perfringens str. 13</t>
  </si>
  <si>
    <t xml:space="preserve">DOMAIN CLOSTRIDIUM PERFRINGENS ATCC CONSERVED HYPOTHETICAL STR. 13 </t>
  </si>
  <si>
    <t>gi|77684017</t>
  </si>
  <si>
    <t>Alkaliphilus metalliredigenes QYMF</t>
  </si>
  <si>
    <t xml:space="preserve">ISTB-LIKE ATP-BINDING ALKALIPHILUS METALLIREDIGENES QYMF BINDING </t>
  </si>
  <si>
    <t>gi|52214330</t>
  </si>
  <si>
    <t>Bacteroides fragilis YCH46</t>
  </si>
  <si>
    <t xml:space="preserve">PROTEASE YMXG BACTEROIDES FRAGILIS YCH46 PEPTIDASE NCTC 9343 HYPOTHETICAL TETRAHYMENA THERMOPHILA </t>
  </si>
  <si>
    <t>gi|89299460</t>
  </si>
  <si>
    <t xml:space="preserve">HYPOTHETICAL TETRAHYMENA THERMOPHILA RATTUS NORVEGICUS MUS MUSCULUS UNCULTURED ORGANISM DDBDRAFT_0219636 DICTYOSTELIUM DISCOIDEUM AX4 CYCLOPHILIN-RNA INTERACTING PARAMECIUM TETRAURELIA CYCLOPHILIN RNA UNNAMED PRODUCT ARABIDOPSIS THALIANA DDBDRAFT_0205777 STRONGYLOCENTROTUS PURPURATUS DDBDRAFT_0189564 CAENORHABDITIS BRIGGSAE MACACA MULATTA </t>
  </si>
  <si>
    <t xml:space="preserve">HYPOTHETICAL STRONGYLOCENTROTUS PURPURATUS SIMILAR TO MYG1 SJCHGC09461 SCHISTOSOMA JAPONICUM UNCULTURED ARCHAEON GZFOS9E5 HISTONE DEACETYLASE SUPERFAMILY CHLOROFLEXUS AURANTIACUS J-10-FL 10-FL CAENORHABDITIS BRIGGSAE YARROWIA LIPOLYTICA UNNAMED PRODUCT CLIB122 PLASMODIUM BERGHEI STRAIN ANKA MUS MUSCULUS AAEL_AAEL002931 AEDES AEGYPTI PAESDRAFT_1573 PROSTHECOCHLORIS AESTUARII DSM 271 CG9682-PA RATTUS NORVEGICUS NOSTOC PUNCTIFORME PCC Y50E8A.I ELEGANS UNKNOWN CHORISTONEURA FUMIFERANA GRANULOVIRUS HOMO SAPIENS CONSERVED EIMERIA TENELLA YOELII STR. 17XNL CEMENT RIM36 RHIPICEPHALUS APPENDICULATUS ATPASEATPAS NOCARDIOIDES SP. GURADRAFT_1187 GEOBACTER URANIUMREDUCENS RF4 </t>
  </si>
  <si>
    <t xml:space="preserve">HYPOTHETICAL GURADRAFT_1187 GEOBACTER URANIUMREDUCENS RF4 CONSERVED EIMERIA TENELLA Y50E8A.I CAENORHABDITIS ELEGANS CANDIDA ALBICANS TRYPANOSOMA BRUCEI TREU927 FRANEAN1DRAFT_1131 FRANKIA SP. EAN1PEC DDBDRAFT_0191040 DICTYOSTELIUM DISCOIDEUM AX4 YARROWIA LIPOLYTICA UNNAMED PRODUCT CLIB122 UNLIKELY HOMO SAPIENS ASPERGILLUS NIDULANS FGSC A4 DEHYDROGENASE SUBUNIT 5 BODO SALTANS 6 STRONGYLOIDES STERCORALIS INSERTED AFTER NT 369 =NT GENOMIC SEQUENCE CORRECT -1 FRAMESHIFT PROBABLY DUE GEL COMPRESSION 1 SECY-INDEPENDENT TRANSPORTER THRAUSTOCHYTRIUM AUREUM SECY INDEPENDENT ATPASE ATPASEATPAS NOCARDIOIDES PLASMODIUM FALCIPARUM 3D7 CRUZI STRAIN CL BRENER </t>
  </si>
  <si>
    <t xml:space="preserve">HYPOTHETICAL CANDIDA ALBICANS PLASMODIUM FALCIPARUM 3D7 DDBDRAFT_0191040 DICTYOSTELIUM DISCOIDEUM AX4 YARROWIA LIPOLYTICA UNNAMED PRODUCT CLIB122 Y50E8A.I CAENORHABDITIS ELEGANS DDBDRAFT_0202995 DDBDRAFT_0217413 NADH-UBIQUINONE OXIDOREDUCTASE SUBUNIT 1 GLOBODERA PALLIDA NADH UBIQUINONE GURADRAFT_1187 GEOBACTER URANIUMREDUCENS RF4 EIMERIA TENELLA TRANSCRIPTION INITIATION FACTOR TFIID CONSERVED HOMO SAPIENS UNKNOWN SCHISTOSOMA JAPONICUM SJCHGC01957 DEHYDROGENASE 5 STRONGYLOIDES STERCORALIS BERGHEI STRAIN ANKA YOELII STR. 17XNL MACACA MULATTA RATTUS NORVEGICUS MUS MUSCULUS ADAM6 </t>
  </si>
  <si>
    <t xml:space="preserve">HYPOTHETICAL CONSERVED EIMERIA TENELLA PLASMODIUM FALCIPARUM 3D7 Y50E8A.I CAENORHABDITIS ELEGANS SIMILAR TO CG3759-PA STRONGYLOCENTROTUS PURPURATUS GURADRAFT_1187 GEOBACTER URANIUMREDUCENS RF4 AMSACTA MOOREI ENTOMOPOXVIRUS NADH-UBIQUINONE OXIDOREDUCTASE SUBUNIT 4 GLOBODERA PALLIDA NADH UBIQUINONE TRANSCRIPTION INITIATION FACTOR TFIID DICTYOSTELIUM DISCOIDEUM AX4 YARROWIA LIPOLYTICA UNNAMED PRODUCT CLIB122 CRITHIDIA FASCICULATA ASPERGILLUS NIDULANS FGSC A4 CANDIDA ALBICANS TRYPANOSOMA CRUZI STRAIN CL BRENER TRANSPORTER NAEGLERIA GRUBERI DEHYDROGENASE 5 STRONGYLOIDES STERCORALIS RATTUS NORVEGICUS DDBDRAFT_0191040 PICROPHILUS TORRIDUS DSM 9790 BERGHEI ANKA ATPASEATPAS NOCARDIOIDES SP. </t>
  </si>
  <si>
    <t>gi|88932464</t>
  </si>
  <si>
    <t>Acidothermus cellulolyticus 11B</t>
  </si>
  <si>
    <t xml:space="preserve">ALDEHYDE DEHYDROGENASE ACIDOTHERMUS CELLULOLYTICUS 11B HYPOTHETICAL ASPERGILLUS NIDULANS FGSC A4 CAENORHABDITIS BRIGGSAE SIMILAR TO MENINGIOMA EXPRESSED ANTIGEN 5 HYALURONIDASE DANIO RERIO TRIBOLIUM CASTANEUM BIFUNTIONAL ENZYME TRNA METHYLTRANSFERASE 2-C-METHYL-D-ERYTHRITOL 4-CYCLODIPHOSPHATE SYNTHASE SYNECHOCOCCUS SP. WH 5701 C-METHYL-D-ERYTHRITOL C METHYL-D-ERYTHRITOL METHYL D-ERYTHRITOL D ERYTHRITOL 4 CYCLODIPHOSPHATE SERINE PROTEASE XYLELLA FASTIDIOSA 9A5C NA-CA EXCHANGER INTEGRIN-BETA4 CHLOROFLEXUS AURANTIACUS J-10-FL INTEGRIN BETA4 10-FL SUGAR PHOSPHATE ISOMERASE INVOLVED IN CAPSULE FORMATION MYCOBACTERIUM TUBERCULOSIS PLATELET ENDOTHELIAL AGGREGATION RECEPTOR 1 HOMO SAPIENS NOVEL MOUSE JEDI SOLUBLE ISOFORM 736 TROGLODYTES MEGF10 CANIS FAMILIARIS ALKALILIMNICOLA EHRLICHEI MLHE-1 MEMBRANE ROSEOVARIUS NUBINHIBENS ISM MACACA MULATTA TEMECULA1 HELIX-TURN-HELIX ARAC TYPE KINEOCOCCUS RADIOTOLERANS HELIX TURN-HELIX TURN ICHIT ANOPHELES GAMBIAE CONSERVED THERMOBIFIDA FUSCA YX GIBBERELLA ZEAE PH-1 ELEGANS STREPTOMYCES AVERMITILIS </t>
  </si>
  <si>
    <t>gi|60360292</t>
  </si>
  <si>
    <t xml:space="preserve">MUSCULUS HYPOTHETICAL COCCIDIOIDES IMMITIS RS </t>
  </si>
  <si>
    <t xml:space="preserve">UNKNOWN SCHISTOSOMA JAPONICUM HYPOTHETICAL DDBDRAFT_0201820 DICTYOSTELIUM DISCOIDEUM AX4 DDBDRAFT_0202465 CHAPERONIN PLASMODIUM YOELII STR. 17XNL DDBDRAFT_0191040 DDBDRAFT_0215454 GURADRAFT_1187 GEOBACTER URANIUMREDUCENS RF4 </t>
  </si>
  <si>
    <t>gi|108880008</t>
  </si>
  <si>
    <t>Proteasome machinery</t>
  </si>
  <si>
    <t>possible mucin with histidine rich domai</t>
  </si>
  <si>
    <t>Histidine rich domain-containing peptide</t>
  </si>
  <si>
    <t xml:space="preserve">DEOXYRIBONUCLEASE I AEDES AEGYPTI ANOPHELES GAMBIAE STR. PEST SIMILAR TO TRIBOLIUM CASTANEUM MARSUPENAEUS JAPONICUS DUPLEX-SPECIFIC NUCLEASE PARALITHODES CAMTSCHATICUS DUPLEX SPECIFIC NON-SPECIFIC PALAEMONIDAE SP. EAB 2006 SALIVARY PHLEBOTOMUS ARIASI SP11 ARGENTIPES SP32 PERNICIOSUS AMPHIUCA CRASSIPES NON LUTZOMYIA LONGIPALPIS DROSOPHILA MELANOGASTER CG6839-PA PSEUDOOBSCURA </t>
  </si>
  <si>
    <t>gi|108874214</t>
  </si>
  <si>
    <t xml:space="preserve">LYSOZYME P AEDES AEGYPTI SALIVARY ALBOPICTUS BOMBYX MORI LYS_BOMMO PRECURSOR 1 4-BETA-N-ACETYLMURAMIDASE BETA-N-ACETYLMURAMIDASE BETA N-ACETYLMURAMIDASE N ACETYLMURAMIDASE II ARTOGEIA RAPAE CHAIN STRUCTURE SAMIA CYNTHIA RICINI C-1 ANOPHELES GAMBIAE LYS_ANOGA LYS_HYACE AGRIUS CONVOLVULI 2 HYALOPHORA CECROPIA MACROBRACHIUM NIPPONENSE MANDUCA SEXTA STEPHENSI PENAEUS MONODON ANTHERAEA PERNYI DARLINGI DERMACENTOR ANDERSONI ROSENBERGII VARIABILIS C-2 C </t>
  </si>
  <si>
    <t xml:space="preserve">LYSOZYME AEDES ALBOPICTUS AEGYPTI LYS_HYPCU PRECURSOR 1 4-BETA-N-ACETYLMURAMIDASE BETA-N-ACETYLMURAMIDASE BETA N-ACETYLMURAMIDASE N ACETYLMURAMIDASE BOMBYX MORI LYS_BOMMO CHAIN STRUCTURE C-1 ANOPHELES GAMBIAE LYS_ANOGA SALIVARY STEPHENSI II ARTOGEIA RAPAE HELIOTHIS VIRESCENS PSEUDOPLUSIA INCLUDENS TRICHOPLUSIA NI LYS_TRINI DARLINGI SPODOPTERA EXIGUA AGRIUS CONVOLVULI LYS_GALME 2 HYALOPHORA CECROPIA MANDUCA SEXTA=TOBACCO HORNWORM PARTIAL 120 AA SEXTA LYS_HYACE ANTHERAEA ASSAMA C-TYPE GLOSSINA MORSITANS C TYPE STR. PEST SAMIA CYNTHIA RICINI </t>
  </si>
  <si>
    <t xml:space="preserve">LYSOZYME AEDES ALBOPICTUS AEGYPTI LYS_HYPCU PRECURSOR 1 4-BETA-N-ACETYLMURAMIDASE BETA-N-ACETYLMURAMIDASE BETA N-ACETYLMURAMIDASE N ACETYLMURAMIDASE HELIOTHIS VIRESCENS C-TYPE GLOSSINA MORSITANS C TYPE SPODOPTERA EXIGUA DROSOPHILA MELANOGASTER PSEUDOOBSCURA LYS_GALME II ARTOGEIA RAPAE TRICHOPLUSIA NI LYS_TRINI SALIVARY ANOPHELES STEPHENSI AGRIUS CONVOLVULI PSEUDOPLUSIA INCLUDENS DARLINGI MANDUCA SEXTA=TOBACCO HORNWORM PARTIAL 120 AA SEXTA C-4 GAMBIAE C-1 LYS_ANOGA C-2 2 STR. PEST CHAIN STRUCTURE BOMBYX MORI </t>
  </si>
  <si>
    <t xml:space="preserve">SALIVARY LYSOZYME AEDES ALBOPICTUS AEGYPTI P </t>
  </si>
  <si>
    <t>gi|108884704</t>
  </si>
  <si>
    <t xml:space="preserve">SERINE PROTEASE AEDES AEGYPTI 14D2 ANOPHELES GAMBIAE STR. PEST SIMILAR TO CG3066-PA ISOFORM A TRIBOLIUM CASTANEUM 14D EASTER PRECURSOR CG9733-PA MASP-2 MASP 2 </t>
  </si>
  <si>
    <t>gi|108880577</t>
  </si>
  <si>
    <t xml:space="preserve">GRAM-NEGATIVE BACTERIA BINDING AEDES AEGYPTI GRAM NEGATIVE 1 NASUTITERMES TRIODIAE COMATUS MAGNUS ANOPHELES GAMBIAE STR. PEST GRAVEOLUS EXITIOSUS TUMULITERMES PASTINATOR WALKERI PLUVIALIS FUMIGATUS DIXONI LONGIPENNIS MASTOTERMES DARWINIENSIS 2 </t>
  </si>
  <si>
    <t>gi|108882117</t>
  </si>
  <si>
    <t xml:space="preserve">VENOM ALLERGEN AEDES AEGYPTI SALIVARY ANTIGEN-5 RELATED AG5-1 ALBOPICTUS ANTIGEN 5 AG5 1 5-RELATED ANOPHELES GAMBIAE SECRETED STR. PEST DIRUS B STEPHENSI DARLINGI PRECURSOR DROSOPHILA MELANOGASTER </t>
  </si>
  <si>
    <t xml:space="preserve">SALIVARY CULEX PIPIENS QUINQUEFASCIATUS SECRETED AEDES AEGYPTI CONSERVED HYPOTHETICAL ALBOPICTUS FAMILY 56K 2 3 56 KD 1 ANOPHELES GAMBIAE STR. PEST STEPHENSI ORYZA SATIVA JAPONICA CULTIVAR-GROUP CULTIVAR GROUP RETROTRANSPOSON UNCLASSIFIED POLYPROTEIN OSJNBB0015N08.7 BURKHOLDERIA PSEUDOMALLEI MARINOMONAS SP. LISTERIA MONOCYTOGENES 4B INNOCUA 2A SENSOR EVGS PRECURSOR ESCHERICHIA COLI UTI89 EGD-E EGD E CHAETOMIUM GLOBOSUM CBS UNNAMED PRODUCT CANDIDA GLABRATA </t>
  </si>
  <si>
    <t xml:space="preserve">SALIVARY SECRETED AEDES ALBOPICTUS 56K 3 FAMILY 2 AEGYPTI CONSERVED HYPOTHETICAL 56 KD 1 CULEX PIPIENS QUINQUEFASCIATUS RECOMBINATION N XYLELLA FASTIDIOSA TEMECULA1 RECN_XYLFT DNA REPAIR RECN SPBC359.04C SCHIZOSACCHAROMYCES POMBE USTILAGO MAYDIS 521 LEGIONELLA PNEUMOPHILA STR. PARIS CAENORHABDITIS ELEGANS YQU3_CAEEL PRECURSOR CHAETOMIUM GLOBOSUM CBS EQUID HERPESVIRUS 4 EQUINE GENERAL PTS ENZYME I PEP-PROTEIN PHOSPHOTRANSFERASE SALMONELLA ENTERICA SUBSP. SEROVAR CHOLERAESUIS SC-B67 TYPHIMURIUM LT2 TYPHI TY2 PARATYPHI A ATCC 9150 PT1_SALTI PHOSPHOENOLPYRUVATE-PROTEIN SYSTEM PT1_SALTY PHOSPHOENOLPYRUVATE UNNAMED PRODUCT HOMO SAPIENS TPRXL GLYCOSYL TRANSFERASE GROUP METHYLOCOCCUS CAPSULATUS BATH KINASE EI COMPONENT IN BACTERIA YERSINIA INTERMEDIA DROSOPHILA PSEUDOOBSCURA ATP-BINDING REGION ATPASE-LIKE HISTIDINE HAMP N-TERMINAL CACHE SYNTROPHOBACTER FUMAROXIDANS MPOB BINDING ATPASE LIKE TERMINAL KLUYVEROMYCES LACTIS SIMILAR TO MEGAKARYOBLASTIC LEUKEMIA TRANSLOCATION DANIO RERIO </t>
  </si>
  <si>
    <t>gi|108880009</t>
  </si>
  <si>
    <t xml:space="preserve">CONSERVED HYPOTHETICAL AEDES AEGYPTI SALIVARY SECRETED BASIC CULEX PIPIENS QUINQUEFASCIATUS ALBOPICTUS UNKNOWN CULICOIDES SONORENSIS XANTHOMONAS CAMPESTRIS PV. STR. 8004 DANIO RERIO RHODOPSEUDOMONAS PALUSTRIS PERMEASE COMPONENT C4 DICARBOXYLATE TRANSPORTER MARINE GAMMA PROTEOBACTERIUM IG-LIKE GROUP 1 CHLOROFLEXUS AURANTIACUS J-10-FL 10-FL NUCLEAR FACTOR I FAMILY MEMBER NFI-1 CAENORHABDITIS ELEGANS ISOFORM C B A PROBABLE SHORT CHAIN DEHYDROGENASE RHODOCOCCUS SP. RHA1 RALSTONIA SOLANACEARUM GGDEF WOLINELLA SUCCINOGENES TRIPARTITE MOTIF-CONTAINING 66 MACACA MULATTA MOTIF CONTAINING MAGNAPORTHE GRISEA FLAGELLAR P-RING PRECURSOR BUCHNERA APHIDICOLA SG SCHIZAPHIS GRAMINUM FLGI_BUCAP BASAL BODY P RING SAPIENS ATP-INDEPENDENT PERIPLASMIC TRAP-T DCTM SUBUNIT THIOMICROSPIRA CRUNOGENA XCL-2 TRANSPORTER- ATP INDEPENDENT T XCL 2 SIMILAR TO TROGLODYTES BOS TAURUS </t>
  </si>
  <si>
    <t xml:space="preserve">SALIVARY GLAND ALLERGEN AEDES ALBOPICTUS 30K 2 VARIANT AEGYPTI CONSERVED HYPOTHETICAL 3 GE-RICH GE RICH 4 BURKHOLDERIA PSEUDOMALLEI SETD2 HOMO SAPIENS HSPC069 ISOFORM A HUNTINGTIN INTERACTING 1 B SIMILAR TO HYPB TROGLODYTES DOMAIN CONTAINING STRONGYLOCENTROTUS PURPURATUS TOXOPLASMA GONDII CG6340-PD D DROSOPHILA MELANOGASTER CG6340-PB UNNAMED PRODUCT ASPERGILLUS ORYZAE HOMOLOG S. CEREVISIAE IWS1_HUMAN IWS1-LIKE LIKE STAPHYLOCOCCUS HAEMOLYTICUS AED ALL3_AEDAE PRECURSOR NEUROSPORA CRASSA OR74A TRYPANOSOMA CRUZI STRAIN CL BRENER </t>
  </si>
  <si>
    <t>gi|94468432</t>
  </si>
  <si>
    <t xml:space="preserve">SECRETED SECOND FAMILY MEMBER AEDES AEGYPTI CONSERVED HYPOTHETICAL ALBOPICTUS SALIVARY 275 HISTIDINE KINASE HAMP REGION BACTERIAL CHEMOTAXIS SENSORY TRANSDUCER SHEWANELLA PUTREFACIENS CN-32 CONDENSIN SUBUNIT THEILERIA ANNULATA STRAIN ANKARA PARVA MUGUGA SIMILAR TO LREO_3 DANIO RERIO ZN-FINGER CCHC TYPE RNA-DIRECTED DNA POLYMERASE INTEGRASE CATALYTIC DOMAIN CONTAINING ZN FINGER RNA DIRECTED METHANOSARCINA BARKERI STR. FUSARO MBAR_A0178 MLCK MUS MUSCULUS OPIOID GROWTH FACTOR RECEPTOR-LIKE 1 RECEPTOR LIKE AGR139CP ASHBYA GOSSYPII ATCC EREMOTHECIUM ISOFORM APIS MELLIFERA 2 TETRAHYMENA THERMOPHILA </t>
  </si>
  <si>
    <t xml:space="preserve">SALIVARY CULEX PIPIENS QUINQUEFASCIATUS AEDES ALBOPICTUS SECRETED AEGYPTI CONSERVED HYPOTHETICAL TETRAHYMENA THERMOPHILA GLYCYL-TRNA SYNTHETASE ALPHA CHAIN EC LACTOCOCCUS LACTIS SUBSP. SUBUNIT Q9CGK1 SYGA_LACLA GLYCINE--TRNA LIGASE GLYRS GLYCYL TRNA GLYCINE -TRNA SIMILAR TO PRE-MRNA PROCESSING SPLICING FACTOR 8 PRP8 HOMOLOG 220 KDA U5 SNRNP-SPECIFIC P220 STRONGYLOCENTROTUS PURPURATUS PRE MRNA SNRNP SPECIFIC </t>
  </si>
  <si>
    <t>gi|108869754</t>
  </si>
  <si>
    <t xml:space="preserve">HEXAMERIN 2 BETA AEDES AEGYPTI ANOPHELES GAMBIAE STR. PEST ALPHA ARYLPHORIN CALLIPHORA VICINA LARVAL SERUM 1 SUBUNIT DROSOPHILA MELANOGASTER CG4178-PA LSP1B_DROME CHAIN PRECURSOR LSP1BETA BUZZATII ARY1_CALVI A4 CLONE BLUEBOTTLE FLY L1 MUSCA DOMESTICA CG2559-PA LSP1A_DROME ARY2_CALVI C223 HEXA_BLADI ADULT-SPECIFIC ADULT SPECIFIC </t>
  </si>
  <si>
    <t>gi|111218572</t>
  </si>
  <si>
    <t>Dictyostelium discoideum AX4</t>
  </si>
  <si>
    <t xml:space="preserve">FINGER-CONTAINING DICTYOSTELIUM DISCOIDEUM AX4 FINGER CONTAINING HYPOTHETICAL RATTUS NORVEGICUS CAENORHABDITIS ELEGANS UNNAMED PRODUCT TETRAODON NIGROVIRIDIS SIMILAR TO RNA BINDING MOTIF 25 ISOFORM 13 BOS TAURUS 12 STRONGYLOCENTROTUS PURPURATUS CYCLOPHILIN-RNA INTERACTING PARAMECIUM TETRAURELIA CYCLOPHILIN PLASMODIUM FALCIPARUM 3D7 HYDROXYPROLINE-RICH GLYCOPROTEIN DZ-HRGP PRECURSOR CRYPTOSPORIDIUM HOMINIS HYDROXYPROLINE RICH DZ HRGP DDBDRAFT_0168592 TETRAURELIA. EC PEPTIDYL-PROLYL CIS- TRANS ISOMERASE PPIASE ROTAMASE PEPTIDYL PROLYL CIS RIKEN CDNA B APIS MELLIFERA MACACA MULATTA MYOSIN REGULATORY LIGHT CHAIN MUSCULUS </t>
  </si>
  <si>
    <t>gi|109731357</t>
  </si>
  <si>
    <t xml:space="preserve">PHOSPHOINOSITIDE-3-KINASE CLASS 2 ALPHA POLYPEPTIDE HOMO SAPIENS PHOSPHOINOSITIDE 3-KINASE KINASE P3C2A_HUMAN PHOSPHATIDYLINOSITOL-4-PHOSPHATE DOMAIN-CONTAINING 3-KINASE-C2-ALPHA PTDINS-3-KINASE PI3K-C2ALPHA PHOSPHATIDYLINOSITOL 4-PHOSPHATE PHOSPHATE DOMAIN CONTAINING KINASE-C2-ALPHA C2-ALPHA PTDINS PI3K C2ALPHA HYPOTHETICAL PONGO PYGMAEUS Q5RAY1 P3C2A_PONPY 3 N-FORMYLGLUTAMATE AMIDOHYDROLASE PSEUDOMONAS FLUORESCENS PFO-1 FORMYLGLUTAMATE PFO 1 </t>
  </si>
  <si>
    <t>gi|94468510</t>
  </si>
  <si>
    <t xml:space="preserve">RIBOSOMAL S12 AEDES AEGYPTI ANOPHELES GAMBIAE STR. PEST ISOFORM C DROSOPHILA MELANOGASTER SIMILAR TO RPS12 YAKUBA RS12_DROME S12.E CYTOSOLIC FRUIT FLY FRAGMENT PSEUDOOBSCURA BOMBYX MORI S21 PLUTELLA XYLOSTELLA SPODOPTERA FRUGIPERDA PERIPLANETA AMERICANA 40S APIS MELLIFERA LYSIPHLEBUS TESTACEIPES TRIBOLIUM CASTANEUM DERMACENTOR VARIABILIS S12E HISTER SP. DANIO RERIO IXODES SCAPULARIS 3 MACACA MULATTA XENOPUS LAEVIS MUS MUSCULUS TROPICALIS RPS12-PROV HOMO SAPIENS RATTUS NORVEGICUS PAN TROGLODYTES UNNAMED PRODUCT TETRAODON NIGROVIRIDIS GALLUS RS12_CHICK 5 CANIS FAMILIARIS OREOCHROMIS NILOTICUS RS12_ORENI </t>
  </si>
  <si>
    <t>gi|30175857</t>
  </si>
  <si>
    <t xml:space="preserve">ANOPHELES GAMBIAE STR. PEST RIBOSOMAL S13 AEDES AEGYPTI RS13_ANOGA SIMILAR TO DROSOPHILA MELANOGASTER RPS13 YAKUBA RS13_MUSDO 9690 MUSCA DOMESTICA ISOFORM B RS13_DROME S17 PSEUDOOBSCURA BOMBYX MORI CHORISTONEURA PARALLELA Q8MUR2 RS13_CHOPR SPODOPTERA FRUGIPERDA RS13_SPOFR TIMARCHA BALEARICA S13E GEORISSUS SP. CURCULIO GLANDIUM BRANCHIOSTOMA BELCHERI RIBSOMAL PAPILIO DARDANUS PLUTELLA XYLOSTELLA RS13_PLUXY TRIBOLIUM CASTANEUM CARABUS GRANULATUS SPHAERIUS AGRIOTES LINEATUS DIAPHORINA CITRI CIONA INTESTINALIS RS13_CIOIN CRICETULUS GRISEUS Q9WVH0 RS13_CRIGR </t>
  </si>
  <si>
    <t xml:space="preserve">RIBOSOMAL S27 AEDES ALBOPICTUS AEGYPTI ANOPHELES GAMBIAE STR. PEST DIAPHORINA CITRI CRASSOSTREA GIGAS 1 ASPERGILLUS NIDULANS FGSC A4 RS27_XENLA SIMILAR TO MACACA MULATTA FUMIGATUS TERREUS 40S GALLUS COCCIDIOIDES IMMITIS RS ICTALURUS PUNCTATUS DANIO RERIO ISOFORM 2 IXODES SCAPULARIS ONCORHYNCHUS MYKISS HYPOTHETICAL RPS27-PROV XENOPUS LAEVIS HOMOLOGUE RPS27 S27-LIKE TAURUS RS27L_BOVIN MUSCULUS RATTUS NORVEGICUS SAPIENS UNNAMED PRODUCT Q6ZWY3 RS27L_MOUSE RS27L_HUMAN RS27L_RAT HOMO METALLOPANSTIMULIN 3 BOS CANIS FAMILIARIS RS27_HUMAN METALLOPAN-STIMULIN MPS-1 Q2KHT7 RS27_BOVIN DROSOPHILA MELANOGASTER YAKUBA PSEUDOOBSCURA PA TETRAODON NIGROVIRIDIS PLATICHTHYS FLESUS TROGLODYTES LIKE </t>
  </si>
  <si>
    <t xml:space="preserve">RIBOSOMAL S3 AEDES ALBOPICTUS AEGYPTI ANOPHELES GAMBIAE STR. PEST CARABUS GRANULATUS SIMILAR TO 40S TRIBOLIUM CASTANEUM S3E SCARABAEUS LATICOLLIS MYCETOPHAGUS QUADRIPUSTULATUS DROSOPHILA VIRILIS PSEUDOOBSCURA MELANOGASTER CG6779-PA RS3_DROME ENDONUCLEASE DNA REPAIR DIAPHORINA CITRI XENOPUS LAEVIS S1 RS32_XENLA S1A RS31_XENLA UNNAMED PRODUCT MUS MUSCULUS MERIONES UNGUICULATUS RATTUS NORVEGICUS ISOFORM 1 CANIS FAMILIARIS R3RT3 CYTOSOLIC VALIDATED RAT 7 6 </t>
  </si>
  <si>
    <t xml:space="preserve">RIBOSOMAL S6 AEDES ALBOPICTUS RS6_AEDAL 40S AEGYPTI RS6_AEDAE ANOPHELES STEPHENSI GAMBIAE STR. PEST CULICOIDES SONORENSIS S6E CARABUS GRANULATUS BOMBYX MORI DROSOPHILA PSEUDOOBSCURA ISOFORM A MELANOGASTER C B RS6_DROME GLOSSINA MORSITANS SIMILAR TO TRIBOLIUM CASTANEUM RS6_MANSE SPODOPTERA FRUGIPERDA RS6_SPOFR TELMATOSCOPUS SP. APIS MELLIFERA BOS TAURUS S6-LIKE RS6_BOVIN LIKE LYSIPHLEBUS TESTACEIPES SUBERITES DOMUNCULA </t>
  </si>
  <si>
    <t xml:space="preserve">RIBOSOMAL AEDES AEGYPTI CULEX PIPIENS QUINQUEFASCIATUS RS7_CULQU 40S S7 TIMARCHA BALEARICA SIMILAR TO CG1883-PA ISOFORM A TRIBOLIUM CASTANEUM BOMBYX MORI CARABUS GRANULATUS RIBSOMAL S7E PAPILIO DARDANUS PLUTELLA XYLOSTELLA GALLERIA MELLONELLA MANDUCA SEXTA RS7_MANSE SPODOPTERA FRUGIPERDA RS7_SPOFR ANOPHELES DIRUS CG1883-PD D DROSOPHILA MELANOGASTER CG1883-PC RS7_DROME YAKUBA RS7_DROYA PSEUDOOBSCURA GAMBIAE STR. PEST RS7_ANOGA STEPHENSI DIAPHORINA CITRI APIS MELLIFERA LYSIPHLEBUS TESTACEIPES GRAPHOCEPHALA ATROPUNCTATA SPHAERIUS SP. </t>
  </si>
  <si>
    <t xml:space="preserve">RIBOSOMAL P0 AEDES ALBOPICTUS AEGYPTI ACIDIC SIMILAR TO 60S DNA- APURINIC OR APYRIMIDINIC SITE LYASE APURINIC-APYRIMIDINIC ENDONUCLEASE ISOFORM 3 TRIBOLIUM CASTANEUM 2 DNA ANOPHELES GAMBIAE STR. PEST BIPHYLLUS LUNATUS SARCOPHAGA CRASSIPALPIS RLA0_CERCA CCP0 CERATITIS CAPITATA SPODOPTERA FRUGIPERDA BOMBYX MORI TIMARCHA BALEARICA 1 APIS MELLIFERA DROSOPHILA PSEUDOOBSCURA CG7490-PA MELANOGASTER LP0 RLA0_DROME REPAIR DIAPHORINA CITRI DASCILLUS CERVINUS IXODES SCAPULARIS LARGE SUBUNIT PLATYNEREIS DUMERILII UNNAMED PRODUCT TETRAODON NIGROVIRIDIS HYPOTHETICAL CAENORHABDITIS ELEGANS RLA0_CAEEL BRIGGSAE PROTEIN-LIKE WUCHERERIA BANCROFTI LIKE TOXOPTERA CITRICIDA P0-LIKE SPARUS AURATA </t>
  </si>
  <si>
    <t>gi|94468462</t>
  </si>
  <si>
    <t xml:space="preserve">ACIDIC RIBOSOMAL P1 AEDES AEGYPTI BOMBYX MORI 7 LONOMIA OBLIQUA SPODOPTERA FRUGIPERDA PLUTELLA XYLOSTELLA CERATITIS CAPITATA CG4087-PA DROSOPHILA MELANOGASTER LP1 RPA2 RLA1_DROME 60S RP21C SIMILAR TO RPP2 YAKUBA UNNAMED PRODUCT LYSIPHLEBUS TESTACEIPES TRIBOLIUM CASTANEUM PSEUDOOBSCURA DIAPHORINA CITRI RLA1_ARTSA EL12' EL12'-P ARTEMIA SP. BIOMPHALARIA GLABRATA CHAETOMIUM GLOBOSUM CBS MELLIFERA EL12'P BRANCHIOSTOMA BELCHERI 1 CAENORHABDITIS ELEGANS FAMILY MEMBER RPA-1 RLA1_CAEEL RPA HYPOTHETICAL XENOPUS TROPICALIS LARGE BRIGGSAE </t>
  </si>
  <si>
    <t xml:space="preserve">ANOPHELES GAMBIAE STR. PEST RL15_ANOGA RIBOSOMAL L15 RL10 RL15_CHITE YL10 7117 HOMOLOGUE CHIRONOMUS TENTANS SIMILAR TO DROSOPHILA MELANOGASTER RPL15 YAKUBA RL15_DROME LARGE SUBUNIT 15 VIRILIS L15E DASCILLUS CERVINUS 60S APIS MELLIFERA BOMBYX MORI TRIBOLIUM CASTANEUM PLUTELLA XYLOSTELLA GEORISSUS SP. TIMARCHA BALEARICA MELADEMA CORIACEA LYSIPHLEBUS TESTACEIPES MYCETOPHAGUS QUADRIPUSTULATUS SPODOPTERA FRUGIPERDA AEDES AEGYPTI DIAPHORINA CITRI IXODES SCAPULARIS PLATYSTOMOS ALBINUS CURCULIO GLANDIUM RPL15-PROV XENOPUS LAEVIS UNKNOWN FOR MGC TROPICALIS ICTALURUS PUNCTATUS RL15_ICTPU </t>
  </si>
  <si>
    <t>gi|94468808</t>
  </si>
  <si>
    <t xml:space="preserve">RIBOSOMAL L19 AEDES AEGYPTI ANOPHELES GAMBIAE STR. PEST L19E CARABUS GRANULATUS SIMILAR TO CG2746-PA ISOFORM A TRIBOLIUM CASTANEUM DROSOPHILA MELANOGASTER BOMBYX MORI BIPHYLLUS LUNATUS MELADEMA CORIACEA PSEUDOOBSCURA CG2746-PB RL19_DROME CICINDELA CAMPESTRIS GRAPHOCEPHALA ATROPUNCTATA LONOMIA OBLIQUA APIS MELLIFERA RPL19 YAKUBA LYSIPHLEBUS TESTACEIPES ARGOPECTEN IRRADIANS ICTALURUS PUNCTATUS RL19_ICTPU DIAPHORINA CITRI IXODES SCAPULARIS CRASSOSTREA GIGAS </t>
  </si>
  <si>
    <t>gi|94468488</t>
  </si>
  <si>
    <t xml:space="preserve">RIBOSOMAL L21 AEDES AEGYPTI ANOPHELES GAMBIAE STR. PEST CULICOIDES SONORENSIS SIMILAR TO MELLIFERA 6 LONOMIA OBLIQUA DROSOPHILA MELANOGASTER L21E SPHAERIUS SP. BOMBYX MORI YAKUBA HELICOVERPA ZEA PSEUDOOBSCURA SPODOPTERA FRUGIPERDA LYSIPHLEBUS TESTACEIPES PLUTELLA XYLOSTELLA TRIBOLIUM CASTANEUM MACACA MULATTA SJCHGC00639 SCHISTOSOMA JAPONICUM ISOFORM 1 HOMO SAPIENS MUS MUSCULUS RATTUS NORVEGICUS 2 60S TROGLODYTES CHINCHILLA LANIGERA RL21_CHILA CANIS FAMILIARIS </t>
  </si>
  <si>
    <t xml:space="preserve">RIBOSOMAL L23A AEDES ALBOPICTUS ANOPHELES STEPHENSI GAMBIAE STR. PEST DROSOPHILA PSEUDOOBSCURA SIMILAR TO MELANOGASTER RPL23A YAKUBA CG7977-PA NATURAL VARIANT ISOFORM 3 TRIBOLIUM CASTANEUM 2 1 L23AE CICINDELA CAMPESTRIS GEORISSUS SP. BOMBYX MORI MELLIFERA ARGOPECTEN IRRADIANS 60S GALLUS XENOPUS TROPICALIS LAEVIS MUSCULUS RATTUS NORVEGICUS BOS TAURUS HYPOTHETICAL SAPIENS 4 </t>
  </si>
  <si>
    <t>gi|94469276</t>
  </si>
  <si>
    <t xml:space="preserve">RIBOSOMAL L4 AEDES AEGYPTI ANOPHELES GAMBIAE STR. PEST LYSIPHLEBUS TESTACEIPES L4E EUCINETUS SP. SIMILAR TO CG5502-PA ISOFORM 1 APIS MELLIFERA BOMBYX MORI HYPOTHETICAL STRONGYLOCENTROTUS PURPURATUS DROSOPHILA MELANOGASTER RPL1 YAKUBA 23 LONOMIA OBLIQUA RL4_DROME 60S PSEUDOOBSCURA SERINE THREONINE-PROTEIN KINASE PRP4K 9 BOS TAURUS THREONINE ERYTHROCYTE BINDING 3 PLASMODIUM FALCIPARUM 2 MAEBL 3D7 CHIMERIC ERYTHROCYTE-BINDING COLICIN IMPORT MEMBRANE LEGIONELLA PNEUMOPHILA SUBSP. PHILADELPHIA PARIS LENS RATTUS NORVEGICUS 14 CANIS FAMILIARIS YOELII 17XNL UNNAMED PRODUCT LYTECHINUS PICTUS H1_LYTPI LATE HISTONE H1 DDBDRAFT_0191040 DICTYOSTELIUM DISCOIDEUM AX4 </t>
  </si>
  <si>
    <t xml:space="preserve">RIBOSOMAL L27A AEDES ALBOPICTUS AEGYPTI ANOPHELES GAMBIAE STR. PEST PLATICHTHYS FLESUS SPODOPTERA FRUGIPERDA BOMBYX MORI EPINEPHELUS COIOIDES L22 SPARUS AURATA OR ONCORHYNCHUS MYKISS UNNAMED PRODUCT TETRAODON NIGROVIRIDIS XENOPUS LAEVIS RL27A_XENLA RPL27A-PROV RPL27A DANIO RERIO HYPOTHETICAL HOMO SAPIENS PONGO PYGMAEUS RL27A_HUMAN Q5REY2 RL27A_PONPY UNKNOWN FOR IMAGE SIMILAR TO 60S TRIBOLIUM CASTANEUM SUBERITES DOMUNCULA L27 PHYTOPHTHORA INFESTANS PECTINARIA GOULDII ARGOPECTEN IRRADIANS BRANCHIOSTOMA BELCHERI TSINGTAUNESE PAN TROGLODYTES RL27A_PANTR L27AE GEORISSUS SP. GRAPHOCEPHALA ATROPUNCTATA </t>
  </si>
  <si>
    <t>gi|94468574</t>
  </si>
  <si>
    <t xml:space="preserve">RIBOSOMAL L28 AEDES AEGYPTI ANOPHELES GAMBIAE STR. PEST LYSIPHLEBUS TESTACEIPES PLUTELLA XYLOSTELLA SPODOPTERA FRUGIPERDA RL28_SPOFR DROSOPHILA MELANOGASTER ISOFORM D Q9VZS5 RL28_DROME SIMILAR TO 60S TRIBOLIUM CASTANEUM APIS MELLIFERA PSEUDOOBSCURA YAKUBA BOMBYX MORI L28E EUCINETUS SP. MELADEMA CORIACEA 30 LONOMIA OBLIQUA CARABUS GRANULATUS HALIOTIS ASININA ICTALURUS PUNCTATUS SUBERITES DOMUNCULA XENOPUS TROPICALIS LAEVIS UNKNOWN FOR MGC UNNAMED PRODUCT RATTUS NORVEGICUS RL28_RAT HYPOTHETICAL GALLUS HIPPOCAMPUS COMES </t>
  </si>
  <si>
    <t>gi|94468888</t>
  </si>
  <si>
    <t xml:space="preserve">RIBOSOMAL L32 AEDES AEGYPTI ANOPHELES GAMBIAE STR. PEST CG7939-PC ISOFORM C DROSOPHILA MELANOGASTER CG7939-PA A CG7939-PB SIMILAR TO RPL32 YAKUBA 49 RL32_DROME RL32_DROYA RL32_DROSI SIMULANS PERSIMILIS MIRANDA AZTECA AFFINIS PSEUDOOBSCURA RL32_DROPS RL32_DROPE RL32_DROAZ RL32_DROMI RL32_DROAI MADEIRENSIS GUANCHE BIFASCIATA SUBOBSCURA RL32_DROAC SPODOPTERA FRUGIPERDA RL32_SPOFR BOMBYX MORI ATHALIA ROSAE L32E DASCILLUS CERVINUS PLUTELLA XYLOSTELLA BRANCHIOSTOMA BELCHERI TSINGTAUNESE B LYSIPHLEBUS TESTACEIPES SPHAERIUS SP. SUCINEA STURTEVANTI TRIBOLIUM CASTANEUM POLYPEDILUM VANDERPLANKI 60S GALLUS MUS MUSCULUS HISTER SAPIENS RATTUS NORVEGICUS PAN TROGLODYTES 2 MACACA MULATTA SCROFA CANIS FAMILIARIS FASCICULARIS UNNAMED PRODUCT </t>
  </si>
  <si>
    <t>gi|94468500</t>
  </si>
  <si>
    <t xml:space="preserve">RIBOSOMAL L35 AEDES AEGYPTI ANOPHELES GAMBIAE STR. PEST CG4111-LIKE DROSOPHILA MIRANDA PSEUDOOBSCURA MELANOGASTER CG4111-PA ISOFORM A CG4111-PB SIMILAR TO B APIS MELLIFERA ADR095WP ASHBYA GOSSYPII ATCC EREMOTHECIUM </t>
  </si>
  <si>
    <t>gi|94468922</t>
  </si>
  <si>
    <t xml:space="preserve">RIBOSOMAL L36 AEDES AEGYPTI ANOPHELES GAMBIAE STR. PEST CULICOIDES SONORENSIS DROSOPHILA PSEUDOOBSCURA SIMILAR TO MELANOGASTER RPL36 YAKUBA CG7622-PC ISOFORM C CG7622-PB CG7622-PD CG7622-PA RL36_DROME MINUTE 1 1B L36E TIMARCHA BALEARICA CICINDELA LITTORALIS AGRIOTES LINEATUS 60S TRIBOLIUM CASTANEUM BOMBYX MORI L36A PLUTELLA XYLOSTELLA BIPHYLLUS LUNATUS APIS MELLIFERA LYSIPHLEBUS TESTACEIPES SPODOPTERA FRUGIPERDA MUS MUSCULUS HOMO SAPIENS PAN TROGLODYTES RATTUS NORVEGICUS UNNAMED PRODUCT HYPOTHETICAL PONGO PYGMAEUS SYNTHETIC CONSTRUCT RL36_HUMAN Q5RAZ9 RL36_PONPY UNKNOWN FOR MGC TAURUS RL36_BOVIN </t>
  </si>
  <si>
    <t xml:space="preserve">RIBOSOMAL L37 AEDES AEGYPTI ANOPHELES GAMBIAE STR. PEST CG9091-PA DROSOPHILA MELANOGASTER L37A Q9VXX8 RL371_DROME PROBABLE 60S L37-A SIMILAR TO YAKUBA L37E BIPHYLLUS LUNATUS PSEUDOOBSCURA BOMBYX MORI TRIBOLIUM CASTANEUM A SPHAERIUS SP. PLUTELLA XYLOSTELLA TIMARCHA BALEARICA SPODOPTERA FRUGIPERDA RL37_SPOFR MELLIFERA LYSIPHLEBUS TESTACEIPES 12 LONOMIA OBLIQUA DANIO RERIO RPL37 ICTALURUS PUNCTATUS RL37_ICTPU IXODES PACIFICUS SCAPULARIS CANIS FAMILIARIS MACACA MULATTA PAGRUS MAJOR HOMO SAPIENS MUSCULUS RATTUS NORVEGICUS PAN TROGLODYTES ISOFORM 5 TAENIOPYGIA GUTTATA GALLUS UNNAMED PRODUCT MUS </t>
  </si>
  <si>
    <t>gi|94468816</t>
  </si>
  <si>
    <t xml:space="preserve">RIBOSOMAL L7AE AEDES AEGYPTI L7A ANOPHELES GAMBIAE STR. PEST RL7A_ANOGA 60S RPL7A XENOPUS TROPICALIS LAEVIS UNKNOWN FOR MGC BOMBYX MORI DROSOPHILA PSEUDOOBSCURA RATTUS NORVEGICUS HYPOTHETICAL SIMILAR TO APIS MELLIFERA CARABUS GRANULATUS MELANOGASTER CG3314-PA ISOFORM A CG3314-PD CG3314-PC YAKUBA RL7A_DROME CURCULIO GLANDIUM CICINDELA LITTORALIS LYSIPHLEBUS TESTACEIPES MUS MUSCULUS SURFEIT LOCUS 3 1 </t>
  </si>
  <si>
    <t>gi|94468498</t>
  </si>
  <si>
    <t xml:space="preserve">ACIDIC RIBOSOMAL P2 AEDES AEGYPTI ANOPHELES GAMBIAE STR. PEST P2-LIKE CULICOIDES SONORENSIS LIKE SPODOPTERA FRUGIPERDA RLA2_BRAFL 60S BRANCHIOSTOMA FLORIDAE CERATITIS CAPITATA SIMILAR TO RPA1 TRIBOLIUM CASTANEUM ISOFORM A LYSIPHLEBUS TESTACEIPES CRYPTOCOCCUS NEOFORMANS VAR. JEC21 HYPOTHETICAL PLUTELLA XYLOSTELLA BELCHERI DROSOPHILA MELANOGASTER RPP1 YAKUBA B LARGE IXODES PACIFICUS LP2 SCAPULARIS DANIO RERIO CG4918-PA CG4918-PB RLA2_DROME 8480 R-PROTEIN BOMBYX MORI DIAPHORINA CITRI UNNAMED PRODUCT KLUYVEROMYCES LACTIS APIS MELLIFERA RLA2_ARTSA EL12 FUNGUS CLADOSPORIUM HERBARUM </t>
  </si>
  <si>
    <t xml:space="preserve">RIBOSOMAL ANOPHELES GAMBIAE STR. PEST S29 AEDES AEGYPTI RIBSOMAL CULEX PIPIENS QUINQUEFASCIATUS RS29_CULQU CG8495-PC ISOFORM C DROSOPHILA MELANOGASTER PLUTELLA XYLOSTELLA CG8495-PA A SIMILAR TO YAKUBA RS29_DROME S29E SCARABAEUS LATICOLLIS BOMBYX MORI 8 LONOMIA OBLIQUA APIS MELLIFERA SPHAERIUS SP. TRIBOLIUM CASTANEUM SPODOPTERA FRUGIPERDA Q8WQI3 RS29_SPOFR B LYSIPHLEBUS TESTACEIPES DANIO RERIO ICTALURUS PUNCTATUS UNKNOWN FOR MGC XENOPUS LAEVIS HIPPOCAMPUS COMES RS29_ICTPU Q6UZG0 RS29_HIPCM UNNAMED PRODUCT TETRAODON NIGROVIRIDIS MUS MUSCULUS TROPICALIS RATTUS NORVEGICUS SAPIENS 40S MACACA MULATTA 1 CANIS FAMILIARIS HYPOTHETICAL PONGO PYGMAEUS SUS SCROFA Q6QAP6 RS29_PIG TIMARCHA BALEARICA SYNTHETIC CONSTRUCT BRANCHIOSTOMA BELCHERI TSINGTAUNESE CURCULIO GLANDIUM </t>
  </si>
  <si>
    <t xml:space="preserve">ELONGATION FACTOR 1 BETA AEDES AEGYPTI 1-BETA2 BETA2 ANOPHELES GAMBIAE STR. PEST DROSOPHILA MELANOGASTER EF1B_DROME PROBABLE 1-BETA EF-1-BETA CG6341-PA BETA' BOMBYX MORI EF1B2_BOMMO 1-BETA' PLUTELLA XYLOSTELLA SIMILAR TO EF1BETA YAKUBA EUKARYOTIC TRANSLATION 2 DANIO RERIO TRIBOLIUM CASTANEUM XENOPUS LAEVIS ELOGATION EF1B_XENLA P30 TROPICALIS Q6DET9 EF1B_XENTR HOMO SAPIENS EEF1B2 UNKNOWN SYNTHETIC CONSTRUCT EF1B_HUMAN FACTOR-1-BETA HYPOTHETICAL GALLUS ISOFORM 4 CANIS FAMILIARIS MACACA MULATTA DIAPHORINA CITRI UNNAMED PRODUCT TETRAODON NIGROVIRIDIS Q9YGQ1 EF1B_CHICK 2-LIKE BOS TAURUS LIKE </t>
  </si>
  <si>
    <t xml:space="preserve">PROBABLE SALIVARY MALTASE PRECURSOR AEDES ALBOPICTUS MALT_AEDAE ALPHA-1 4-GLUCOSIDASE ALPHA 1 ANOPHELES GAMBIAE STR. PEST CULICOIDES SONORENSIS MAL1_DROVI DROSOPHILA VIRILIS MELANOGASTER PSEUDOOBSCURA CG8695-PA MAL3_DROME POSSIBLE L LARVAL VISCERAL CG8693-PA CG8696-PA MAL2_DROME H MALTASE-LIKE AGM1 LIKE ISOFORM A B ALPHA-GLUCOSIDASE APIS MELLIFERA MAL1_APIME GLUCOSIDASE PREDICTED SIMILAR TO </t>
  </si>
  <si>
    <t>alpha-glucosidase activity</t>
  </si>
  <si>
    <t>alpha-glucosidase activity||glucosidase activity||hydrolase activity\, hydrolyzing O-glycosyl compounds||hydrolase activity\, acting on glycosyl bonds||hydrolase activity||catalytic activity</t>
  </si>
  <si>
    <t>catalytic activity</t>
  </si>
  <si>
    <t>hydrolase activity</t>
  </si>
  <si>
    <t>GO:0004558</t>
  </si>
  <si>
    <t>Carbohydrate transport and metabolism]</t>
  </si>
  <si>
    <t>Alpha-amylase 4e-006| Aamy 0.008| XthA | COG0724 | ProX | HflC | COG3899 |</t>
  </si>
  <si>
    <t>Drosophila melanogaster</t>
  </si>
  <si>
    <t xml:space="preserve">CG4013-PC ISOFORM C DROSOPHILA MELANOGASTER CG4013-PB CG4013-PA DOMAIN SMRTER SUPER CYSTEINE RICH SCRP HOMO SAPIENS CTG26 ALTERNATE OPEN READING FRAME HYPOTHETICAL CANDIDA ALBICANS DICTYOSTELIUM DISCOIDEUM INTERACTING PREDICTED SIMILAR TO CADHERIN-11 PRECURSOR OSTEOBLAST-CADHERIN OB-CADHERIN OSF-4 7 MUS MUSCULUS CADHERIN 11 OSTEOBLAST OB OSF 4 SHAVENBABY OVO-1028AA OVO BEIGE HOMOLOG B D BEACH CG6824-PA A CG6824-PB OVO_DROME SHAVEN BABY CG6824-PC CG6824-PD HUNCHBACK APIS MELLIFERA </t>
  </si>
  <si>
    <t>Smrter - transcription corepressor activity - polytene chromosome - protein binding - negative regulation of transcription, DNA-dependent</t>
  </si>
  <si>
    <t>transcription corepressor activity||transcription cofactor activity||transcription regulator activity</t>
  </si>
  <si>
    <t>transcription regulator activity</t>
  </si>
  <si>
    <t>transcription cofactor activity</t>
  </si>
  <si>
    <t>GO:0003714</t>
  </si>
  <si>
    <t>MSSP 2e-004| TAF61 4e-004| Prox1 7e-004| SSDP 0.003| Androgen_recep 0.003| Keratin_B2 0.009| LITAF 0.013| Atrophin-1 0.017| FliK 0.024| TolA 0.033|</t>
  </si>
  <si>
    <t>gi|38350641</t>
  </si>
  <si>
    <t>Culex pipiens quinquefasciatus</t>
  </si>
  <si>
    <t xml:space="preserve">HYPOTHETICAL AAEL_AAEL004353 AEDES AEGYPTI SIMILAR TO TOUSLED-LIKE KINASE 2 RATTUS NORVEGICUS TOUSLED LIKE SERINE ARGININE REPETITIVE MATRIX 1 GALLUS Q5ZMJ9 SRRM1_CHICK AMIDOHYDROLASE 3 ACIDOBACTERIA BACTERIUM ELLIN345 SYNECHOCOCCUS SP. JA-3-3AB CONSERVED JA 3-3AB BIOTIN--ACETYL-COA-CARBOXYLASE LIGASE OCEANICOLA BATSENSIS BIOTIN -ACETYL-COA-CARBOXYLASE ACETYL-COA-CARBOXYLASE ACETYL COA-CARBOXYLASE COA CARBOXYLASE UNKNOWN ORYZA SATIVA JAPONICA CULTIVAR-GROUP CULTIVAR GROUP EXODEOXYRIBONUCLEASE V BETA SUBUNIT BURKHOLDERIA VIETNAMIENSIS G4 GIARDIA LAMBLIA ATCC TRANSCRIPTION FACTOR FAMILY CYTOCHROME C CLASS I 383 ASPERGILLUS TERREUS MAGNAPORTHE GRISEA SILICIBACTER POMEROYI DSS-3 NEUROSPORA CRASSA OR74A POTASSIUM CHANNEL TETRAMERISATION DOMAIN CONTAINING 16 CANIS FAMILIARIS RIBONUCLEASE BN ACIDOVORAX JS42 UNNAMED PRODUCT MUS MUSCULUS B-LIKE ENTAMOEBA HISTOLYTICA B APICAL XENOPUS LAEVIS-LIKE APICAL-LIKE APXL LAEVIS </t>
  </si>
  <si>
    <t>gi|89047143</t>
  </si>
  <si>
    <t xml:space="preserve">SIMILAR TO MYOSIN-5B MYOSIN VB ISOFORM 1 HOMO SAPIENS 5B 5 3 MACACA MULATTA 2 Q9ULV0 MYO5B_HUMAN PARTIAL BOS TAURUS </t>
  </si>
  <si>
    <t>gi|94468830</t>
  </si>
  <si>
    <t xml:space="preserve">RIBOSOMAL L13A AEDES AEGYPTI ATPASE H+ K+ EXCHANGING GASTRIC ALPHA POLYPEPTIDE MUS MUSCULUS TRANSPORTING HYPOTHETICAL HOMO SAPIENS HUMAN H K-ATPASE CATALYTIC SUBUNIT K VARIANT ADENOSINETRIPHOSPHATASE ORYCTOLAGUS CUNICULUS ATP4A_RABIT POTASSIUM-TRANSPORTING CHAIN 1 PROTON PUMP POTASSIUM ATP4A_RAT K+-ATPASE ATP4A_HUMAN -ATPASE SUS SCROFA ATP4A_PIG ATP4A_MOUSE CHANNEL SUBUNIT=GAMMA CANIS FAMILIARIS ATP4A_CANFA SIMILAR TO PAN TROGLODYTES BOS TAURUS RATTUS NORVEGICUS MACACA MULATTA ATHA_HUMAN PARTIAL K+-EXCHANGING EC DOG SUBUNIT=ALPHA ATP4A_XENLA ALPHA-SUBUNIT SUBUNIT=BETA UNKNOWN FOR IMAGE XENOPUS LAEVIS </t>
  </si>
  <si>
    <t>gi|84363233</t>
  </si>
  <si>
    <t>Burkholderia dolosa AUO158</t>
  </si>
  <si>
    <t xml:space="preserve">UNCHARACTERIZED CONSERVED IN BACTERIA BURKHOLDERIA DOLOSA </t>
  </si>
  <si>
    <t>gi|88931703</t>
  </si>
  <si>
    <t xml:space="preserve">SECDF EXPORT MEMBRANE ACIDOTHERMUS CELLULOLYTICUS 11B </t>
  </si>
  <si>
    <t>gi|21226710</t>
  </si>
  <si>
    <t>Methanosarcina mazei Go1</t>
  </si>
  <si>
    <t xml:space="preserve">RADICAL-FORMING METHANOSARCINA MAZEI GO1 RADICAL FORMING </t>
  </si>
  <si>
    <t>gi|66911281</t>
  </si>
  <si>
    <t xml:space="preserve">DANIO RERIO UNKNOWN FOR IMAGE </t>
  </si>
  <si>
    <t xml:space="preserve">DANIO RERIO INTEGRIN BETA-LIKE 1 BETA LIKE HUMAN HERPESVIRUS 6 HYPOTHETICAL UNCULTURED ORGANISM UNKNOWN MUS MUSCULUS MACACA MULATTA PLASMODIUM BERGHEI STRAIN ANKA UNNAMED PRODUCT HOMO SAPIENS SEVEN TRANSMEMBRANE HELIX RECEPTOR TRYPANOSOMA BRUCEI TREU927 UNLIKELY TETRAODON NIGROVIRIDIS RATTUS NORVEGICUS XYLELLA FASTIDIOSA 9A5C FALCIPARUM 3D7 SIMILAR TO ONCOPROTEIN INDUCED TRANSCRIPT SJCHGC03017 SCHISTOSOMA JAPONICUM BACTEROIDES FRAGILIS YCH46 </t>
  </si>
  <si>
    <t xml:space="preserve">HYPOTHETICAL CONSERVED EIMERIA TENELLA GURADRAFT_1187 GEOBACTER URANIUMREDUCENS RF4 YARROWIA LIPOLYTICA UNNAMED PRODUCT CLIB122 Y50E8A.I CAENORHABDITIS ELEGANS AEDES AEGYPTI UNKNOWN CHORISTONEURA FUMIFERANA GRANULOVIRUS MYCOPLASMA SYNOVIAE 53 PLASMODIUM BERGHEI STRAIN ANKA FALCIPARUM 3D7 PB-FAM-2 FAM-2 FAM BRIGGSAE BASES FIRST START CODON AT 2032 1807 2850 CANDIDA ALBICANS MELANOPLUS SANGUINIPES ENTOMOPOXVIRUS DEHYDROGENASE SUBUNIT 2 STRONGYLOIDES STERCORALIS SIMILAR TO CG3759-PA STRONGYLOCENTROTUS PURPURATUS 5 </t>
  </si>
  <si>
    <t>Species of best match</t>
  </si>
  <si>
    <t xml:space="preserve">UNKNOWN SCHISTOSOMA JAPONICUM DROSOPHILA MELANOGASTER HYPOTHETICAL CANDIDA ALBICANS CONSERVED PHAEOSPHAERIA NODORUM SN15 UNNAMED PRODUCT KLUYVEROMYCES LACTIS ORYZA SATIVA JAPONICA CULTIVAR-GROUP CULTIVAR GROUP COCCIDIOIDES IMMITIS RS INTEGRAL MEMBRANE TRANSPORTER HOMO SAPIENS RATTUS NORVEGICUS PARTIAL STRONGYLOCENTROTUS PURPURATUS PLASMODIUM YOELII STR. 17XNL SYP_PYRKO PROLYL-TRNA SYNTHETASE PROLINE--TRNA LIGASE PRORS THERMOCOCCUS KODAKARENSIS KOD1 PROLYL TRNA PROLINE -TRNA BURKHOLDERIA CEPACIA AMMD AMBIFARIA CHAETOMIUM GLOBOSUM CBS </t>
  </si>
  <si>
    <t>gi|108874238</t>
  </si>
  <si>
    <t xml:space="preserve">RIBOSOMAL S30 AEDES AEGYPTI ANOPHELES GAMBIAE STR. PEST UBIQUITIN S30E FUSION PAPILIO DARDANUS HYPOTHETICAL 17 LONOMIA OBLIQUA LYSIPHLEBUS TESTACEIPES CARABUS GRANULATUS BOMBYX MORI SPHAERIUS SP. SIMILAR TO ISOFORM A TRIBOLIUM CASTANEUM DROSOPHILA MELANOGASTER YAKUBA B DASCILLUS CERVINUS HISTER PSEUDOOBSCURA GEORISSUS SCARABAEUS LATICOLLIS SPODOPTERA FRUGIPERDA XENOPUS LAEVIS APIS MELLIFERA HIPPOCAMPUS COMES FINKEL-BISKIS-REILLY MURINE SARCOMA VIRUS FBR-MUSV UBIQUITOUSLY EXPRESSED FOX DERIVED TROPICALIS FINKEL BISKIS-REILLY BISKIS REILLY FBR MUSV VIRUSUBIQUITOUSLY STRONGYLOCENTROTUS PURPURATUS UNKNOWN FOR MGC </t>
  </si>
  <si>
    <t>gi|108872402</t>
  </si>
  <si>
    <t xml:space="preserve">ANNEXIN AEDES AEGYPTI ANOPHELES GAMBIAE STR. PEST CONSERVED HYPOTHETICAL IX B9A DROSOPHILA MELANOGASTER PSEUDOOBSCURA CG5730-PA ISOFORM A ANX9_DROME ANNEXIN-B9 ANNEXIN-9 CG5730-PD D CG5730-PB IX-B MANDUCA SEXTA B CG5730-PC C BOMBYX MORI IX-C </t>
  </si>
  <si>
    <t>gi|94468602</t>
  </si>
  <si>
    <t xml:space="preserve">CATALASE AEDES AEGYPTI 1 ANOPHELES GAMBIAE CG6871-PA DROSOPHILA MELANOGASTER 7690 CATA_DROME PSEUDOOBSCURA APIS MELLIFERA LIGUSTICA LITOPENAEUS VANNAMEI CG9314-PA BOMBYX MORI SIMILAR TO TRIBOLIUM CASTANEUM RATTUS NORVEGICUS CATA_RAT METHYLOBACTERIUM EXTORQUENS INSERTIONAL EXPRESSION VECTOR CLONING ASCARIS SUUM CATA_ASCSU UNNAMED PRODUCT MUS MUSCULUS SUS SCROFA CATA_MOUSE CANIS FAMILIARIS CATA_CANFA </t>
  </si>
  <si>
    <t xml:space="preserve">CYTOPLASMIC SUPEROXIDE DISMUTASE AEDES ALBOPICTUS ANOPHELES GAMBIAE STR. PEST MN AEGYPTI FAMILY MEMBER SOD-2 CAENORHABDITIS ELEGANS MANGANESE PRECURSOR HYPOTHETICAL SODM1_CAEEL MITOCHONDRIAL 2 BRIGGSAE DROSOPHILA PSEUDOOBSCURA CG8905-PA MELANOGASTER SODM_DROME MN-SUPEROXIDE MACROBRACHIUM ROSENBERGII MNSOD CALLINECTES SAPIDUS APIS MELLIFERA LIGUSTICA SIMILAR TO SOD BIOMPHALARIA GLABRATA DANIO RERIO MANGENESE ANGUILLA TRIBOLIUM CASTANEUM LEPEOPHTHEIRUS SALMONIS BOMBYX MORI XENOPUS LAEVIS SJCHGC06054 SCHISTOSOMA JAPONICUM OIKOPLEURA DIOICA UNNAMED PRODUCT TETRAODON NIGROVIRIDIS MUS MUSCULUS </t>
  </si>
  <si>
    <t>gi|108877096</t>
  </si>
  <si>
    <t xml:space="preserve">HYPOTHETICAL ASPERGILLUS NIDULANS FGSC A4 PREDICTED CAENORHABDITIS BRIGGSAE SIMILAR TO MENINGIOMA EXPRESSED ANTIGEN 5 HYALURONIDASE DANIO RERIO NA-CA EXCHANGER INTEGRIN-BETA4 CHLOROFLEXUS AURANTIACUS J-10-FL INTEGRIN BETA4 10-FL SUGAR PHOSPHATE ISOMERASE INVOLVED IN CAPSULE FORMATION MYCOBACTERIUM TUBERCULOSIS C SERINE PROTEASE XYLELLA FASTIDIOSA 9A5C NOVEL MOUSE JEDI SOLUBLE ISOFORM 736 HOMO SAPIENS ALKALILIMNICOLA EHRLICHEI MLHE-1 TROGLODYTES MEGF10 CANIS FAMILIARIS MEMBRANE ROSEOVARIUS NUBINHIBENS ISM HELIX-TURN-HELIX ARAC TYPE KINEOCOCCUS RADIOTOLERANS HELIX TURN-HELIX TURN TEMECULA1 </t>
  </si>
  <si>
    <t>Amino acid transport and metabolism]</t>
  </si>
  <si>
    <t>Calpain_III | Arylsulfotrans | NrdD | COG5282 |</t>
  </si>
  <si>
    <t>Ribosomal_L15e 2e-060| UraA | Xan_ur_permease | Mab-21 | DUF828 | Protamine_P2 |</t>
  </si>
  <si>
    <t xml:space="preserve">DICARBOXYLATE TRANSPORTER- DCTM SUBUNIT THIOMICROSPIRA CRUNOGENA XCL-2 TRANSPORTER XCL 2 PEPTIDE TRANSPORTER-LIKE ORYZA SATIVA JAPONICA CULTIVAR-GROUP LIKE CULTIVAR GROUP HYPOTHETICAL USTILAGO MAYDIS 521 </t>
  </si>
  <si>
    <t>Posttranslational modification, protein turnover, chaperones]</t>
  </si>
  <si>
    <t>RhtB |</t>
  </si>
  <si>
    <t>Mus musculus</t>
  </si>
  <si>
    <t xml:space="preserve">PREDICTED HYPOTHETICAL MUSCULUS </t>
  </si>
  <si>
    <t>Cell cycle control, cell division, chromosome partitioning]</t>
  </si>
  <si>
    <t>PSN | HyaC |</t>
  </si>
  <si>
    <t xml:space="preserve">ANOPHELES GAMBIAE STR. PEST DROSOPHILA MELANOGASTER CG7939-PC ISOFORM C RIBOSOMAL 49 SIMILAR TO RPL32 YAKUBA CG7939-PA A CG7939-PB RL32_DROYA RL32_DROSI RL32_DROME SIMULANS PERSIMILIS MIRANDA AZTECA AFFINIS PSEUDOOBSCURA RL32_DROPE RL32_DROAZ RL32_DROPS RL32_DROMI RL32_DROAI MADEIRENSIS GUANCHE BIFASCIATA SUBOBSCURA RL32_DROAC L32 SPODOPTERA FRUGIPERDA RL32_SPOFR BOMBYX MORI ATHALIA ROSAE L32E DASCILLUS CERVINUS PLUTELLA XYLOSTELLA BRANCHIOSTOMA BELCHERI TSINGTAUNESE B LYSIPHLEBUS TESTACEIPES SPHAERIUS SP. SUCINEA STURTEVANTI PREDICTED 60S GALLUS MUS MUSCULUS HISTER PAN TROGLODYTES SAPIENS RATTUS NORVEGICUS UNNAMED PRODUCT SCROFA 2 CANIS FAMILIARIS SYNTHETIC CONSTRUCT VIRILIS HYPOTHETICAL TAURUS </t>
  </si>
  <si>
    <t>Ribosomal protein L32 - structural constituent of ribosome - cytosolic large ribosomal subunit (sensu Eukaryota) - protein biosynthesis - ribosome</t>
  </si>
  <si>
    <t>Ribosomal_L32e 3e-046| COG3482 | COG4727 |</t>
  </si>
  <si>
    <t>gi|68567389</t>
  </si>
  <si>
    <t>Sulfolobus acidocaldarius DSM 639</t>
  </si>
  <si>
    <t xml:space="preserve">CONSERVED SULFOLOBUS ACIDOCALDARIUS DSM 639 HYPOTHETICAL SACI_0956 </t>
  </si>
  <si>
    <t>Intracellular trafficking, secretion, and vesicular transport]</t>
  </si>
  <si>
    <t xml:space="preserve">ANOPHELES GAMBIAE STR. PEST RIBOSOMAL L19E CARABUS GRANULATUS L19 DROSOPHILA MELANOGASTER BOMBYX MORI BIPHYLLUS LUNATUS MELADEMA CORIACEA PSEUDOOBSCURA CG2746-PB ISOFORM B CG2746-PA RL19_DROME CICINDELA CAMPESTRIS LONOMIA OBLIQUA SIMILAR TO RPL19 YAKUBA LYSIPHLEBUS TESTACEIPES ARGOPECTEN IRRADIANS ICTALURUS PUNCTATUS RL19_ICTPU IXODES SCAPULARIS CRASSOSTREA GIGAS RPL19-PROV XENOPUS LAEVIS Q7ZYS1 RL19_XENLA TROPICALIS MYXINE GLUTINOSA SPHAERIUS SP. DANIO RERIO RL19_BRARE MUS MUSCULUS GALLUS HYPOTHETICAL </t>
  </si>
  <si>
    <t>Ribosomal protein L19 - structural constituent of ribosome - cytosolic large ribosomal subunit (sensu Eukaryota) - protein biosynthesis - ribosome</t>
  </si>
  <si>
    <t>Ribosomal_L19e_E 1e-028| Ribosomal_L19e 1e-017| Ribosomal_L19e 1e-016| Ribosomal_L19e_A 3e-006| AtpF 0.002| ERM 0.002| DUF1168 0.014| V-ATPase_G 0.021| Remorin_C 0.022| COG1340 0.043|</t>
  </si>
  <si>
    <t>gi|39951299</t>
  </si>
  <si>
    <t>Magnaporthe grisea 70-15</t>
  </si>
  <si>
    <t xml:space="preserve">HYPOTHETICAL MAGNAPORTHE GRISEA FLAGELLAR BIOSYNTHETIC FLIR CAMPYLOBACTER COLI </t>
  </si>
  <si>
    <t>Lipid transport and metabolism, Signal transduction mechanisms]</t>
  </si>
  <si>
    <t>Rbn 0.066| COG2194 | NMNAT_Nudix | Ribonuclease_BN |</t>
  </si>
  <si>
    <t xml:space="preserve">SALIVARY ANTIGEN-5 RELATED AG5-1 AEDES ALBOPICTUS ANTIGEN 5 AG5 1 5-RELATED ANOPHELES GAMBIAE PUTATIVE SECRETED AEGYPTI STR. PEST DIRUS B STEPHENSI DARLINGI GVAG PRECURSOR DROSOPHILA MELANOGASTER AG5-4 4 CULICOIDES SONORENSIS PSEUDOOBSCURA </t>
  </si>
  <si>
    <t>extracellular region</t>
  </si>
  <si>
    <t>trypsin inhibitor activity||serine-type endopeptidase inhibitor activity||endopeptidase inhibitor activity||protease inhibitor activity||enzyme inhibitor activity||enzyme regulator activity</t>
  </si>
  <si>
    <t>enzyme regulator activity</t>
  </si>
  <si>
    <t>enzyme inhibitor activity</t>
  </si>
  <si>
    <t>GO:0030304</t>
  </si>
  <si>
    <t>SCP 4e-007| SCP 3e-005| SCP 4e-005| NuoG |</t>
  </si>
  <si>
    <t>gi|6166340</t>
  </si>
  <si>
    <t xml:space="preserve">RIBOSOMAL S6 AEDES ALBOPICTUS RS6_AEDAL 40S AEGYPTI RS6_AEDAE ANOPHELES STEPHENSI GAMBIAE STR. PEST CULICOIDES SONORENSIS S6E CARABUS GRANULATUS BOMBYX MORI DROSOPHILA PSEUDOOBSCURA ISOFORM A MELANOGASTER C B RS6_DROME GLOSSINA MORSITANS RS6_MANSE SPODOPTERA FRUGIPERDA RS6_SPOFR PREDICTED SIMILAR TO MELLIFERA TELMATOSCOPUS SP. BOS TAURUS S6-LIKE LYSIPHLEBUS TESTACEIPES SUBERITES DOMUNCULA MUS MUSCULUS UNNAMED PRODUCT TETRAODON NIGROVIRIDIS </t>
  </si>
  <si>
    <t>40S ribosomal protein S6 - immune response</t>
  </si>
  <si>
    <t>TolA 3e-007| Caldesmon 3e-005| TolA 1e-004| Hc1 2e-004| FucP 3e-004| CoxE 0.001| Utp14 0.003| Menin 0.003| Triadin 0.005| DUF1014 0.005|</t>
  </si>
  <si>
    <t>gi|20159661</t>
  </si>
  <si>
    <t xml:space="preserve">LYSOZYME AEDES ALBOPICTUS PUTATIVE AEGYPTI LYS_HYPCU PRECURSOR 1 4-BETA-N-ACETYLMURAMIDASE BETA-N-ACETYLMURAMIDASE BETA N-ACETYLMURAMIDASE N ACETYLMURAMIDASE LYS_BOMMO BOMBYX MORI 4 CHAIN STRUCTURE C-1 ANOPHELES GAMBIAE LYS_ANOGA SALIVARY STEPHENSI II ARTOGEIA RAPAE HELIOTHIS VIRESCENS PSEUDOPLUSIA INCLUDENS LYS_TRINI TRICHOPLUSIA NI DARLINGI SPODOPTERA EXIGUA AGRIUS CONVOLVULI LYS_GALME 9424 2 HYALOPHORA CECROPIA MANDUCA SEXTA=TOBACCO HORNWORM PEPTIDE PARTIAL 120 AA SEXTA LYS_HYACE ANTHERAEA ASSAMA C-TYPE GLOSSINA MORSITANS C TYPE STR. PEST SAMIA CYNTHIA RICINI </t>
  </si>
  <si>
    <t>Nucleotide transport and metabolism]</t>
  </si>
  <si>
    <t>LYZ1 2e-046| GntT 0.005| DUF895 0.074| zf-CHY | PqiA |</t>
  </si>
  <si>
    <t>Rattus norvegicus</t>
  </si>
  <si>
    <t xml:space="preserve">PREDICTED SIMILAR TO PUTATIVE G-PROTEIN COUPLED RECEPTOR 41 RATTUS NORVEGICUS G </t>
  </si>
  <si>
    <t>gi|56417552</t>
  </si>
  <si>
    <t xml:space="preserve">RIBOSOMAL L27A AEDES ALBOPICTUS ANOPHELES GAMBIAE STR. PEST PLATICHTHYS FLESUS SPODOPTERA FRUGIPERDA BOMBYX MORI EPINEPHELUS COIOIDES L22 OR PUTATIVE SPARUS AURATA ONCORHYNCHUS MYKISS UNNAMED PRODUCT TETRAODON NIGROVIRIDIS XENOPUS LAEVIS RL27A_XENLA RPL27A-PROV RPL27A HYPOTHETICAL DANIO RERIO HOMO SAPIENS PONGO PYGMAEUS RL27A_HUMAN Q5REY2 RL27A_PONPY UNKNOWN FOR IMAGE SUBERITES DOMUNCULA L27 PHYTOPHTHORA INFESTANS PECTINARIA GOULDII ARGOPECTEN IRRADIANS BRANCHIOSTOMA BELCHERI TSINGTAUNESE PAN TROGLODYTES RL27A_PANTR L27AE GEORISSUS SP. MACACA FASCICULARIS PREDICTED SIMILAR TO ISOFORM 2 CANIS FAMILIARIS TAURUS L27A-LIKE </t>
  </si>
  <si>
    <t>60S ribosomal protein L27a - RNA binding - structural constituent of ribosome - cytosolic large ribosomal subunit (sensu Eukaryota) - protein biosynthesis</t>
  </si>
  <si>
    <t>RNA binding||nucleic acid binding||binding</t>
  </si>
  <si>
    <t>GO:0003723</t>
  </si>
  <si>
    <t>L15 0.002| RPL18A | RplO |</t>
  </si>
  <si>
    <t xml:space="preserve">ANOPHELES GAMBIAE STR. PEST HEXAMERIN 2 ALPHA AEDES AEGYPTI ARYLPHORIN CALLIPHORA VICINA LARVAL SERUM 1 BETA SUBUNIT DROSOPHILA MELANOGASTER LSP1BETA BUZZATII A4 ARY1_CALVI PRECURSOR CLONE BLUEBOTTLE FLY L1 MUSCA DOMESTICA CG2559-PA LSP1A_DROME CHAIN ARY2_CALVI C223 HEXA_BLADI ADULT-SPECIFIC ADULT SPECIFIC ALLERGEN PERIPLANETA AMERICANA LSP-2 LSP A ARYLPHORIN-LIKE MERUS LIKE </t>
  </si>
  <si>
    <t>Larval serum protein 1 beta chain precursor - larval serum protein complex</t>
  </si>
  <si>
    <t>nutrient reservoir activity</t>
  </si>
  <si>
    <t>GO:0045735</t>
  </si>
  <si>
    <t>Energy production and conversion, Replication, recombination and repair]</t>
  </si>
  <si>
    <t>Hemocyanin_C 1e-010| COG1444 | IQG1 |</t>
  </si>
  <si>
    <t>Peptidase_C1B |</t>
  </si>
  <si>
    <t xml:space="preserve">ANOPHELES GAMBIAE STR. PEST DEOXYRIBONUCLEASE I MARSUPENAEUS JAPONICUS DUPLEX-SPECIFIC NUCLEASE PARALITHODES CAMTSCHATICUS DUPLEX SPECIFIC SALIVARY PHLEBOTOMUS ARIASI LUTZOMYIA LONGIPALPIS DROSOPHILA MELANOGASTER PSEUDOOBSCURA CG6839-PA TSAL1 PRECURSOR GLOSSINA MORSITANS CG3819-PA TSAL2 CG9989-PA </t>
  </si>
  <si>
    <t>Endonuclease G like 1 - biological_process unknown - endonuclease activity - cellular_component unknown</t>
  </si>
  <si>
    <t xml:space="preserve">Short form of 30 kDa salivary gland allergen 30k-2 </t>
  </si>
  <si>
    <t>putative truncated 56 kDa salivary secreted protein</t>
  </si>
  <si>
    <t xml:space="preserve">GLYOXALASE I PSEUDOALTEROMONAS ATLANTICA T6C ANOPHELES GAMBIAE STR. PEST CG1707-PA DROSOPHILA MELANOGASTER 1 MUS MUSCULUS UNNAMED PRODUCT Q9CPU0 LGUL_MOUSE LACTOYLGLUTATHIONE LYASE METHYLGLYOXALASE ALDOKETOMUTASE GLX KETONE-ALDEHYDE MUTASE S-D-LACTOYLGLUTATHIONE METHYLGLYOXAL KETONE ALDEHYDE S D-LACTOYLGLUTATHIONE D PREDICTED SIMILAR TO MELLIFERA GLYCINE MAX VARIANT HOMO SAPIENS SYNTHETIC CONSTRUCT GLYOXALASE-I LGUL_HUMAN GLYOXASLASE LACTOYL GLUTATHIONE GLYOXYLASE RATTUS NORVEGICUS LGUL_RAT MACACA FASCICULARIS LGUL_MACFA CHAIN HUMAN COMPLEXED WITH S-P- NITROBENZYLOXYCARBONYLGLUTATHIONE N-HYDROXY-N-P- IODOPHENYLCARBAMOYL BENZYL-GLUTATHIONE INHIBITOR HYDROXY-N-P- HYDROXY N-P- BENZYL CICER ARIETINUM LGUL_CICAR CANIS FAMILIARIS Q33E DOUBLE MUTANT AVICENNIA MARINA IDIOMARINA BALTICA LYCOPERSICON ESCULENTUM LGUL_LYCES HALOPLANKTIS STRONGYLOCENTROTUS PURPURATUS </t>
  </si>
  <si>
    <t>lactoylglutathione lyase activity</t>
  </si>
  <si>
    <t>lactoylglutathione lyase activity||carbon-sulfur lyase activity||lyase activity||catalytic activity</t>
  </si>
  <si>
    <t>lyase activity</t>
  </si>
  <si>
    <t>GO:0004462</t>
  </si>
  <si>
    <t>CreA | GloA | Glyoxalase | YMF19 |</t>
  </si>
  <si>
    <t xml:space="preserve">ANOPHELES GAMBIAE STR. PEST RIBOSOMAL P2 PUTATIVE CRYPTOCOCCUS NEOFORMANS VAR. JEC21 HYPOTHETICAL RLA2_BRAFL 60S ACIDIC BRANCHIOSTOMA FLORIDAE P2-LIKE CULICOIDES SONORENSIS LIKE P1 BOMBYX MORI XENOPUS LAEVIS TROPICALIS LARGE PARALICHTHYS OLIVACEUS UNNAMED PRODUCT TETRAODON NIGROVIRIDIS PREDICTED SIMILAR TO DANIO RERIO DICENTRARCHUS LABRAX GALLUS SUBERITES DOMUNCULA PRCDNA35 BELCHERI SPODOPTERA FRUGIPERDA P0 BIPHYLLUS LUNATUS ICTALURUS PUNCTATUS UNKNOWN FOR MGC </t>
  </si>
  <si>
    <t>Ribosomal protein LP2 - structural constituent of ribosome - cytosolic ribosome (sensu Eukaryota) - protein biosynthesis - cytosolic large ribosomal subunit (sensu Eukaryota) - translational elongation</t>
  </si>
  <si>
    <t>Ribosomal_60s 3e-011| RPP1A 2e-008| COG0750 0.008| KefB 0.093| TrkG | UbiC | TrkH | RRS1 | DUF566 | Adeno_VII |</t>
  </si>
  <si>
    <t xml:space="preserve">ANOPHELES GAMBIAE STR. PEST SIMILAR TO DROSOPHILA MELANOGASTER RPS12 YAKUBA ISOFORM F RS12_DROME RIBOSOMAL S12 PSEUDOOBSCURA S12.E CYTOSOLIC FRUIT FLY FRAGMENT BOMBYX MORI S21 PLUTELLA XYLOSTELLA SPODOPTERA FRUGIPERDA PERIPLANETA AMERICANA PREDICTED APIS MELLIFERA LYSIPHLEBUS TESTACEIPES DERMACENTOR VARIABILIS S12E HISTER SP. UNKNOWN FOR MGC DANIO RERIO IXODES SCAPULARIS XENOPUS LAEVIS RPS12-PROV TROPICALIS UNNAMED PRODUCT TETRAODON NIGROVIRIDIS GALLUS 5 CANIS FAMILIARIS RS12_ORENI OREOCHROMIS NILOTICUS MUS MUSCULUS 1 ICTALURUS PUNCTATUS </t>
  </si>
  <si>
    <t>Ribosomal protein S12 - structural constituent of ribosome - cytosolic small ribosomal subunit (sensu Eukaryota) - protein biosynthesis - ribosome</t>
  </si>
  <si>
    <t>Ribosomal_L7Ae 2e-008| RPL8A 6e-006| Herpes_capsid | cytidine_deaminase-like | AzlC |</t>
  </si>
  <si>
    <t xml:space="preserve">ECDYSTEROID UDP-GLUCOSYL TRANSFERASE CLANIS BILINEATA NUCLEOPOLYHEDROSIS UDP GLUCOSYL COX3_LEITA CYTOCHROME C OXIDASE SUBUNIT 3 POLYPEPTIDE III HYPOTHETICAL DICTYOSTELIUM DISCOIDEUM </t>
  </si>
  <si>
    <t>COG4984 0.012| ArnT | PIG-U | DUF751 |</t>
  </si>
  <si>
    <t xml:space="preserve">ANOPHELES GAMBIAE STR. PEST RIBOSOMAL L4 LYSIPHLEBUS TESTACEIPES L4E EUCINETUS SP. PREDICTED SIMILAR TO APIS MELLIFERA BOMBYX MORI HYPOTHETICAL STRONGYLOCENTROTUS PURPURATUS DROSOPHILA MELANOGASTER RPL1 YAKUBA 23 LONOMIA OBLIQUA CG5502-PA RL4_DROME 60S L1 PSEUDOOBSCURA SERINE THREONINE-PROTEIN KINASE PRP4K ISOFORM 9 BOS TAURUS THREONINE ERYTHROCYTE BINDING 3 PLASMODIUM FALCIPARUM 2 MAEBL PUTATIVE 3D7 1 CHIMERIC ERYTHROCYTE-BINDING COLICIN IMPORT MEMBRANE LEGIONELLA PNEUMOPHILA SUBSP. PHILADELPHIA PARIS LENS 14 CANIS FAMILIARIS YOELII 17XNL UNNAMED PRODUCT LYTECHINUS PICTUS H1_LYTPI LATE HISTONE H1 DICTYOSTELIUM DISCOIDEUM CALCITONIN GENE-RELATED PEPTIDE TYPE RECEPTOR PRECURSOR CGRP RECEPTOR-LIKE GENE RELATED LIKE MUSCULUS H1_PARAN GONADAL </t>
  </si>
  <si>
    <t>Ribosomal protein L4 - structural constituent of ribosome - cytosolic large ribosomal subunit (sensu Eukaryota) - protein biosynthesis</t>
  </si>
  <si>
    <t>TolA 0.008| NolL 0.012| PotB 0.014| DUF947 0.018| COG4487 0.022| DUF40 0.034| Myosin_tail_1 0.048| 7tm_5 0.089| COG3883 | BCHF |</t>
  </si>
  <si>
    <t xml:space="preserve">ANOPHELES GAMBIAE STR. PEST ANNEXIN IX DROSOPHILA PSEUDOOBSCURA B9A MELANOGASTER CG5730-PA ISOFORM A ANX9_DROME B9 CG5730-PB B CG5730-PD B9B PUTATIVE IX-B MANDUCA SEXTA CG5730-PC C BOMBYX MORI IX-C IX-A PREDICTED SIMILAR TO MELLIFERA ANX12_HYDAT B12 XII </t>
  </si>
  <si>
    <t>Annexin IX - actin binding - calcium ion binding - calcium-dependent phospholipid binding - phospholipid binding</t>
  </si>
  <si>
    <t>actin binding||cytoskeletal protein binding||protein binding||binding</t>
  </si>
  <si>
    <t>protein binding</t>
  </si>
  <si>
    <t>GO:0003779</t>
  </si>
  <si>
    <t>Annexin 5e-020| ANX 4e-015|</t>
  </si>
  <si>
    <t xml:space="preserve">HYPOTHETICAL YARROWIA LIPOLYTICA UNNAMED PRODUCT CLIB122 Y50E8A.I CAENORHABDITIS ELEGANS UNKNOWN CHORISTONEURA FUMIFERANA GRANULOVIRUS MYCOPLASMA SYNOVIAE 53 PLASMODIUM BERGHEI STRAIN ANKA PB-FAM-2 FAM-2 FAM BRIGGSAE BASES FIRST START CODON AT 2032 PUTATIVE 1807 2850 CANDIDA ALBICANS MELANOPLUS SANGUINIPES ENTOMOPOXVIRUS PREDICTED SIMILAR TO CG3759-PA STRONGYLOCENTROTUS PURPURATUS DEHYDROGENASE SUBUNIT 2 STRONGYLOIDES STERCORALIS 5 DICTYOSTELIUM DISCOIDEUM TFIID TRANSCRIPTION INITIATION FACTOR METHANOSARCINA ACETIVORANS STR. C2A </t>
  </si>
  <si>
    <t>TatC 2e-012| DltB 2e-010| 7tm_5 2e-010| Competence 6e-008| Srg 2e-007| ComEC 2e-007| COG1215 4e-007| MopB_Res-Cmplx1_Nad11-M 6e-007| DUF32 7e-007| MdoB 8e-007|</t>
  </si>
  <si>
    <t>gi|66805949</t>
  </si>
  <si>
    <t xml:space="preserve">HYPOTHETICAL DICTYOSTELIUM DISCOIDEUM PUTATIVE ORPHAN NEUROTRANSMITTER TRANSPORTER DROSOPHILA MELANOGASTER </t>
  </si>
  <si>
    <t>MglC |</t>
  </si>
  <si>
    <t>gi|45934557</t>
  </si>
  <si>
    <t xml:space="preserve">ELONGATION FACTOR 1 BETA AEDES AEGYPTI ANOPHELES GAMBIAE STR. PEST DROSOPHILA MELANOGASTER EF1B_DROME PROBABLE 1-BETA EF-1-BETA CG6341-PA EF1B2_BOMMO 1-BETA' BETA' BOMBYX MORI PLUTELLA XYLOSTELLA SIMILAR TO EF1BETA YAKUBA EUKARYOTIC TRANSLATION 2 DANIO RERIO XENOPUS LAEVIS ELOGATION EF1B_XENLA P30 TROPICALIS Q6DET9 EF1B_XENTR SAPIENS SYNTHETIC CONSTRUCT HYPOTHETICAL GALLUS PREDICTED ISOFORM 4 CANIS FAMILIARIS UNNAMED PRODUCT TETRAODON NIGROVIRIDIS PEPTIDE Q9YGQ1 EF1B_CHICK ORYCTOLAGUS CUNICULUS EF1B_RABIT 2-LIKE BOS TAURUS LIKE HOMOLOG MUS MUSCULUS EF1B_BOVIN </t>
  </si>
  <si>
    <t>Probable elongation factor 1-beta - cytosol</t>
  </si>
  <si>
    <t>translation elongation factor activity||translation factor activity\, nucleic acid binding||translation regulator activity</t>
  </si>
  <si>
    <t>translation regulator activity</t>
  </si>
  <si>
    <t>translation factor activity\, nucleic acid binding</t>
  </si>
  <si>
    <t>GO:0003746</t>
  </si>
  <si>
    <t>Assembled contig</t>
  </si>
  <si>
    <t>Length</t>
  </si>
  <si>
    <t>Percent N</t>
  </si>
  <si>
    <t>Percent AT</t>
  </si>
  <si>
    <t>PA at</t>
  </si>
  <si>
    <t>Assembler output</t>
  </si>
  <si>
    <t>Contig number</t>
  </si>
  <si>
    <t>Fasta file</t>
  </si>
  <si>
    <t>Number of sequences</t>
  </si>
  <si>
    <t>Name of larger sequence</t>
  </si>
  <si>
    <t>PolyA at</t>
  </si>
  <si>
    <t>.</t>
  </si>
  <si>
    <t>TOXOL-P1-C1</t>
  </si>
  <si>
    <t xml:space="preserve"> </t>
  </si>
  <si>
    <t>TOXOL-P6_E08</t>
  </si>
  <si>
    <t>TOXOL-P4_D03</t>
  </si>
  <si>
    <t>TOXOL-P15_A04</t>
  </si>
  <si>
    <t>TOXOS-P12_D07</t>
  </si>
  <si>
    <t>TOXOL-P6_D08</t>
  </si>
  <si>
    <t>TOXOL-P15_D04</t>
  </si>
  <si>
    <t>TOXOL-P6_D06</t>
  </si>
  <si>
    <t>TOXOL-P13_D02</t>
  </si>
  <si>
    <t>TOXOL-P6_F03</t>
  </si>
  <si>
    <t>TOXOM-P7_H08</t>
  </si>
  <si>
    <t>TOXOL-P1-G7</t>
  </si>
  <si>
    <t>TOXOM-P7_A05</t>
  </si>
  <si>
    <t>TOXOL-P15_G07</t>
  </si>
  <si>
    <t>TOXOL-P5_G06</t>
  </si>
  <si>
    <t>TOXOS-P11_B10</t>
  </si>
  <si>
    <t>TOXOM-P2-A2</t>
  </si>
  <si>
    <t>TOXOL-P5_G10</t>
  </si>
  <si>
    <t>TOXOL-P13_E07</t>
  </si>
  <si>
    <t>TOXOL-P5_A08</t>
  </si>
  <si>
    <t>TOXOL-P1-H3</t>
  </si>
  <si>
    <t>TOXOM-P17_D06</t>
  </si>
  <si>
    <t>TOXOL-P16_F05</t>
  </si>
  <si>
    <t>TOXOL-P1-C10</t>
  </si>
  <si>
    <t>TOXOS-P3-H6</t>
  </si>
  <si>
    <t>TOXOL-P6_A05</t>
  </si>
  <si>
    <t>TOXOL-P14_G02</t>
  </si>
  <si>
    <t>TOXOL-P16_B11</t>
  </si>
  <si>
    <t>TOXOL-P4_C06</t>
  </si>
  <si>
    <t>TOXOL-P16_D07</t>
  </si>
  <si>
    <t>TOXOM-P2-G10</t>
  </si>
  <si>
    <t>TOXOL-P4_B05</t>
  </si>
  <si>
    <t>TOXOL-P4_D12</t>
  </si>
  <si>
    <t>TOXOL-P4_H05</t>
  </si>
  <si>
    <t>TOXOL-P5_D10</t>
  </si>
  <si>
    <t>TOXOS-P12_F12</t>
  </si>
  <si>
    <t>TOXOL-P5_G04</t>
  </si>
  <si>
    <t>TOXOL-P6_D11</t>
  </si>
  <si>
    <t>TOXOL-P6_E06</t>
  </si>
  <si>
    <t>TOXOM-P8_E06</t>
  </si>
  <si>
    <t>TOXOS-P3-H10</t>
  </si>
  <si>
    <t>TOXOL-P1</t>
  </si>
  <si>
    <t>TOXOL-P13_B01</t>
  </si>
  <si>
    <t>TOXOL-P13_B05</t>
  </si>
  <si>
    <t>TOXOL-P13_B10</t>
  </si>
  <si>
    <t>TOXOL-P13_B12</t>
  </si>
  <si>
    <t>TOXOL-P13_C08</t>
  </si>
  <si>
    <t>TOXOL-P13_D04</t>
  </si>
  <si>
    <t>TOXOL-P13_D05</t>
  </si>
  <si>
    <t>TOXOL-P13_D07</t>
  </si>
  <si>
    <t>TOXOL-P13_D08</t>
  </si>
  <si>
    <t>TOXOL-P13_D12</t>
  </si>
  <si>
    <t>TOXOL-P13_E10</t>
  </si>
  <si>
    <t>TOXOL-P13_E11</t>
  </si>
  <si>
    <t>TOXOL-P13_F02</t>
  </si>
  <si>
    <t>TOXOL-P13_F05</t>
  </si>
  <si>
    <t>TOXOL-P13_F11</t>
  </si>
  <si>
    <t>TOXOL-P13_G02</t>
  </si>
  <si>
    <t>TOXOL-P13_G07</t>
  </si>
  <si>
    <t>TOXOL-P13_G08</t>
  </si>
  <si>
    <t>TOXOL-P13_H07</t>
  </si>
  <si>
    <t>TOXOL-P13_H09</t>
  </si>
  <si>
    <t>TOXOL-P13_H10</t>
  </si>
  <si>
    <t>TOXOL-P14_A07</t>
  </si>
  <si>
    <t>TOXOL-P14_B02</t>
  </si>
  <si>
    <t>TOXOL-P14_C02</t>
  </si>
  <si>
    <t>TOXOL-P14_D09</t>
  </si>
  <si>
    <t>TOXOL-P14_F07</t>
  </si>
  <si>
    <t>TOXOL-P14_F09</t>
  </si>
  <si>
    <t>TOXOL-P14_G01</t>
  </si>
  <si>
    <t>TOXOL-P14_G03</t>
  </si>
  <si>
    <t>TOXOL-P14_G04</t>
  </si>
  <si>
    <t>TOXOL-P14_G07</t>
  </si>
  <si>
    <t>TOXOL-P14_G12</t>
  </si>
  <si>
    <t>TOXOL-P14_H01</t>
  </si>
  <si>
    <t>TOXOL-P14_H05</t>
  </si>
  <si>
    <t>TOXOL-P14_H08</t>
  </si>
  <si>
    <t>TOXOL-P15_B02</t>
  </si>
  <si>
    <t>TOXOL-P15_C06</t>
  </si>
  <si>
    <t>TOXOL-P15_D02</t>
  </si>
  <si>
    <t>TOXOL-P15_D05</t>
  </si>
  <si>
    <t>TOXOL-P15_E01</t>
  </si>
  <si>
    <t>TOXOL-P15_E05</t>
  </si>
  <si>
    <t>TOXOL-P15_E07</t>
  </si>
  <si>
    <t>TOXOL-P15_E09</t>
  </si>
  <si>
    <t>TOXOL-P15_E10</t>
  </si>
  <si>
    <t>TOXOL-P15_F03</t>
  </si>
  <si>
    <t>TOXOL-P15_F04</t>
  </si>
  <si>
    <t>TOXOL-P15_F12</t>
  </si>
  <si>
    <t>TOXOL-P15_H06</t>
  </si>
  <si>
    <t>TOXOL-P16_A01</t>
  </si>
  <si>
    <t>TOXOL-P16_A08</t>
  </si>
  <si>
    <t>TOXOL-P16_A10</t>
  </si>
  <si>
    <t>TOXOL-P16_B05</t>
  </si>
  <si>
    <t>TOXOL-P16_C01</t>
  </si>
  <si>
    <t>TOXOL-P16_D06</t>
  </si>
  <si>
    <t>TOXOL-P16_D08</t>
  </si>
  <si>
    <t>TOXOL-P16_D12</t>
  </si>
  <si>
    <t>TOXOL-P16_F01</t>
  </si>
  <si>
    <t>TOXOL-P16_F11</t>
  </si>
  <si>
    <t>TOXOL-P16_G06</t>
  </si>
  <si>
    <t>TOXOL-P16_G07</t>
  </si>
  <si>
    <t>TOXOL-P16_G08</t>
  </si>
  <si>
    <t>TOXOL-P1-A8</t>
  </si>
  <si>
    <t>TOXOL-P1-B1</t>
  </si>
  <si>
    <t>TOXOL-P1-B12</t>
  </si>
  <si>
    <t>TOXOL-P1-C2</t>
  </si>
  <si>
    <t>TOXOL-P1-C3</t>
  </si>
  <si>
    <t>TOXOL-P1-C4</t>
  </si>
  <si>
    <t>TOXOL-P1-C7</t>
  </si>
  <si>
    <t>TOXOL-P1-C8</t>
  </si>
  <si>
    <t>TOXOL-P1-D9</t>
  </si>
  <si>
    <t>TOXOL-P1-E2</t>
  </si>
  <si>
    <t>TOXOL-P1-E5</t>
  </si>
  <si>
    <t>TOXOL-P1-F3</t>
  </si>
  <si>
    <t>TOXOL-P1-F4</t>
  </si>
  <si>
    <t>TOXOL-P1-G9</t>
  </si>
  <si>
    <t>TOXOL-P1-H8</t>
  </si>
  <si>
    <t>TOXOL-P4_A05</t>
  </si>
  <si>
    <t>TOXOL-P4_B01</t>
  </si>
  <si>
    <t>TOXOL-P4_B02</t>
  </si>
  <si>
    <t>TOXOL-P4_B04</t>
  </si>
  <si>
    <t>TOXOL-P4_B09</t>
  </si>
  <si>
    <t>TOXOL-P4_B10</t>
  </si>
  <si>
    <t>TOXOL-P4_D01</t>
  </si>
  <si>
    <t>TOXOL-P4_D06</t>
  </si>
  <si>
    <t>TOXOL-P4_E09</t>
  </si>
  <si>
    <t>TOXOL-P4_F02</t>
  </si>
  <si>
    <t>TOXOL-P4_F04</t>
  </si>
  <si>
    <t>TOXOL-P4_F07</t>
  </si>
  <si>
    <t>TOXOL-P4_G02</t>
  </si>
  <si>
    <t>TOXOL-P4_G07</t>
  </si>
  <si>
    <t>TOXOL-P4_G09</t>
  </si>
  <si>
    <t>TOXOL-P4_H11</t>
  </si>
  <si>
    <t>TOXOL-P4_H12</t>
  </si>
  <si>
    <t>TOXOL-P5_B10</t>
  </si>
  <si>
    <t>TOXOL-P5_B12</t>
  </si>
  <si>
    <t>TOXOL-P5_C07</t>
  </si>
  <si>
    <t>TOXOL-P5_D05</t>
  </si>
  <si>
    <t>TOXOL-P5_E03</t>
  </si>
  <si>
    <t>TOXOL-P5_E08</t>
  </si>
  <si>
    <t>TOXOL-P5_E11</t>
  </si>
  <si>
    <t>TOXOL-P5_E12</t>
  </si>
  <si>
    <t>TOXOL-P5_G02</t>
  </si>
  <si>
    <t>TOXOL-P5_G08</t>
  </si>
  <si>
    <t>TOXOL-P5_G09</t>
  </si>
  <si>
    <t>TOXOL-P5_G12</t>
  </si>
  <si>
    <t>TOXOL-P5_H11</t>
  </si>
  <si>
    <t>TOXOL-P5_H12</t>
  </si>
  <si>
    <t>TOXOL-P6_A06</t>
  </si>
  <si>
    <t>TOXOL-P6_A09</t>
  </si>
  <si>
    <t>TOXOL-P6_B05</t>
  </si>
  <si>
    <t>TOXOL-P6_B06</t>
  </si>
  <si>
    <t>TOXOL-P6_B10</t>
  </si>
  <si>
    <t>TOXOL-P6_C01</t>
  </si>
  <si>
    <t>TOXOL-P6_C05</t>
  </si>
  <si>
    <t>TOXOL-P6_C11</t>
  </si>
  <si>
    <t>TOXOL-P6_C12</t>
  </si>
  <si>
    <t>TOXOL-P6_D01</t>
  </si>
  <si>
    <t>TOXOL-P6_D02</t>
  </si>
  <si>
    <t>TOXOL-P6_D03</t>
  </si>
  <si>
    <t>TOXOL-P6_D05</t>
  </si>
  <si>
    <t>TOXOL-P6_F02</t>
  </si>
  <si>
    <t>TOXOL-P6_F06</t>
  </si>
  <si>
    <t>TOXOL-P6_F07</t>
  </si>
  <si>
    <t>TOXOL-P6_F08</t>
  </si>
  <si>
    <t>TOXOL-P6_G03</t>
  </si>
  <si>
    <t>TOXOL-P6_G07</t>
  </si>
  <si>
    <t>TOXOL-P6_G10</t>
  </si>
  <si>
    <t>TOXOL-P6_G11</t>
  </si>
  <si>
    <t>TOXOL-P6_H06</t>
  </si>
  <si>
    <t>TOXOL-P6_H09</t>
  </si>
  <si>
    <t>TOXOM-P17_A01</t>
  </si>
  <si>
    <t>TOXOM-P17_A02</t>
  </si>
  <si>
    <t>TOXOM-P17_A04</t>
  </si>
  <si>
    <t>TOXOM-P17_A05</t>
  </si>
  <si>
    <t>TOXOM-P17_A11</t>
  </si>
  <si>
    <t>TOXOM-P17_B01</t>
  </si>
  <si>
    <t>TOXOM-P17_B03</t>
  </si>
  <si>
    <t>TOXOM-P17_B06</t>
  </si>
  <si>
    <t>TOXOM-P17_B09</t>
  </si>
  <si>
    <t>TOXOM-P17_C04</t>
  </si>
  <si>
    <t>TOXOM-P17_C05</t>
  </si>
  <si>
    <t>TOXOM-P17_C06</t>
  </si>
  <si>
    <t>TOXOM-P17_C08</t>
  </si>
  <si>
    <t>TOXOM-P17_C09</t>
  </si>
  <si>
    <t>TOXOM-P17_D02</t>
  </si>
  <si>
    <t>TOXOM-P17_D03</t>
  </si>
  <si>
    <t>TOXOM-P17_D05</t>
  </si>
  <si>
    <t>TOXOM-P17_D10</t>
  </si>
  <si>
    <t>TOXOM-P17_E11</t>
  </si>
  <si>
    <t>TOXOM-P17_F01</t>
  </si>
  <si>
    <t>TOXOM-P17_F02</t>
  </si>
  <si>
    <t>TOXOM-P17_F03</t>
  </si>
  <si>
    <t>TOXOM-P17_F05</t>
  </si>
  <si>
    <t>TOXOM-P17_F09</t>
  </si>
  <si>
    <t>TOXOM-P17_F12</t>
  </si>
  <si>
    <t>TOXOM-P17_G02</t>
  </si>
  <si>
    <t>TOXOM-P17_G03</t>
  </si>
  <si>
    <t>TOXOM-P17_G10</t>
  </si>
  <si>
    <t>TOXOM-P17_G11</t>
  </si>
  <si>
    <t>TOXOM-P17_H04</t>
  </si>
  <si>
    <t>TOXOM-P17_H08</t>
  </si>
  <si>
    <t>TOXOM-P17_H09</t>
  </si>
  <si>
    <t>TOXOM-P17_H12</t>
  </si>
  <si>
    <t>TOXOM-P18_A02</t>
  </si>
  <si>
    <t>TOXOM-P18_A05</t>
  </si>
  <si>
    <t>TOXOM-P18_A06</t>
  </si>
  <si>
    <t>TOXOM-P18_A08</t>
  </si>
  <si>
    <t>TOXOM-P18_B04</t>
  </si>
  <si>
    <t>TOXOM-P18_B05</t>
  </si>
  <si>
    <t>TOXOM-P18_B06</t>
  </si>
  <si>
    <t>TOXOM-P18_B07</t>
  </si>
  <si>
    <t>TOXOM-P18_B09</t>
  </si>
  <si>
    <t>TOXOM-P18_C01</t>
  </si>
  <si>
    <t>TOXOM-P18_C02</t>
  </si>
  <si>
    <t>TOXOM-P18_C03</t>
  </si>
  <si>
    <t>TOXOM-P18_C06</t>
  </si>
  <si>
    <t>TOXOM-P18_C08</t>
  </si>
  <si>
    <t>TOXOM-P18_C09</t>
  </si>
  <si>
    <t>TOXOM-P18_C12</t>
  </si>
  <si>
    <t>TOXOM-P18_D02</t>
  </si>
  <si>
    <t>TOXOM-P18_D03</t>
  </si>
  <si>
    <t>TOXOM-P18_D04</t>
  </si>
  <si>
    <t>TOXOM-P18_D08</t>
  </si>
  <si>
    <t>TOXOM-P18_D12</t>
  </si>
  <si>
    <t>TOXOM-P18_E01</t>
  </si>
  <si>
    <t>TOXOM-P18_E08</t>
  </si>
  <si>
    <t>TOXOM-P18_F03</t>
  </si>
  <si>
    <t>TOXOM-P18_F06</t>
  </si>
  <si>
    <t>TOXOM-P18_F07</t>
  </si>
  <si>
    <t>TOXOM-P18_F09</t>
  </si>
  <si>
    <t>TOXOM-P18_F11</t>
  </si>
  <si>
    <t>TOXOM-P18_F12</t>
  </si>
  <si>
    <t>TOXOM-P18_G03</t>
  </si>
  <si>
    <t>TOXOM-P18_G05</t>
  </si>
  <si>
    <t>TOXOM-P18_G06</t>
  </si>
  <si>
    <t>TOXOM-P18_G07</t>
  </si>
  <si>
    <t>TOXOM-P18_H04</t>
  </si>
  <si>
    <t>TOXOM-P18_H05</t>
  </si>
  <si>
    <t>TOXOM-P18_H09</t>
  </si>
  <si>
    <t>TOXOM-P18_H10</t>
  </si>
  <si>
    <t>TOXOM-P18_H11</t>
  </si>
  <si>
    <t>TOXOM-P2-A1</t>
  </si>
  <si>
    <t>TOXOM-P2-B10</t>
  </si>
  <si>
    <t>TOXOM-P2-B11</t>
  </si>
  <si>
    <t>TOXOM-P2-B12</t>
  </si>
  <si>
    <t>TOXOM-P2-B4</t>
  </si>
  <si>
    <t>TOXOM-P2-C12</t>
  </si>
  <si>
    <t>TOXOM-P2-C2</t>
  </si>
  <si>
    <t>TOXOM-P2-C8</t>
  </si>
  <si>
    <t>TOXOM-P2-C9</t>
  </si>
  <si>
    <t>TOXOM-P2-D1</t>
  </si>
  <si>
    <t>TOXOM-P2-D11</t>
  </si>
  <si>
    <t>TOXOM-P2-D3</t>
  </si>
  <si>
    <t>TOXOM-P2-D8</t>
  </si>
  <si>
    <t>TOXOM-P2-E7</t>
  </si>
  <si>
    <t>TOXOM-P2-F2</t>
  </si>
  <si>
    <t>TOXOM-P2-F4</t>
  </si>
  <si>
    <t>TOXOM-P2-F5</t>
  </si>
  <si>
    <t>TOXOM-P2-F8</t>
  </si>
  <si>
    <t>TOXOM-P2-G6</t>
  </si>
  <si>
    <t>TOXOM-P2-G7</t>
  </si>
  <si>
    <t>TOXOM-P2-H1</t>
  </si>
  <si>
    <t>TOXOM-P2-H7</t>
  </si>
  <si>
    <t>TOXOM-P7_A08</t>
  </si>
  <si>
    <t>TOXOM-P7_A10</t>
  </si>
  <si>
    <t>TOXOM-P7_A11</t>
  </si>
  <si>
    <t>TOXOM-P7_B01</t>
  </si>
  <si>
    <t>TOXOM-P7_B04</t>
  </si>
  <si>
    <t>TOXOM-P7_B05</t>
  </si>
  <si>
    <t>TOXOM-P7_B06</t>
  </si>
  <si>
    <t>TOXOM-P7_B08</t>
  </si>
  <si>
    <t>TOXOM-P7_B09</t>
  </si>
  <si>
    <t>TOXOM-P7_B11</t>
  </si>
  <si>
    <t>TOXOM-P7_C04</t>
  </si>
  <si>
    <t>TOXOM-P7_C06</t>
  </si>
  <si>
    <t>TOXOM-P7_C08</t>
  </si>
  <si>
    <t>TOXOM-P7_D07</t>
  </si>
  <si>
    <t>TOXOM-P7_D09</t>
  </si>
  <si>
    <t>TOXOM-P7_D11</t>
  </si>
  <si>
    <t>TOXOM-P7_D12</t>
  </si>
  <si>
    <t>TOXOM-P7_E01</t>
  </si>
  <si>
    <t>TOXOM-P7_E03</t>
  </si>
  <si>
    <t>TOXOM-P7_E05</t>
  </si>
  <si>
    <t>TOXOM-P7_E09</t>
  </si>
  <si>
    <t>TOXOM-P7_E10</t>
  </si>
  <si>
    <t>TOXOM-P7_F02</t>
  </si>
  <si>
    <t>TOXOM-P7_F03</t>
  </si>
  <si>
    <t xml:space="preserve">UNKNOWN SALIVARY CULICOIDES SONORENSIS CG5225-PA DROSOPHILA MELANOGASTER BACILLUS CEREUS ATCC CG6860-PA ISOFORM A CG6860-PB B STRONGYLOCENTROTUS PURPURATUS CHAETOMIUM GLOBOSUM CBS HEAVY METAL-ASSOCIATED DOMAIN CONTAINING EXPRESSED ORYZA SATIVA JAPONICA CULTIVAR-GROUP METAL ASSOCIATED CULTIVAR GROUP CRYPTDIN RELATED SEQUENCE MUS MUSCULUS SIMILAR TO WD REPEAT 33 PROLINE-RICH REGION NITROSOSPIRA MULTIFORMIS PROLINE RICH CG6867-PA HYPOTHETICAL PSEUDOMONAS PUTIDA CONSERVED PSEUDOOBSCURA HYPERVARIABLE GROUP-SPECIFIC E33L SPECIFIC CAPICUA HOMOLOG DANIO RERIO </t>
  </si>
  <si>
    <t xml:space="preserve">SALIVARY SERINE PROLINE-RICH MUCIN AEDES ALBOPICTUS PROLINE RICH MUSCULUS PREKININOGEN MUS SP. KNG1_MOUSE KININOGEN-1 PRECURSOR CONTAINS HEAVY CHAIN BRADYKININ LIGHT KININOGEN 1 HYPOTHETICAL NEUROSPORA CRASSA OR74A DROSOPHILA PSEUDOOBSCURA CATION DIFFUSION FACILITATOR FAMILY TRANSPORTER ACIDIPHILIUM CRYPTUM JF-5 DDBDRAFT_0191793 DICTYOSTELIUM DISCOIDEUM AX4 EFFLUX CAULOBACTER CRESCENTUS CB15 METAL MTP1 THLASPI ARVENSE ORYZA SATIVA JAPONICA CULTIVAR-GROUP CULTIVAR GROUP ELASTASE PREVOTELLA INTERMEDIA OCEANICOLA BATSENSIS XANTHOMONAS AXONOPODIS PV. CITRI STR. 306 UNNAMED PRODUCT TETRAODON NIGROVIRIDIS CHAETOMIUM GLOBOSUM CBS ARABIDOPSIS LYRATA TRANSPORT MTP1-1 SUBSP. ANOPHELES GAMBIAE PEST PRION DANIO RERIO PROTEIN-RELATED 2 PRION-LIKE RELATED LIKE ORYZAE HOLOTRICIN 3 HOLOTRICHIA DIOMPHALIA HOL3_HOLDI HOLOTRICIN-3 K-KININOGEN LMW RAT FRAGMENTS K </t>
  </si>
  <si>
    <t>TOXOS-P12_A09</t>
  </si>
  <si>
    <t>TOXOS-P12_A11</t>
  </si>
  <si>
    <t>TOXOS-P12_A12</t>
  </si>
  <si>
    <t>TOXOS-P12_B01</t>
  </si>
  <si>
    <t>TOXOS-P12_B02</t>
  </si>
  <si>
    <t>TOXOS-P12_B04</t>
  </si>
  <si>
    <t>TOXOS-P12_B06</t>
  </si>
  <si>
    <t>TOXOS-P12_B07</t>
  </si>
  <si>
    <t>TOXOS-P12_B08</t>
  </si>
  <si>
    <t>TOXOS-P12_C04</t>
  </si>
  <si>
    <t>TOXOS-P12_C05</t>
  </si>
  <si>
    <t>TOXOS-P12_F07</t>
  </si>
  <si>
    <t>TOXOS-P12_F09</t>
  </si>
  <si>
    <t>TOXOS-P12_F10</t>
  </si>
  <si>
    <t>TOXOS-P12_G03</t>
  </si>
  <si>
    <t>TOXOS-P12_H03</t>
  </si>
  <si>
    <t>TOXOS-P12_H12</t>
  </si>
  <si>
    <t>TOXOS-P3-B1</t>
  </si>
  <si>
    <t>TOXOS-P3-B2</t>
  </si>
  <si>
    <t>TOXOS-P3-C2</t>
  </si>
  <si>
    <t>TOXOS-P3-C8</t>
  </si>
  <si>
    <t>TOXOS-P3-D3</t>
  </si>
  <si>
    <t>TOXOS-P3-D4</t>
  </si>
  <si>
    <t>TOXOS-P3-D7</t>
  </si>
  <si>
    <t>TOXOS-P3-E9</t>
  </si>
  <si>
    <t>TOXOS-P3-F12</t>
  </si>
  <si>
    <t>TOXOS-P3-F5</t>
  </si>
  <si>
    <t>TOXOS-P3-F8</t>
  </si>
  <si>
    <t>TOXOS-P3-F9</t>
  </si>
  <si>
    <t>TOXOS-P3-G10</t>
  </si>
  <si>
    <t>TOXOS-P3-G3</t>
  </si>
  <si>
    <t>TOXOS-P3-G4</t>
  </si>
  <si>
    <t>TOXOS-P3-G5</t>
  </si>
  <si>
    <t>TOXOS-P3-G6</t>
  </si>
  <si>
    <t>TOXOS-P3-G7</t>
  </si>
  <si>
    <t>TOXOS-P3-G8</t>
  </si>
  <si>
    <t>TOXOS-P3-H12</t>
  </si>
  <si>
    <t>TOXOS-P3-H2</t>
  </si>
  <si>
    <t>Best match to NR protein database</t>
  </si>
  <si>
    <t>E value</t>
  </si>
  <si>
    <t>% identity</t>
  </si>
  <si>
    <t>% Match length</t>
  </si>
  <si>
    <t>Key words</t>
  </si>
  <si>
    <t>Best match to GO database</t>
  </si>
  <si>
    <t>All descriptors</t>
  </si>
  <si>
    <t>Parent</t>
  </si>
  <si>
    <t>Second parent</t>
  </si>
  <si>
    <t>GO #</t>
  </si>
  <si>
    <t>E value of functional GO</t>
  </si>
  <si>
    <t>Best match to KOG database</t>
  </si>
  <si>
    <t>General class</t>
  </si>
  <si>
    <t>Best match to CDD database</t>
  </si>
  <si>
    <t>All CDD domains</t>
  </si>
  <si>
    <t>Best match to PFAM database</t>
  </si>
  <si>
    <t>Best match to SMART database</t>
  </si>
  <si>
    <t>gi|56417474</t>
  </si>
  <si>
    <t>Aedes albopictus</t>
  </si>
  <si>
    <t xml:space="preserve">PUTATIVE SALIVARY SERINE PROLINE-RICH MUCIN AEDES ALBOPICTUS PROLINE RICH MUSCULUS KNG1_MOUSE KININOGEN-1 PRECURSOR CONTAINS HEAVY CHAIN BRADYKININ LIGHT PREKININOGEN MUS SP. KININOGEN 1 HYPOTHETICAL NEUROSPORA CRASSA N150 DROSOPHILA PSEUDOOBSCURA CATION EFFLUX FAMILY CAULOBACTER CRESCENTUS CB15 DICTYOSTELIUM DISCOIDEUM METAL TRANSPORTER MTP1 THLASPI ARVENSE ZINC ORYZA SATIVA JAPONICA CULTIVAR-GROUP CULTIVAR GROUP ELASTASE PREVOTELLA INTERMEDIA OCEANICOLA BATSENSIS XANTHOMONAS AXONOPODIS PV. CITRI STR. 306 UNNAMED PRODUCT TETRAODON NIGROVIRIDIS ARABIDOPSIS LYRATA TRANSPORT MTP1-1 SUBSP. ANOPHELES GAMBIAE PEST PRION DANIO RERIO PROTEIN-RELATED 2 PRION-LIKE RELATED LIKE ORYZAE HOL3_HOLDI HOLOTRICIN-3 HOLOTRICIN 3 HOLOTRICHIA DIOMPHALIA K-KININOGEN LMW RAT FRAGMENTS K MELANOGASTER 8.3 KDA SECRETED AEGYPTI </t>
  </si>
  <si>
    <t>kininogen 1 - extracellular space</t>
  </si>
  <si>
    <t>gi|41223180</t>
  </si>
  <si>
    <t xml:space="preserve">CRYPTDIN RELATED SEQUENCE PEPTIDE MUS MUSCULUS ENVRONMENTAL STRESS-INDUCIBLE MEDICAGO SATIVA ABSCISIC ACID-AND ENVIRONMENTAL STRESS INDUCIBLE ACID HYPOTHETICAL DESULFOVIBRIO DESULFURICANS G20 CORA_MEDSA COLD DROUGHT-REGULATED CORA PRODUCT DROUGHT REGULATED GGDEF FRANKIA SP. CCI3 PREDICTED BY GLIMMER CRITICA BDELLOVIBRIO BACTERIOVORUS UNKNOWN FUNCTION KINEOCOCCUS RADIOTOLERANS MELLIFERA DEFENSIN-LIKE GENE PRECURSOR DEFR7_MOUSE DEFENSIN-RELATED 7 CRYPTDIN-RELATED 4C-2 CRS4C DEFENSIN LIKE 4C 2 CONSERVED BRADYRHIZOBIUM BTAI1 PE-PGRS FAMILY PROTEIN-LIKE ORYZA JAPONICA CULTIVAR-GROUP PE PGRS CULTIVAR GROUP BETA-1 4-ENDOXYLANASE THERMOBIFIDA ALBA BETA 1 4 ENDOXYLANASE GLYCOSIDE HYDROLASE 10 CELLULOSE-BINDING II BACTERIAL TYPE FUSCA YX CELLULOSE BINDING ALLERGEN V5 TPX-1 SIMILAR TO COLLAGEN XXII ALPHA BOS TAURUS ISOFORM 3 CAENORHABDITIS ELEGANS 1C CRS1C SALIVARY CULICOIDES SONORENSIS </t>
  </si>
  <si>
    <t>Collagen alpha 1(IX) chain precursor - biological_process unknown - extracellular matrix structural constituent - collagen type IX - organogenesis</t>
  </si>
  <si>
    <t>extracellular matrix structural constituent||structural molecule activity</t>
  </si>
  <si>
    <t>extracellular matrix structural constituent</t>
  </si>
  <si>
    <t>GO:0005201</t>
  </si>
  <si>
    <t>Collagen | Bac_GDH |</t>
  </si>
  <si>
    <t>gi|67608640</t>
  </si>
  <si>
    <t>Cryptosporidium hominis</t>
  </si>
  <si>
    <t xml:space="preserve">HYPOTHETICAL CRYPTOSPORIDIUM HOMINIS GABD3 SUCCINATE-SEMIALDEHYDE DEHDYROGENASE SINORHIZOBIUM MELILOTI 1021 SUCCINATE SEMIALDEHYDE </t>
  </si>
  <si>
    <t>hATC | HemL |</t>
  </si>
  <si>
    <t>gi|56417556</t>
  </si>
  <si>
    <t xml:space="preserve">RIBOSOMAL S27 AEDES ALBOPICTUS ANOPHELES GAMBIAE STR. PEST CRASSOSTREA GIGAS 1 ASPERGILLUS NIDULANS FGSC A4 RS27_XENLA TYPE FUMIGATUS PREDICTED SIMILAR TO 40S GALLUS HYPOTHETICAL PONGO PYGMAEUS ICTALURUS PUNCTATUS IXODES SCAPULARIS PUTATIVE ONCORHYNCHUS MYKISS DANIO RERIO RPS27-PROV XENOPUS LAEVIS HOMOLOGUE RPS27 ISOFORM 2 UNNAMED PRODUCT TETRAODON NIGROVIRIDIS PLATICHTHYS FLESUS S27-LIKE MUSCULUS SAPIENS RATTUS RS27L_RAT Q6ZWY3 RS27L_MOUSE RS27L_HUMAN TROGLODYTES LIKE PAN CHROMOSOME 10 OPEN READING FRAME 48 HOMO </t>
  </si>
  <si>
    <t xml:space="preserve">SALIVARY SERINE PROLINE-RICH MUCIN AEDES ALBOPICTUS PROLINE RICH SECRETED AEGYPTI CULEX PIPIENS QUINQUEFASCIATUS MAGNAPORTHE GRISEA GQP-RICH GQP SIMILAR TO TROGLODYTES HISTONE DEACETYLASE SUPERFAMILY FRANKIA SP. EAN1PEC CONSERVED HYPOTHETICAL SC3C3.03C STREPTOMYCES COELICOLOR A3 2 BINDING ORYZA SATIVA DOMAIN CONTAINING EXPRESSED JAPONICA CULTIVAR-GROUP CULTIVAR GROUP DROSOPHILA MELANOGASTER TRANSCRIPTION ELONGATION REGULATOR 1 TATA BOX-BINDING PROTEIN-ASSOCIATED FACTOR 2S FORMIN-BINDING 28 FBP ISOFORM APIS MELLIFERA BOX ASSOCIATED FORMIN ATPASE CENTRAL REGION STREPTOCOCCUS SUIS 89 1591 YARROWIA LIPOLYTICA UNNAMED PRODUCT CLIB122 CASEIN ALPHA S1 RATTUS NORVEGICUS CAS1_RAT ALPHA-S1-CASEIN PRECURSOR S1-CASEIN PEPTIDASE M41 FTSH MYCOBACTERIUM FLAVESCENS PYR-GCK DESMOPLAKIN ANTHERAEA PERNYI NUCLEOPOLYHEDROVIRUS SEL-1 SUPPRESSOR LIN-12-LIKE CANIS FAMILIARIS SEL LIN 12-LIKE GENERAL SECRETION PATHWAY N NITROBACTER HAMBURGENSIS X14 XAUTDRAFT_1620 XANTHOBACTER AUTOTROPHICUS PY2 LUPUS LA RIBONUCLEOPROTEIN PORCINE RESPIRATORY REPRODUCTIVE SYNDROME VIRUS RIBONUCLEASE BN KINEOCOCCUS RADIOTOLERANS </t>
  </si>
  <si>
    <t>gi|108877177</t>
  </si>
  <si>
    <t xml:space="preserve">CONSERVED HYPOTHETICAL AEDES AEGYPTI PERITROPHIN MUCIN-LIKE ALBOPICTUS MUCIN LIKE AAEL_AAEL009537 SALIVARY AAEL_AAEL002481 SIMILAR TO CG4778-PA TRIBOLIUM CASTANEUM AAEL_AAEL015606 AAEL_AAEL002482 IMUCR3 MUC1 ANOPHELES GAMBIAE STR. PEST A PERITROPHIN-1 </t>
  </si>
  <si>
    <t xml:space="preserve">THREONINE SERINE-RICH MUCIN CULEX PIPIENS QUINQUEFASCIATUS SERINE RICH AEDES AEGYPTI CONSERVED HYPOTHETICAL ANOPHELES GAMBIAE STR. PEST SALIVARY AAEL_AAEL004353 SPINDLE POLE BODY COMPONENT 97 DICTYOSTELIUM DISCOIDEUM AX4 BASIC INTIMIN TYPE GAMMA ESCHERICHIA COLI MBCTL1 MONOSIGA BREVICOLLIS TRANSMEMBRANE RALSTONIA SOLANACEARUM PROBABLE HEMAGGLUTININ-RELATED HEMAGGLUTININ RELATED PICHIA MINUTA RECEPTOR MIZUHOPECTEN YESSOENSIS 5 HT SECRETED DDBDRAFT_0202188 MUS MUSCULUS INTEGUMENTARY B.1 XENOPUS LAEVIS GLYCOSIDE HYDROLASE PLASMODIUM YOELII 17XNL OUTER MEMBRANE CPHYDRAFT_0934 CLOSTRIDIUM PHYTOFERMENTANS ISDG TONB-DEPENDENT SIDEROPHORE BURKHOLDERIA XENOVORANS DEPENDENT </t>
  </si>
  <si>
    <t>gi|24817567</t>
  </si>
  <si>
    <t xml:space="preserve">HYPOTHETICAL CAENORHABDITIS ELEGANS BRIGGSAE XENOPUS TROPICALIS LEUCINE ZIPPER-EF-HAND CONTAINING TRANSMEMBRANE 2 ZIPPER EF-HAND EF HAND DROSOPHILA MELANOGASTER LIGASE ATP CRYPTOCOCCUS NEOFORMANS VAR. JEC21 DEBARYOMYCES HANSENII S45A1_HUMAN PROTON-ASSOCIATED SUGAR TRANSPORTER A PAST-A SOLUTE CARRIER FAMILY 45 MEMBER 1 DELETED IN NEUROBLASTOMA 5 DNB-5 PROTON ASSOCIATED PAST DNB SIMILAR TO HOMO SAPIENS PAN TROGLODYTES RIBONUCLEASE ANGIOGENIN INHIBITOR MACACA MULATTA CANDIDA ALBICANS PROTEOGLYCAN 4 ARTICULAR SUPERFICIAL ZONE LUBRICIN BOS TAURUS ORYZA SATIVA JAPONICA CULTIVAR-GROUP CULTIVAR GROUP NOSTOC SP. PCC 7120 CANIS FAMILIARIS KINASE PLASMODIUM FALCIPARUM 3D7 HOMOLOG THERMOSYNECHOCOCCUS ELONGATUS BP-1 YOELII STR. 17XNL NOD3 DANIO RERIO CHAETOMIUM GLOBOSUM CBS </t>
  </si>
  <si>
    <t>gi|22832157</t>
  </si>
  <si>
    <t xml:space="preserve">CG4013-PC ISOFORM C DROSOPHILA MELANOGASTER CG4013-PA CG4013-PB SMRTER DOMAIN SUPER CYSTEINE RICH SCRP HOMO SAPIENS CTG26 ALTERNATE OPEN READING FRAME HYPOTHETICAL CANDIDA ALBICANS DDBDRAFT_0219366 DICTYOSTELIUM DISCOIDEUM AX4 RATTUS NORVEGICUS SIMILAR TO TRINUCLEOTIDE REPEAT CONTAINING 6A 2 3 MACACA MULATTA INTERACTING COCCIDIOIDES IMMITIS RS FAMILY ATPASE EIMERIA TENELLA SHAVENBABY CG6824-PC CG6824-PA A CG6824-PD D BEIGE HOMOLOG DDBDRAFT_0192013 CG6824-PB B OVO_DROME SHAVEN BABY BEACH DOMAIN-CONTAINING OVO-1028AA OVO </t>
  </si>
  <si>
    <t xml:space="preserve">ORYZA SATIVA JAPONICA CULTIVAR-GROUP CULTIVAR GROUP HYPOTHETICAL LUMPY SKIN DISEASE VIRUS GCN5-RELATED N-ACETYLTRANSFERASE BURKHOLDERIA VIETNAMIENSIS G4 RELATED N ACETYLTRANSFERASE TETRAHYMENA THERMOPHILA CONSERVED ASPERGILLUS TERREUS </t>
  </si>
  <si>
    <t xml:space="preserve">HYPOTHETICAL CRYPTOSPORIDIUM HOMINIS GABD3 SUCCINATE-SEMIALDEHYDE DEHDYROGENASE SINORHIZOBIUM MELILOTI 1021 SUCCINATE SEMIALDEHYDE ADP-RIBOSE POLYMERASE CATALYTIC REGION DOMAIN-CONTAINING DICTYOSTELIUM DISCOIDEUM AX4 RIBOSE DOMAIN CONTAINING CONSERVED ASPERGILLUS TERREUS </t>
  </si>
  <si>
    <t xml:space="preserve">HYPOTHETICAL MYCOBACTERIUM TUBERCULOSIS REGULATOR CELL POLARITY CANDIDA ALBICANS POTENTIAL </t>
  </si>
  <si>
    <t>gi|90577372</t>
  </si>
  <si>
    <t>Vibrio angustum S14</t>
  </si>
  <si>
    <t xml:space="preserve">FLAGELLAR BIOSYNTHETIC VIBRIO ANGUSTUM S14 PHOTOBACTERIUM SP. SKA34 </t>
  </si>
  <si>
    <t>gi|108873112</t>
  </si>
  <si>
    <t xml:space="preserve">ODORANT-BINDING 58C AEDES AEGYPTI ODORANT BINDING PROBABLE INTEGRASE RECOMBINASE RHODOCOCCUS SP. RHA1 SIMILAR TO ZINC FINGER 40 TRANSCRIPTION FACTOR ALPHAA-CRYBP1 ALPHA A-CRYSTALLIN-BINDING I A-CRYBP1 RATTUS NORVEGICUS ALPHAA CRYBP1 CRYSTALLIN-BINDING CRYSTALLIN ANOPHELES GAMBIAE AGAMOBP48 PROTEIN-8 8 </t>
  </si>
  <si>
    <t xml:space="preserve">TRANSPORTER ATP-BINDING GLUCONOBACTER OXYDANS 621H BINDING POLYKETIDE SYNTHASE TYPE I STREPTOMYCES AIZUNENSIS ASPARTOKINASE HOMOSERINE DEHYDROGENASE CELLULOPHAGA SP. CONSERVED HYPOTHETICAL ASPERGILLUS TERREUS PHOSPHATASE REGULATORY SUBUNIT GAC1 FUMIGATUS UNKNOWN ORYZA SATIVA JAPONICA CULTIVAR-GROUP CULTIVAR GROUP DDBDRAFT_0189000 DICTYOSTELIUM DISCOIDEUM AX4 GIBBERELLA ZEAE PH-1 SIMILAR TO RETINITIS PIGMENTOSA 1 GALLUS </t>
  </si>
  <si>
    <t xml:space="preserve">PROBABLE SALIVARY MALTASE PRECURSOR AEDES ALBOPICTUS ALPHA-AMYLASE AEGYPTI ALPHA AMYLASE MALT_AEDAE ALPHA-1 4-GLUCOSIDASE 1 ANOPHELES GAMBIAE STR. PEST CULICOIDES SONORENSIS DROSOPHILA VIRILIS MAL1_DROVI MELANOGASTER PSEUDOOBSCURA CG8695-PA LARVAL VISCERAL L MAL3_DROME CG8693-PA CG8696-PA H MAL2_DROME MALTASE-LIKE AGM1 LIKE </t>
  </si>
  <si>
    <t>gi|108882577</t>
  </si>
  <si>
    <t xml:space="preserve">PUTATIVE 56 KDA SALIVARY SECRETED AEDES ALBOPICTUS 56.5 56K 3 FAMILY 2 AEGYPTI KD 1 CULEX PIPIENS QUINQUEFASCIATUS RECOMBINATION N XYLELLA FASTIDIOSA TEMECULA1 RECN_XYLFT DNA REPAIR RECN SPBC359.04C SCHIZOSACCHAROMYCES POMBE HYPOTHETICAL USTILAGO MAYDIS 521 LEGIONELLA PNEUMOPHILA STR. PARIS CAENORHABDITIS ELEGANS YQU3_CAEEL PRECURSOR EQUID HERPESVIRUS 4 EQUINE GENERAL PTS ENZYME I PEP-PROTEIN PHOSPHOTRANSFERASE SALMONELLA ENTERICA SUBSP. SEROVAR CHOLERAESUIS SC-B67 TYPHIMURIUM LT2 TYPHI TY2 PARATYPHI A ATCC 9150 PT1_SALTY PHOSPHOENOLPYRUVATE-PROTEIN SYSTEM PT1_SALTI PHOSPHOENOLPYRUVATE UNNAMED PRODUCT HOMO SAPIENS GLYCOSYL TRANSFERASE GROUP METHYLOCOCCUS CAPSULATUS BATH KINASE EI COMPONENT IN BACTERIA YERSINIA INTERMEDIA DROSOPHILA PSEUDOOBSCURA ATP-BINDING REGION ATPASE-LIKE HISTIDINE HAMP N-TERMINAL CACHE SYNTROPHOBACTER FUMAROXIDANS MPOB BINDING ATPASE LIKE TERMINAL BACILLOMYCIN D SYNTHETASE B BACILLUS SUBTILIS NOVEL SIMILAR TO VERTEBRATE TGFB INDUCIBLE EARLY GROWTH RESPONSE TIEG2 DANIO RERIO PREDICTED TRANSFORMING FACTOR-BETA-INDUCIBLE TGFB-INDUCIBLE TIEG-3 FACTOR BETA-INDUCIBLE BETA TIEG CANDIDA ALBICANS </t>
  </si>
  <si>
    <t>SCP-1 | Candida_ALS | BRO1 |</t>
  </si>
  <si>
    <t xml:space="preserve">PUTATIVE 30.5 KDA SECRETED AEDES ALBOPICTUS AEGYPTI 30 SALIVARY 275 HISTIDINE KINASE HAMP REGION BACTERIAL CHEMOTAXIS SENSORY TRANSDUCER SHEWANELLA PUTREFACIENS CN-32 CONDENSIN SUBUNIT THEILERIA ANNULATA STRAIN ANKARA HYPOTHETICAL PARVA MUGUGA PREDICTED SIMILAR TO LREO_3 DANIO RERIO ZN-FINGER CCHC TYPE RNA-DIRECTED DNA POLYMERASE INTEGRASE CATALYTIC DOMAIN CONTAINING FAMILY MEMBER ZN FINGER RNA DIRECTED CONSERVED METHANOSARCINA BARKERI STR. FUSARO MBAR_A0178 OPIOID GROWTH FACTOR RECEPTOR-LIKE 1 RECEPTOR LIKE </t>
  </si>
  <si>
    <t>NadC | QPRTase_NadC |</t>
  </si>
  <si>
    <t>gi|7510076</t>
  </si>
  <si>
    <t xml:space="preserve">HYPOTHETICAL Y50E8A.I CAENORHABDITIS ELEGANS CRYPTOSPORIDIUM PARVUM SIGNAL PEPTIDE CANDIDA ALBICANS ASPERGILLUS NIDULANS FGSC A4 PLASMODIUM BERGHEI STRAIN ANKA NU5M_TRYBB NADH-UBIQUINONE OXIDOREDUCTASE CHAIN 5 NADH DEHYDROGENASE SUBUNIT UNNAMED PRODUCT TRYPANOSOMA BRUCEI UBIQUINONE PB-FAM-2 FAM-2 FAM LEISHMANIA MAJOR 4 TRIATOMA PALLIDIPENNIS SJCHGC01957 SCHISTOSOMA JAPONICUM CYB-COII INTERGENIC REGION TARENTOLAE MITOCHONDRION CYB COII ATPASE 6 MURF4 YARROWIA LIPOLYTICA CLIB122 DICTYOSTELIUM DISCOIDEUM DIMIDIATA TFIID TRANSCRIPTION INITIATION FACTOR INFESTANS </t>
  </si>
  <si>
    <t>cellular_component unknown - molecular_function unknown - biological_process unknown</t>
  </si>
  <si>
    <t>Signal transduction mechanisms, Cytoskeleton]</t>
  </si>
  <si>
    <t>DUF40 3e-005| Glyco_transf_22 3e-004| COG4758 0.003| NolL 0.008| MgtA 0.009| MdoB 0.014| SpoIIM 0.018| Prominin 0.023| STT3 0.029| DUF32 0.033|</t>
  </si>
  <si>
    <t>gi|38350639</t>
  </si>
  <si>
    <t xml:space="preserve">PUTATIVE 23.4 KDA SALIVARY CULEX PIPIENS QUINQUEFASCIATUS AEDES ALBOPICTUS </t>
  </si>
  <si>
    <t>Rpr2 | tRNA_synt_2e | COG3862 | AspS |</t>
  </si>
  <si>
    <t>gi|55239621</t>
  </si>
  <si>
    <t>Anopheles gambiae str. PEST</t>
  </si>
  <si>
    <t xml:space="preserve">ANOPHELES GAMBIAE STR. PEST RL15_CHITE RIBOSOMAL L15 YL10 7117 HOMOLOGUE CHIRONOMUS TENTANS RL15_ANOGA RL10 L15E DASCILLUS CERVINUS PREDICTED SIMILAR TO APIS MELLIFERA BOMBYX MORI PLUTELLA XYLOSTELLA GEORISSUS SP. TIMARCHA BALEARICA MELADEMA CORIACEA LYSIPHLEBUS TESTACEIPES MYCETOPHAGUS QUADRIPUSTULATUS SPODOPTERA FRUGIPERDA IXODES SCAPULARIS PLATYSTOMOS ALBINUS CURCULIO GLANDIUM RPL15-PROV XENOPUS LAEVIS RPL15 ICTALURUS PUNCTATUS RL15_ICTPU ACIPENSER GUELDENSTAEDTII SCHRENCKII SINENSIS SILURUS ASOTUS RL15_SILAS MERIDIONALIS RL15_SILME TROPICALIS DANIO RERIO HYPOTHETICAL CTENOPHARYNGODON IDELLA RL15_CTEID </t>
  </si>
  <si>
    <t>Ribosomal protein L15 - structural constituent of ribosome - cytosolic large ribosomal subunit (sensu Eukaryota) - protein biosynthesis - ribosome</t>
  </si>
  <si>
    <t>structural constituent of ribosome||structural molecule activity</t>
  </si>
  <si>
    <t>structural constituent of ribosome</t>
  </si>
  <si>
    <t>GO:0003735</t>
  </si>
  <si>
    <t>Translation, ribosomal structure and biogenesis]</t>
  </si>
  <si>
    <t>ADP,ATP carrier protein - ATP:ADP antiporter activity - molecular_function unknown - mitochondrial inner membrane - mitochondrial transport</t>
  </si>
  <si>
    <t>ATP\:ADP antiporter activity||solute\:solute antiporter activity||antiporter activity||porter activity||electrochemical potential-driven transporter activity||carrier activity||transporter activity</t>
  </si>
  <si>
    <t>carrier activity</t>
  </si>
  <si>
    <t>GO:0005471</t>
  </si>
  <si>
    <t>Gaa1 | DUF134 | SecY | PCEMA1 |</t>
  </si>
  <si>
    <t>gi|2827370</t>
  </si>
  <si>
    <t>Aedes ashworthi</t>
  </si>
  <si>
    <t xml:space="preserve">CYTOCHROME OXIDASE SUBUNIT II AEDES ASHWORTHI C CULEX PIPIENS QUINQUEFASCIATUS TORRENTIUM ALBOPICTUS COX2_CULQU 2 POLYPEPTIDE DROSOPHILA NIGROMACULATA MADEIRENSIS BIFASCIATA COX2_DROBF COX2_AEDAE CARDINOIDES PRIMAEVA OEDICARENA LATIFRONS ANOPHELES SOLOMONIS DERMATOBIA HOMINIS CALLIPHORA STERNALIS RUBERRIMA PROPACHUCA PACHUCA LONGICORNIS LOWEI COX2_DROLO CUASO DIPLOCHORDA MINOR CHRYSOMYA MEGACEPHALA </t>
  </si>
  <si>
    <t>cytochrome-c oxidase activity - mitochondrion - mitochondrial inner membrane - respiratory chain complex IV (sensu Eukaryota) - mitochondrial electron transport, cytochrome c to oxygen</t>
  </si>
  <si>
    <t>COX2 3e-008|</t>
  </si>
  <si>
    <t>GRS1 |</t>
  </si>
  <si>
    <t>LGT | Y_phosphatase2 | COG4906 |</t>
  </si>
  <si>
    <t>gi|46400393</t>
  </si>
  <si>
    <t>Candidatus Protochlamydia amoebophila UWE25</t>
  </si>
  <si>
    <t xml:space="preserve">CONSERVED HYPOTHETICAL PARACHLAMYDIA SP. UWE25 CANDIDATUS PROTOCHLAMYDIA AMOEBOPHILA </t>
  </si>
  <si>
    <t xml:space="preserve">CONSERVED HYPOTHETICAL PLASMODIUM CHABAUDI MODEL 259 NCBI CHLOROBIUM PHAEOBACTEROIDES BS1 NEUROSPORA CRASSA N150 PREDICTED STRONGYLOCENTROTUS PURPURATUS UNNAMED PRODUCT HOMO SAPIENS CAENORHABDITIS BRIGGSAE ARABIDOPSIS THALIANA BURKHOLDERIA MALLEI ATCC SIMILAR TO CALCITONIN GENE-RELATED PEPTIDE TYPE 1 RECEPTOR PRECURSOR CGRP RECEPTOR-LIKE GENE RELATED LIKE PARTIAL MYOSIN REGULATORY LIGHT CHAIN INTERACTING UNKNOWN CHORISTONEURA FUMIFERANA GRANULOVIRUS YOELII STR. 17XNL </t>
  </si>
  <si>
    <t>DUF874 3e-009| Caldesmon 9e-007| COG1340 9e-007| SURF6 2e-006| COG2194 3e-005| TolA 3e-004| DUF841 5e-004| DUF947 6e-004| E-MAP-115 7e-004| COG5638 7e-004|</t>
  </si>
  <si>
    <t>Peptidase_C19G | AIDA-1b | COG2 |</t>
  </si>
  <si>
    <t>gi|56417404</t>
  </si>
  <si>
    <t xml:space="preserve">SALIVARY LYSOZYME AEDES ALBOPICTUS PUTATIVE AEGYPTI </t>
  </si>
  <si>
    <t>LYZ1 |</t>
  </si>
  <si>
    <t>gi|56417578</t>
  </si>
  <si>
    <t xml:space="preserve">CYTOPLASMIC SUPEROXIDE DISMUTASE AEDES ALBOPICTUS ANOPHELES GAMBIAE STR. PEST FAMILY MEMBER SOD-2 CAENORHABDITIS ELEGANS HYPOTHETICAL SODM1_CAEEL MITOCHONDRIAL PRECURSOR MANGANESE BRIGGSAE DROSOPHILA PSEUDOOBSCURA SODM_DROME MN MN-SUPEROXIDE MACROBRACHIUM ROSENBERGII CG8905-PA MELANOGASTER MNSOD CALLINECTES SAPIDUS APIS MELLIFERA LIGUSTICA PREDICTED SIMILAR TO BIOMPHALARIA GLABRATA MANGANESE-CONTAINING DANIO RERIO CONTAINING LEPEOPHTHEIRUS SALMONIS BOMBYX MORI XENOPUS LAEVIS SJCHGC06054 SCHISTOSOMA JAPONICUM OIKOPLEURA DIOICA UNNAMED PRODUCT TETRAODON NIGROVIRIDIS MUS MUSCULUS SP. SODM_MOUSE </t>
  </si>
  <si>
    <t>Superoxide dismutase [Mn], mitochondrial precursor - determination of adult life span - antioxidant activity</t>
  </si>
  <si>
    <t>antioxidant activity</t>
  </si>
  <si>
    <t>GO:0016209</t>
  </si>
  <si>
    <t>Sod_Fe_C 1e-021| SodA 6e-021| COG2904 0.057|</t>
  </si>
  <si>
    <t xml:space="preserve">HYPOTHETICAL PLASMODIUM CHABAUDI UNNAMED PRODUCT TETRAODON NIGROVIRIDIS </t>
  </si>
  <si>
    <t>COG4814 |</t>
  </si>
  <si>
    <t>RecG | MPPN | DhlC | eukary_NR_Moco |</t>
  </si>
  <si>
    <t>gi|27465077</t>
  </si>
  <si>
    <t>Chymomyza amoena</t>
  </si>
  <si>
    <t xml:space="preserve">CAMAR1 TRANSPOSASE CHYMOMYZA AMOENA </t>
  </si>
  <si>
    <t>Cell motility, Signal transduction mechanisms, Cytoskeleton]</t>
  </si>
  <si>
    <t>TOP4c |</t>
  </si>
  <si>
    <t>gi|181368</t>
  </si>
  <si>
    <t xml:space="preserve">CYTOCHROME S-MEPHENYTOIN 4-HYDROXYLASE 450 MEPHENYTOIN </t>
  </si>
  <si>
    <t xml:space="preserve">ATP4A MUS MUSCULUS HYPOTHETICAL HOMO SAPIENS ATPASE H+ K+ EXCHANGING ALPHA POLYPEPTIDE VARIANT 1471 ADENOSINETRIPHOSPHATASE ORYCTOLAGUS CUNICULUS ATP4A_RABIT POTASSIUM-TRANSPORTING CHAIN 1 PROTON PUMP GASTRIC SUBUNIT POTASSIUM TRANSPORTING HUMAN H K-ATPASE CATALYTIC K ATP4A_RAT K+-ATPASE ATP4A_HUMAN PREDICTED SIMILAR TO PAN TROGLODYTES CANIS FAMILIARIS ATP4A_CANFA BOS TAURUS ATP4A_MOUSE -ATPASE CHANNEL SUBUNIT=GAMMA RATTUS NORVEGICUS ATHA_HUMAN PARTIAL K+-EXCHANGING EC DOG SUBUNIT=ALPHA UNKNOWN FOR IMAGE XENOPUS LAEVIS ATP4A_XENLA ALPHA-SUBUNIT SUBUNIT=BETA </t>
  </si>
  <si>
    <t>gi|2564376</t>
  </si>
  <si>
    <t>Buenoa sp. HMR-1997</t>
  </si>
  <si>
    <t xml:space="preserve">MARINER TRANSPOSASE BUENOA SP. ANOPHELES GAMBIAE STR. PEST STOMOXYS URUMA DELIVERY VECTOR HYDRA VULGARIS C9 MUTANT MUTAGENESIS PCAM45 TRANSPOSON CLONE 3.4 HORN FLY FRAGMENT </t>
  </si>
  <si>
    <t>Signal transduction mechanisms, Chromatin structure and dynamics, Replication, recombination and repair, Cell cycle control, cell division, chromosome partitioning]</t>
  </si>
  <si>
    <t>Papilloma_E5 |</t>
  </si>
  <si>
    <t>Homo sapiens</t>
  </si>
  <si>
    <t xml:space="preserve">PHOSPHOINOSITIDE-3-KINASE CLASS 2 ALPHA POLYPEPTIDE HOMO SAPIENS PHOSPHOINOSITIDE 3-KINASE P3C2A_HUMAN PHOSPHATIDYLINOSITOL-4-PHOSPHATE DOMAIN-CONTAINING 3-KINASE-C2-ALPHA PTDINS-3-KINASE PI3K-C2ALPHA KINASE PHOSPHATIDYLINOSITOL 4-PHOSPHATE PHOSPHATE DOMAIN CONTAINING KINASE-C2-ALPHA C2-ALPHA PTDINS PI3K C2ALPHA HYPOTHETICAL PONGO PYGMAEUS Q5RAY1 P3C2A_PONPY 3 N-FORMYLGLUTAMATE AMIDOHYDROLASE PSEUDOMONAS FLUORESCENS PFO-1 FORMYLGLUTAMATE PFO 1 </t>
  </si>
  <si>
    <t>Phosphoinositide 3-kinase - phosphatidylinositol biosynthesis - phosphatidylinositol 3-kinase activity</t>
  </si>
  <si>
    <t>phosphatidylinositol 3-kinase activity||phosphoinositide 3-kinase activity||inositol or phosphatidylinositol kinase activity||phosphotransferase activity\, alcohol group as acceptor||transferase activity\, transferring phosphorus-containing groups||transferase activity||catalytic activity</t>
  </si>
  <si>
    <t>transferase activity</t>
  </si>
  <si>
    <t>GO:0016303</t>
  </si>
  <si>
    <t>DUF227 | CHK | ThiH | Transposase_27 |</t>
  </si>
  <si>
    <t>COG3968 |</t>
  </si>
  <si>
    <t xml:space="preserve">HYPOTHETICAL ASPERGILLUS FUMIGATUS CONSERVED TRYPANOSOMA CRUZI DICTYOSTELIUM DISCOIDEUM ORYZA SATIVA JAPONICA CULTIVAR-GROUP CULTIVAR GROUP </t>
  </si>
  <si>
    <t>Piccolo protein - calcium ion binding - profilin binding - calcium-dependent phospholipid binding - cytoskeleton - cytoskeleton organization and biogenesis - synaptic vesicle exocytosis - synaptic vesicle targeting - synapse</t>
  </si>
  <si>
    <t>calcium ion binding||metal ion binding||ion binding||binding</t>
  </si>
  <si>
    <t>ion binding</t>
  </si>
  <si>
    <t>GO:0005509</t>
  </si>
  <si>
    <t>gi|13882318</t>
  </si>
  <si>
    <t>Mycobacterium tuberculosis CDC1551</t>
  </si>
  <si>
    <t xml:space="preserve">HYPOTHETICAL MYCOBACTERIUM TUBERCULOSIS </t>
  </si>
  <si>
    <t>RNA_dep_RNApol2 |</t>
  </si>
  <si>
    <t xml:space="preserve">NEGATIVE BACTERIA BINDING 1 NASUTITERMES TRIODIAE COMATUS MAGNUS ANOPHELES GAMBIAE STR. PEST PUTATIVE GRAM GRAVEOLUS EXITIOSUS TUMULITERMES PASTINATOR WALKERI PLUVIALIS FUMIGATUS DIXONI LONGIPENNIS MASTOTERMES DARWINIENSIS 2 DREPANOTERMES RUBRICEPS PREDICTED SIMILAR TO CG6895-PA STRONGYLOCENTROTUS PURPURATUS </t>
  </si>
  <si>
    <t>Gram-negative bacteria binding protein 2 precursor - extracellular region - bacterial binding - defense response to pathogenic bacteria - regulation of innate immune response</t>
  </si>
  <si>
    <t>bacterial binding||binding</t>
  </si>
  <si>
    <t>bacterial binding</t>
  </si>
  <si>
    <t>GO:0008367</t>
  </si>
  <si>
    <t>GH16_beta_GRP 9e-013| Glyco_hydrolase_16 0.003|</t>
  </si>
  <si>
    <t xml:space="preserve">MYOSIN 5B HOMO SAPIENS PREDICTED VB Q9ULV0 MYO5B_HUMAN MYOSIN-5B </t>
  </si>
  <si>
    <t>Fuc4NAc_transf |</t>
  </si>
  <si>
    <t>gi|68470520</t>
  </si>
  <si>
    <t xml:space="preserve">HYPOTHETICAL CANDIDA ALBICANS DICTYOSTELIUM DISCOIDEUM YARROWIA LIPOLYTICA UNNAMED PRODUCT CLIB122 Y50E8A.I CAENORHABDITIS ELEGANS NADH-UBIQUINONE OXIDOREDUCTASE SUBUNIT 1 GLOBODERA PALLIDA NADH UBIQUINONE TFIID TRANSCRIPTION INITIATION FACTOR HOMO SAPIENS UNKNOWN SCHISTOSOMA JAPONICUM SJCHGC01957 DEHYDROGENASE 5 STRONGYLOIDES STERCORALIS PLASMODIUM BERGHEI STRAIN ANKA YOELII STR. 17XNL PREDICTED STRONGYLOCENTROTUS PURPURATUS MUSCULUS ADAM6 MUS FOR IMAGE CODING REGION MYCOPLASMA PULMONIS MYPU_5880 </t>
  </si>
  <si>
    <t>endonuclease activity||nuclease activity||hydrolase activity\, acting on ester bonds||hydrolase activity||catalytic activity</t>
  </si>
  <si>
    <t>GO:0004519</t>
  </si>
  <si>
    <t>Chromatin structure and dynamics]</t>
  </si>
  <si>
    <t>Endonuclease_NS 2e-019| NUC 2e-018| NUC1 5e-008| NUC 3e-006|</t>
  </si>
  <si>
    <t>gi|45934571</t>
  </si>
  <si>
    <t xml:space="preserve">RIBOSOMAL L37 AEDES AEGYPTI ANOPHELES GAMBIAE STR. PEST CG9091-PA DROSOPHILA MELANOGASTER Q9VXX8 RL371_DROME PROBABLE 60S L37-A SIMILAR TO YAKUBA L37E BIPHYLLUS LUNATUS PSEUDOOBSCURA BOMBYX MORI SPHAERIUS SP. PLUTELLA XYLOSTELLA TIMARCHA BALEARICA SPODOPTERA FRUGIPERDA RL37_SPOFR PREDICTED APIS MELLIFERA LYSIPHLEBUS TESTACEIPES 12 LONOMIA OBLIQUA HYPOTHETICAL DANIO RERIO ICTALURUS PUNCTATUS RL37_ICTPU IXODES PACIFICUS SCAPULARIS CANIS FAMILIARIS PAGRUS MAJOR PAN TROGLODYTES SAPIENS RATTUS NORVEGICUS UNKNOWN FOR MGC TAURUS ISOFORM 4 UNNAMED PRODUCT MUS MUSCULUS RPL37 TAENIOPYGIA GUTTATA GALLUS HOMO APLYSIA CALIFORNICA XENOPUS LAEVIS </t>
  </si>
  <si>
    <t>Ribosomal protein L37a - structural constituent of ribosome - cytosolic large ribosomal subunit (sensu Eukaryota) - protein biosynthesis - ribosome</t>
  </si>
  <si>
    <t>Ribosomal_L37e 6e-025| RpsN | RPOL9 | RING | FYVE | DUF1258 |</t>
  </si>
  <si>
    <t>Secondary metabolites biosynthesis, transport and catabolism]</t>
  </si>
  <si>
    <t xml:space="preserve">ANOPHELES GAMBIAE STR. PEST RIBOSOMAL L28 LYSIPHLEBUS TESTACEIPES PLUTELLA XYLOSTELLA SPODOPTERA FRUGIPERDA RL28_SPOFR DROSOPHILA MELANOGASTER ISOFORM D Q9VZS5 RL28_DROME PSEUDOOBSCURA PREDICTED SIMILAR TO APIS MELLIFERA YAKUBA BOMBYX MORI L28E EUCINETUS SP. MELADEMA CORIACEA 30 LONOMIA OBLIQUA CARABUS GRANULATUS HALIOTIS ASININA ICTALURUS PUNCTATUS SUBERITES DOMUNCULA XENOPUS TROPICALIS LAEVIS UNKNOWN FOR MGC UNNAMED PRODUCT RATTUS NORVEGICUS RL28_RAT HYPOTHETICAL GALLUS HIPPOCAMPUS COMES SPHAERIUS PLATICHTHYS FLESUS </t>
  </si>
  <si>
    <t>60S ribosomal protein L28 - structural constituent of ribosome - cytosolic large ribosomal subunit (sensu Eukaryota) - protein biosynthesis</t>
  </si>
  <si>
    <t>Ribosomal_L28e 2e-011| Rubella_Capsid | Paralemmin | COG5457 |</t>
  </si>
  <si>
    <t xml:space="preserve">PREDICTED HYPOTHETICAL MUSCULUS DICTYOSTELIUM DISCOIDEUM CYCLOPHILIN-RNA INTERACTING PARAMECIUM TETRAURELIA CYCLOPHILIN RNA UNNAMED PRODUCT ARABIDOPSIS THALIANA STRONGYLOCENTROTUS PURPURATUS CAENORHABDITIS BRIGGSAE SIMILAR TO ORF 1137 HOMO SAPIENS GALLUS RATTUS NORVEGICUS HYDROXYPROLINE-RICH GLYCOPROTEIN DZ-HRGP PRECURSOR CRYPTOSPORIDIUM HOMINIS HYDROXYPROLINE RICH DZ HRGP CONSERVED PLASMODIUM CHABAUDI </t>
  </si>
  <si>
    <t>splicing factor, arginine/serine-rich 12 - nucleic acid binding</t>
  </si>
  <si>
    <t>nucleic acid binding||binding</t>
  </si>
  <si>
    <t>GO:0003676</t>
  </si>
  <si>
    <t>Caldesmon 2e-011| ComEC 4e-011| E-MAP-115 5e-011| Competence 4e-009| COG2194 6e-009| TolA 8e-009| SURF6 1e-008| DUF947 2e-008| Triadin 3e-008| Atrophin-1 3e-008|</t>
  </si>
  <si>
    <t>ZZ_Mind_bomb | COG5594 |</t>
  </si>
  <si>
    <t>oxidoreductase activity</t>
  </si>
  <si>
    <t>Caenorhabditis briggsae</t>
  </si>
  <si>
    <t xml:space="preserve">HYPOTHETICAL CAENORHABDITIS BRIGGSAE PREDICTED STRONGYLOCENTROTUS PURPURATUS UNNAMED PRODUCT ARABIDOPSIS THALIANA NEUROSPORA CRASSA N150 HOMO SAPIENS PARTIAL SIMILAR TO CALCITONIN GENE-RELATED PEPTIDE TYPE 1 RECEPTOR PRECURSOR CGRP RECEPTOR-LIKE GENE RELATED LIKE INTEGRIN ALPHA-8 ALPHA 8 MYOSIN REGULATORY LIGHT CHAIN INTERACTING CANIS FAMILIARIS RATTUS NORVEGICUS MUSCULUS YARROWIA LIPOLYTICA CLIB122 UNKNOWN FOR IMAGE TAURUS CONSERVED PLASMODIUM CHABAUDI </t>
  </si>
  <si>
    <t>membrane - molecular_function unknown - N-linked glycosylation - O-linked glycosylation - response to stress</t>
  </si>
  <si>
    <t>TatC 4e-007| COG2194 2e-005| SURF6 2e-005| COG0670 4e-005| Oxidored_q1 6e-005| PIG-U 1e-004| MdoB 1e-004| PulO 2e-004| DltB 2e-004| DUF947 2e-004|</t>
  </si>
  <si>
    <t>Inorganic ion transport and metabolism, Signal transduction mechanisms]</t>
  </si>
  <si>
    <t>gi|66804691</t>
  </si>
  <si>
    <t xml:space="preserve">HYPOTHETICAL DICTYOSTELIUM DISCOIDEUM SIMILAR TO XENOPUS LAEVIS AFRICAN CLAWED FROG . DNA LIGASE I EC POLYDEOXYRIBONUCLEOTIDE SYNTHASE ATP CAENORHABDITIS ELEGANS ARABIDOPSIS THALIANA UNKNOWN UNNAMED PRODUCT PREDICTED STRONGYLOCENTROTUS PURPURATUS CRYPTOCOCCUS NEOFORMANS VAR. JEC21 NEUROSPORA CRASSA N150 PLASMODIUM FALCIPARUM 3D7 DEBARYOMYCES HANSENII CG2839-PA DROSOPHILA MELANOGASTER MUSCULUS CONSERVED CHABAUDI BINDING ATP-DEPENDENT HELICASE NUCLEIC ACID RNA HELICASES DEPENDENT TETRAODON NIGROVIRIDIS CANIS FAMILIARIS BRIGGSAE CYCLOPHILIN-RNA INTERACTING PARAMECIUM TETRAURELIA CYCLOPHILIN ISOLATE </t>
  </si>
  <si>
    <t>COG3936 4e-005| NosY 4e-005| Cgr1 4e-005| ComEC 4e-005| TatC 8e-005| 7tm_5 8e-005| SdaC 1e-004| Competence 1e-004| Triadin 1e-004| COG1340 1e-004|</t>
  </si>
  <si>
    <t>Gpi1 |</t>
  </si>
  <si>
    <t>gi|72122201</t>
  </si>
  <si>
    <t>Ralstonia eutropha JMP134</t>
  </si>
  <si>
    <t xml:space="preserve">56KDA SELENIUM BINDING RALSTONIA EUTROPHA </t>
  </si>
  <si>
    <t>SBP56 |</t>
  </si>
  <si>
    <t xml:space="preserve">ANOPHELES GAMBIAE STR. PEST DROSOPHILA PSEUDOOBSCURA MELANOGASTER SIMILAR TO YAKUBA CYTOCHROME C OXIDASE SUBUNIT VIA MELEAGRIS GALLOPAVO PREDICTED GALLUS HYPOTHETICAL XENOPUS TROPICALIS DANIO RERIO POLYPEPTIDE 1 PRECURSOR UNNAMED PRODUCT TETRAODON NIGROVIRIDIS CX6A1_CYPCA MITOCHONDRIAL CYPRINUS CARPIO ORYCTOLAGUS CUNICULUS Q9TTT7 CX6A1_RABIT VIA-LIVER LIVER THUNNUS OBESUS HOMOLOG PAN TROGLODYTES RATTUS NORVEGICUS CX6A1_RAT UNKNOWN FOR MGC LAEVIS HOMO SAPIENS EC CX6A1_HUMAN CX6A1_ONCMY ONCORHYNCHUS MYKISS 85 AA SYNTHETIC CONSTRUCT VI A MUS MUSCULUS SUBUNIT=VIA </t>
  </si>
  <si>
    <t>cytochrome-c oxidase activity - respiratory chain complex IV (sensu Eukaryota) - mitochondrial electron transport, cytochrome c to oxygen</t>
  </si>
  <si>
    <t>cytochrome-c oxidase activity||hydrogen ion transporter activity||monovalent inorganic cation transporter activity||cation transporter activity||ion transporter activity||transporter activity</t>
  </si>
  <si>
    <t>transporter activity</t>
  </si>
  <si>
    <t>ion transporter activity</t>
  </si>
  <si>
    <t>GO:0004129</t>
  </si>
  <si>
    <t>Energy production and conversion]</t>
  </si>
  <si>
    <t>Cyt_c_Oxidase_VIa 9e-037| COX6A 2e-031| DUF45 |</t>
  </si>
  <si>
    <t>DNA binding||nucleic acid binding||binding</t>
  </si>
  <si>
    <t>binding</t>
  </si>
  <si>
    <t>nucleic acid binding</t>
  </si>
  <si>
    <t>GO:0003677</t>
  </si>
  <si>
    <t>Inorganic ion transport and metabolism]</t>
  </si>
  <si>
    <t>API5 0.044| SelP_N | ZnuA | BCCT | COG3968 | BetT | Iron_permease | Chorion_2 | AbrB | Ppc |</t>
  </si>
  <si>
    <t>gi|60602908</t>
  </si>
  <si>
    <t>Schistosoma japonicum</t>
  </si>
  <si>
    <t xml:space="preserve">UNKNOWN SCHISTOSOMA JAPONICUM </t>
  </si>
  <si>
    <t>COG4398 |</t>
  </si>
  <si>
    <t>gi|51557780</t>
  </si>
  <si>
    <t>Culicoides sonorensis</t>
  </si>
  <si>
    <t xml:space="preserve">UNKNOWN SALIVARY CULICOIDES SONORENSIS CG5225-PA DROSOPHILA MELANOGASTER BACILLUS CEREUS ATCC CG6860-PB ISOFORM B CG6860-PA A STRONGYLOCENTROTUS PURPURATUS CRYPTDIN RELATED SEQUENCE PEPTIDE MUS MUSCULUS PREDICTED SIMILAR TO WD REPEAT DOMAIN 33 HYPOTHETICAL ORYZA SATIVA JAPONICA CULTIVAR-GROUP CULTIVAR GROUP PROLINE-RICH REGION NITROSOSPIRA MULTIFORMIS PROLINE RICH CG6867-PA PSEUDOMONAS PUTIDA CONSERVED PSEUDOOBSCURA HYPERVARIABLE GROUP-SPECIFIC E33L SPECIFIC CAPICUA HOMOLOG DANIO RERIO CAENORHABDITIS BRIGGSAE </t>
  </si>
  <si>
    <t>Ras protein signal transduction</t>
  </si>
  <si>
    <t>molecular_function unknown</t>
  </si>
  <si>
    <t>GO:0005554</t>
  </si>
  <si>
    <t>Extracellular structures]</t>
  </si>
  <si>
    <t>SelP_N 0.043|</t>
  </si>
  <si>
    <t xml:space="preserve">PUTATIVE SALIVARY SERINE PROLINE-RICH MUCIN AEDES ALBOPICTUS PROLINE RICH 8.5 KDA SECRETED AEGYPTI 8.3 CULEX PIPIENS QUINQUEFASCIATUS PREDICTED MAGNAPORTHE GRISEA GQP-RICH GQP SIMILAR TO TROGLODYTES CONSERVED HYPOTHETICAL SC3C3.03C STREPTOMYCES COELICOLOR A3 2 RNA BINDING ORYZA SATIVA DROSOPHILA MELANOGASTER MELLIFERA ATPASE CENTRAL REGION STREPTOCOCCUS SUIS 89 1591 YARROWIA LIPOLYTICA UNNAMED PRODUCT CLIB122 PEPTIDASE S49 SPPA ANAEROMYXOBACTER DEHALOGENANS 2CP-C 2CP CASEIN ALPHA S1 RATTUS NORVEGICUS CAS1_RAT ALPHA-S1-CASEIN PRECURSOR S1-CASEIN SEL-1 SUPPRESSOR LIN-12-LIKE CANIS FAMILIARIS SEL 1 LIN 12-LIKE GENERAL SECRETION PATHWAY N NITROBACTER HAMBURGENSIS X14 PORCINE RESPIRATORY REPRODUCTIVE SYNDROME VIRUS USTILAGO MAYDIS 521 CAENORHABDITIS BRIGGSAE RIBONUCLEASE BN KINEOCOCCUS RADIOTOLERANS LEISHMANIA MAJOR HOMO SAPIENS </t>
  </si>
  <si>
    <t>Transcription]</t>
  </si>
  <si>
    <t>GGTase-I | Frizzled | DUF486 |</t>
  </si>
  <si>
    <t>gi|56417392</t>
  </si>
  <si>
    <t xml:space="preserve">TRANSPORTER ATP-BINDING GLUCONOBACTER OXYDANS 621H BINDING POLYKETIDE SYNTHASE TYPE I STREPTOMYCES AIZUNENSIS PHOSPHATASE REGULATORY SUBUNIT GAC1 PUTATIVE ASPERGILLUS FUMIGATUS UNKNOWN ORYZA SATIVA JAPONICA CULTIVAR-GROUP CULTIVAR GROUP HYPOTHETICAL DICTYOSTELIUM DISCOIDEUM GIBBERELLA ZEAE PH-1 </t>
  </si>
  <si>
    <t>FucU | MiaE |</t>
  </si>
  <si>
    <t>gi|66802606</t>
  </si>
  <si>
    <t xml:space="preserve">HYPOTHETICAL DICTYOSTELIUM DISCOIDEUM CYTOKINESIS SEPA ASPERGILLUS NIDULANS FGSC A4 SEPA_EMENI FH1 2 FORCED EXPRESSION INHIBITION GROWTH A HOMOLOG EMERICELLA SIMILAR TO MUS MUSCULUS MOUSE . FORMIN 1 ISOFORM IV LIMB DEFORMITY PREDICTED DISHEVELED ASSOCIATED ACTIVATOR MORPHOGENESIS STRONGYLOCENTROTUS PURPURATUS YARROWIA LIPOLYTICA UNNAMED PRODUCT CLIB122 GIBBERELLA ZEAE PH-1 NEUROSPORA CRASSA N150 XENOPUS LAEVIS TETRAODON NIGROVIRIDIS PROBABLE HOMOLOGY B DISHEVELLED-ASSOCIATED PARTIAL BOS TAURUS DISHEVELLED ORYZAE CANIS FAMILIARIS 7 6 5 4 3 </t>
  </si>
  <si>
    <t>Diaphanous protein - cytokinesis - cytokinesis, contractile ring formation - actin filament organization - pole cell formation - spermatogenesis - cellularization - protein localization - cellularization (sensu Metazoa) - actin filament-based process - mitotic cell cycle, embryonic</t>
  </si>
  <si>
    <t>Drf_FH1 0.004| GRP 0.006| PRP8 0.008| Collagen 0.013| COG4371 0.040| Totivirus_coat 0.042| DUF1421 0.068| SMN 0.087| Atrophin-1 0.092| Extensin_2 0.100|</t>
  </si>
  <si>
    <t>Anopheles gambiae</t>
  </si>
  <si>
    <t xml:space="preserve">SERINE PROTEASE 14D2 ANOPHELES GAMBIAE STR. PEST 14D DROSOPHILA MELANOGASTER EAST_DROME EASTER PRECURSOR PUTATIVE CG4920-PA PSEUDOOBSCURA PRO-PHENOLOXIDASE ACTIVATING ENZYME-I HOLOTRICHIA DIOMPHALIA PRO PHENOLOXIDASE ENZYME I HEMOLYMPH PROTEINASE 5 MANDUCA SEXTA CG9733-PA ARMIGERES SUBALBATUS PROPHENOLOXIDASE BOMBYX MORI CG1102-PA BCDNA.GH02921 </t>
  </si>
  <si>
    <t>CG16705-PA - trypsin activity - proteolysis and peptidolysis</t>
  </si>
  <si>
    <t>trypsin activity||serine-type endopeptidase activity||serine-type peptidase activity||peptidase activity||hydrolase activity||catalytic activity</t>
  </si>
  <si>
    <t>GO:0004295</t>
  </si>
  <si>
    <t>Tryp_SPc 9e-024| Tryp_SPc 6e-023| Trypsin 5e-016| COG5640 3e-012| 7tm_5 0.015| RpoB | Nrap |</t>
  </si>
  <si>
    <t>Posttranslational modification, protein turnover, chaperones, Signal transduction mechanisms]</t>
  </si>
  <si>
    <t>gi|72058996</t>
  </si>
  <si>
    <t xml:space="preserve">PREDICTED SIMILAR TO PROGESTIN ADIPOQ RECEPTOR FAMILY MEMBER VIII STRONGYLOCENTROTUS PURPURATUS CADHERIN-11 PRECURSOR OSTEOBLAST-CADHERIN OB-CADHERIN OSF-4 MUS MUSCULUS CADHERIN 11 OSTEOBLAST OB OSF 4 ISOFORM 7 ANOPHELES GAMBIAE STR. PEST HYPOTHETICAL CANDIDA ALBICANS DNAJ HSP40 HOMOLOG SUBFAMILY C 5 TRANSFORMING GROWTH FACTOR BETA 2 VARIANT HOMO SAPIENS CONSERVED TRYPANOSOMA CRUZI </t>
  </si>
  <si>
    <t>Endothelin B receptor-like protein-2 precursor - biological_process unknown - integral to membrane - G-protein coupled receptor activity, unknown ligand</t>
  </si>
  <si>
    <t>G-protein coupled receptor activity\, unknown ligand||G-protein coupled receptor activity||transmembrane receptor activity||receptor activity||signal transducer activity</t>
  </si>
  <si>
    <t>receptor activity</t>
  </si>
  <si>
    <t>GO:0016526</t>
  </si>
  <si>
    <t>Prominin 0.051| LysP |</t>
  </si>
  <si>
    <t>Cyt_c_Oxidase_I |</t>
  </si>
  <si>
    <t>gi|62733342</t>
  </si>
  <si>
    <t xml:space="preserve">HYDROXYPROLINE-RICH GLYCOPROTEIN DZ-HRGP-RELATED ORYZA SATIVA JAPONICA CULTIVAR-GROUP EXPRESSED HYDROXYPROLINE RICH DZ HRGP-RELATED HRGP RELATED CULTIVAR GROUP </t>
  </si>
  <si>
    <t>gi|47216706</t>
  </si>
  <si>
    <t xml:space="preserve">UNNAMED PRODUCT TETRAODON NIGROVIRIDIS CAENORHABDITIS ELEGANS HYPOTHETICAL COUPLED RECEPTOR INTERACTING HOMO SAPIENS PUTATIVE GPCR GIP THEILERIA ANNULATA STRAIN ANKARA GUIDE RNA BINDING LEISHMANIA TARENTOLAE MUS MUSCULUS </t>
  </si>
  <si>
    <t>Srg | Peptidase_C19N | Ectoine_synth |</t>
  </si>
  <si>
    <t xml:space="preserve">UNKNOWN SCHISTOSOMA JAPONICUM HYPOTHETICAL DICTYOSTELIUM DISCOIDEUM CHAPERONIN PLASMODIUM YOELII STR. 17XNL PUTATIVE </t>
  </si>
  <si>
    <t>YMF19 |</t>
  </si>
  <si>
    <t>Entamoeba histolytica HM-1:IMSS</t>
  </si>
  <si>
    <t xml:space="preserve">PUTATIVE SERINE THREONINE KINASE DICTYOSTELIUM DISCOIDEUM HYPOTHETICAL CANDIDA ALBICANS THEILERIA PARVA STRAIN MUGUGA GGDEF PSYCHROBACTER CRYOHALOLENTIS K5 </t>
  </si>
  <si>
    <t>Cysteine string protein - protein folding - exocytosis - neurotransmitter secretion - synaptic vesicle - synaptic vesicle uncoating - vesicle-mediated transport</t>
  </si>
  <si>
    <t>DUF1405 |</t>
  </si>
  <si>
    <t>gi|19577384</t>
  </si>
  <si>
    <t xml:space="preserve">PUTATIVE RIBOSOMAL ANOPHELES GAMBIAE STR. PEST RIBSOMAL S29 CULEX PIPIENS QUINQUEFASCIATUS RS29_CULQU PLUTELLA XYLOSTELLA CG8495-PC ISOFORM C DROSOPHILA MELANOGASTER SIMILAR TO YAKUBA CG8495-PA A RS29_DROME PA S29E SCARABAEUS LATICOLLIS BOMBYX MORI 8 LONOMIA OBLIQUA SPHAERIUS SP. SPODOPTERA FRUGIPERDA Q8WQI3 RS29_SPOFR B LYSIPHLEBUS TESTACEIPES PREDICTED 40S MUS MUSCULUS ICTALURUS PUNCTATUS UNKNOWN FOR MGC XENOPUS LAEVIS RS29_ICTPU HIPPOCAMPUS COMES UNNAMED PRODUCT TETRAODON NIGROVIRIDIS Q6UZG0 RS29_HIPCM 1 HOMO SAPIENS TROPICALIS TAURUS RATTUS NORVEGICUS HYPOTHETICAL PONGO PYGMAEUS CANIS FAMILIARIS SYNTHETIC CONSTRUCT RS29_RAT RS29_MOUSE RS29_HUMAN DANIO RERIO TIMARCHA BALEARICA SUS SCROFA BRANCHIOSTOMA BELCHERI TSINGTAUNESE IXODES SCAPULARIS CURCULIO GLANDIUM </t>
  </si>
  <si>
    <t>Ribosomal protein S29 - structural constituent of ribosome - cytosolic small ribosomal subunit (sensu Eukaryota) - protein biosynthesis</t>
  </si>
  <si>
    <t>RpsN 7e-005| Ribosomal_S14 |</t>
  </si>
  <si>
    <t>gi|37181036</t>
  </si>
  <si>
    <t xml:space="preserve">RIBOSOMAL AEDES AEGYPTI CULEX PIPIENS QUINQUEFASCIATUS RS7_CULQU 40S TIMARCHA BALEARICA S7 BOMBYX MORI CARABUS GRANULATUS RIBSOMAL S7E PAPILIO DARDANUS PLUTELLA XYLOSTELLA GALLERIA MELLONELLA MANDUCA SEXTA RS7_MANSE SPODOPTERA FRUGIPERDA RS7_SPOFR ANOPHELES DIRUS DROSOPHILA MELANOGASTER CG1883-PA ISOFORM A CG1883-PC CG1883-PD RS7_DROME SIMILAR TO YAKUBA RS7_DROYA PSEUDOOBSCURA GAMBIAE STR. PEST RS7_ANOGA STEPHENSI PREDICTED APIS MELLIFERA LYSIPHLEBUS TESTACEIPES SPHAERIUS SP. ARGOPECTEN IRRADIANS PETROMYZON MARINUS SUBERITES DOMUNCULA HOMO SAPIENS </t>
  </si>
  <si>
    <t>Ribosomal protein S7 - structural constituent of ribosome - cytosolic small ribosomal subunit (sensu Eukaryota) - protein biosynthesis</t>
  </si>
  <si>
    <t>Ribosomal_S7e 4e-018|</t>
  </si>
  <si>
    <t xml:space="preserve">UNNAMED PRODUCT CHLORELLA VULGARIS HYPOTHETICAL 41B CHLOROPLAST CHVUCP076 PLASMODIUM YOELII STR. 17XNL DEHYDROGENASE UBIQUINONE CHAIN 2 HOMOLOG CHVUCP168 UNKNOWN SCHISTOSOMA JAPONICUM PROBABLE NADH VIBRIO CHOLERAE DICTYOSTELIUM DISCOIDEUM TFIID SUBUNIT TRANSCRIPTION INITIATION FACTOR </t>
  </si>
  <si>
    <t xml:space="preserve">PUTATIVE SALIVARY CULEX PIPIENS QUINQUEFASCIATUS 56.5 KDA SECRETED AEDES AEGYPTI 56 ALBOPICTUS FAMILY 56K 2 3 KD 1 ANOPHELES GAMBIAE STR. PEST 53.7 STEPHENSI HYPOTHETICAL ORYZA SATIVA JAPONICA CULTIVAR-GROUP CULTIVAR GROUP RETROTRANSPOSON UNCLASSIFIED POLYPROTEIN OSJNBB0015N08.7 BURKHOLDERIA PSEUDOMALLEI SENSOR EVGS PRECURSOR ESCHERICHIA COLI BACTERIOPHAGE UNNAMED PRODUCT CANDIDA GLABRATA GLYCOSYL TRANSFERASE SOLIBACTER USITATUS ELLIN6076 PHAGE PORTAL HK97 DIPHOSPHOKINASE SYNTROPHOBACTER FUMAROXIDANS MPOB MAGNETOSPIRILLUM MAGNETOTACTICUM MS-1 MS </t>
  </si>
  <si>
    <t>Function unknown]</t>
  </si>
  <si>
    <t>Aedes aegypti</t>
  </si>
  <si>
    <t xml:space="preserve">PUTATIVE LYSOZYME AEDES AEGYPTI SALIVARY ALBOPICTUS LYS_BOMMO PRECURSOR 1 4-BETA-N-ACETYLMURAMIDASE BOMBYX MORI 4 BETA-N-ACETYLMURAMIDASE BETA N-ACETYLMURAMIDASE N ACETYLMURAMIDASE II ARTOGEIA RAPAE CHAIN STRUCTURE SAMIA CYNTHIA RICINI C-1 ANOPHELES GAMBIAE LYS_ANOGA LYS_HYACE AGRIUS CONVOLVULI 9424 2 HYALOPHORA CECROPIA MANDUCA SEXTA MACROBRACHIUM NIPPONENSE STEPHENSI PENAEUS MONODON DARLINGI DERMACENTOR ANDERSONI ROSENBERGII VARIABILIS C-2 C C-TYPE MARSUPENAEUS JAPONICUS TYPE LITOPENAEUS VANNAMEI </t>
  </si>
  <si>
    <t>CG11159-PA - salivary gland cell death - autophagic cell death</t>
  </si>
  <si>
    <t>lysozyme activity||hydrolase activity\, hydrolyzing O-glycosyl compounds||hydrolase activity\, acting on glycosyl bonds||hydrolase activity||catalytic activity</t>
  </si>
  <si>
    <t>GO:0003796</t>
  </si>
  <si>
    <t>RNA processing and modification]</t>
  </si>
  <si>
    <t>LYZ1 9e-040| Acr2p |</t>
  </si>
  <si>
    <t xml:space="preserve">PERITROPHIN AEDES AEGYPTI MUCIN-LIKE ALBOPICTUS MUCIN LIKE PUTATIVE IMUCR3 MUC1 ANOPHELES GAMBIAE STR. PEST A PERITROPHIN-1 PE1_ANOGA PRECURSOR PERITROPHIC MATRIX 1 AGAPER-1 AGAPER </t>
  </si>
  <si>
    <t>structural constituent of peritrophic membrane (sensu Insecta)</t>
  </si>
  <si>
    <t>structural constituent of peritrophic membrane (sensu Insecta)||structural molecule activity</t>
  </si>
  <si>
    <t>structural molecule activity</t>
  </si>
  <si>
    <t>GO:0016490</t>
  </si>
  <si>
    <t>Lipid transport and metabolism]</t>
  </si>
  <si>
    <t>ChtBD2 1e-011| CBM_14 3e-011| VWD 0.012| ACS_1 0.047| CdhA | COG5391 | GRAS |</t>
  </si>
  <si>
    <t>gi|38350667</t>
  </si>
  <si>
    <t>Unknown class of transcripts</t>
  </si>
  <si>
    <t>Transposable element product</t>
  </si>
  <si>
    <t>Secreted class of transcripts</t>
  </si>
  <si>
    <t>Endonuclease</t>
  </si>
  <si>
    <t>Other transcripts possibly associated with secreted products</t>
  </si>
  <si>
    <t>Glycosidase</t>
  </si>
  <si>
    <t>Mucins</t>
  </si>
  <si>
    <t>Lysozyme</t>
  </si>
  <si>
    <t>Gram-negative binding protein</t>
  </si>
  <si>
    <t>Serine protease</t>
  </si>
  <si>
    <t>Antigen 5 family</t>
  </si>
  <si>
    <t>56 kDa family</t>
  </si>
  <si>
    <t>41.9  kDa family</t>
  </si>
  <si>
    <t>30.5 kDa family</t>
  </si>
  <si>
    <t>23.4 kDa family</t>
  </si>
  <si>
    <t>Housekeeping transcript class</t>
  </si>
  <si>
    <t>Transporters</t>
  </si>
  <si>
    <t>Transcription machinery</t>
  </si>
  <si>
    <t>Signal transduction</t>
  </si>
  <si>
    <t>Protein synthesis machinery</t>
  </si>
  <si>
    <t>Protein export machinery</t>
  </si>
  <si>
    <t>Oxidant metabolism</t>
  </si>
  <si>
    <t>Lipid metabolism</t>
  </si>
  <si>
    <t>Carbohyrate metabolism</t>
  </si>
  <si>
    <t>Energy metabolism</t>
  </si>
  <si>
    <t>Candida albicans SC5314</t>
  </si>
  <si>
    <t xml:space="preserve">HYPOTHETICAL CANDIDA ALBICANS MYCOBACTERIUM AVIUM SUBSP. PARATUBERCULOSIS K-10 MAP_0716C DIVISION FTSK HOMOLOG MESORHIZOBIUM LOTI FTSK_RHILO DNA TRANSLOCASE </t>
  </si>
  <si>
    <t>gi|39587350</t>
  </si>
  <si>
    <t xml:space="preserve">HYPOTHETICAL CAENORHABDITIS BRIGGSAE PREDICTED SIMILAR TO PUTATIVE ESTERASE APIS MELLIFERA TEMPORARILY ASSIGNED GENE NAME FAMILY MEMBER TAG-58 ELEGANS 1MDA_1 2MDA_2 2MDA_1 TAG 58 </t>
  </si>
  <si>
    <t>Toll-like receptor 3 precursor - double-stranded RNA binding - receptor activity - transmembrane receptor activity - integral to plasma membrane - hyperosmotic response - signal transduction - activation of NF-kappaB-inducing kinase - detection of virus - membrane - defense response to bacteria - positive regulation of interferon-beta biosynthesis - negative regulation of osteoclast differentiation</t>
  </si>
  <si>
    <t>double-stranded RNA binding||RNA binding||nucleic acid binding||binding</t>
  </si>
  <si>
    <t>GO:0003725</t>
  </si>
  <si>
    <t>COG2189 0.004| MopB_Res-Cmplx1_Nad11-M | COG1002 | Ribosomal_S14 | PolC |</t>
  </si>
  <si>
    <t xml:space="preserve">ANOPHELES GAMBIAE STR. PEST RIBOSOMAL L36 CULICOIDES SONORENSIS DROSOPHILA PSEUDOOBSCURA SIMILAR TO MELANOGASTER RPL36 YAKUBA CG7622-PC ISOFORM C CG7622-PD CG7622-PB CG7622-PA RL36_DROME MINUTE 1 1B L36E TIMARCHA BALEARICA CICINDELA LITTORALIS AGRIOTES LINEATUS BOMBYX MORI L36A PLUTELLA XYLOSTELLA BIPHYLLUS LUNATUS PREDICTED APIS MELLIFERA LYSIPHLEBUS TESTACEIPES SPODOPTERA FRUGIPERDA MUS MUSCULUS 60S PAN TROGLODYTES SAPIENS RATTUS NORVEGICUS HYPOTHETICAL PONGO PYGMAEUS UNNAMED PRODUCT SYNTHETIC CONSTRUCT RL36_HUMAN HOMO UNKNOWN FOR MGC TAURUS LAPEMIS HARDWICKII RL36_RAT </t>
  </si>
  <si>
    <t>Ribosomal protein L36 - structural constituent of ribosome - cytosolic large ribosomal subunit (sensu Eukaryota) - protein biosynthesis - ribosome</t>
  </si>
  <si>
    <t>Ribosomal_L36e 8e-040| ZnuC 0.023| COG4701 | DUF541 | OYE_like_FMN |</t>
  </si>
  <si>
    <t xml:space="preserve">CATALASE 1 ANOPHELES GAMBIAE DROSOPHILA MELANOGASTER CG6871-PA CATA_DROME PSEUDOOBSCURA APIS MELLIFERA LIGUSTICA PREDICTED SIMILAR TO PARTIAL LITOPENAEUS VANNAMEI CG9314-PA BOMBYX MORI RATTUS NORVEGICUS CATA_RAT METHYLOBACTERIUM EXTORQUENS ASCARIS SUUM CATA_ASCSU INSERTIONAL EXPRESSION VECTOR CLONING UNNAMED PRODUCT MUS MUSCULUS CANIS FAMILIARIS CATA_CANFA SUS SCROFA CATA_PIG </t>
  </si>
  <si>
    <t>Catalase - catalase activity - determination of adult life span - antioxidant activity - response to hydrogen peroxide</t>
  </si>
  <si>
    <t>catalase activity||peroxidase activity||oxidoreductase activity\, acting on peroxide as acceptor||oxidoreductase activity||catalytic activity</t>
  </si>
  <si>
    <t>GO:0004096</t>
  </si>
  <si>
    <t>catalase 1e-014| KatE 4e-011| Prominin |</t>
  </si>
  <si>
    <t>VAR1 |</t>
  </si>
  <si>
    <t>gi|60600824</t>
  </si>
  <si>
    <t xml:space="preserve">UNKNOWN SCHISTOSOMA JAPONICUM DROSOPHILA MELANOGASTER HYPOTHETICAL CANDIDA ALBICANS ORYZA SATIVA JAPONICA CULTIVAR-GROUP CULTIVAR GROUP INTEGRAL MEMBRANE TRANSPORTER HOMO SAPIENS PREDICTED PARTIAL STRONGYLOCENTROTUS PURPURATUS PLASMODIUM YOELII STR. 17XNL PROLYL-TRNA SYNTHETASE THERMOCOCCUS KODAKARENSIS KOD1 PROLYL TRNA </t>
  </si>
  <si>
    <t>RgpF 0.087| ProRS_core_arch_euk |</t>
  </si>
  <si>
    <t>gi|66827663</t>
  </si>
  <si>
    <t xml:space="preserve">HYPOTHETICAL DICTYOSTELIUM DISCOIDEUM UNNAMED PRODUCT TETRAODON NIGROVIRIDIS </t>
  </si>
  <si>
    <t>SdrC |</t>
  </si>
  <si>
    <t>APG9 |</t>
  </si>
  <si>
    <t>NuoM | HyfB | Papilloma_E5 | 7tm_4 | Uso1_p115_head | COG0398 | Oxidored_q4 | DUF32 | COG1584 | TAS2R |</t>
  </si>
  <si>
    <t>COG3965 |</t>
  </si>
  <si>
    <t>gi|71024423</t>
  </si>
  <si>
    <t>Ustilago maydis 521</t>
  </si>
  <si>
    <t xml:space="preserve">HYPOTHETICAL USTILAGO MAYDIS 521 </t>
  </si>
  <si>
    <t>Peptidase_C19L 0.056|</t>
  </si>
  <si>
    <t>gi|39595070</t>
  </si>
  <si>
    <t xml:space="preserve">HYPOTHETICAL CAENORHABDITIS BRIGGSAE </t>
  </si>
  <si>
    <t>CT |</t>
  </si>
  <si>
    <t xml:space="preserve">TRANSLOCASE ANOPHELES GAMBIAE STR. PEST CARRIER AFRICAN MALARIA MOSQUITO ADT_ANOGA ADP ATP ADENINE NUCLEOTIDE TRANSLOCATOR ANT PREDICTED SIMILAR TO ISOFORM A STRONGYLOCENTROTUS PURPURATUS PUTATIVE MITOCHONDRIAL ONCOMETOPIA NIGRICANS TOXOPLASMA GONDII ADP-ATP ETHMOSTIGMUS RUBRIPES IXODES SCAPULARIS APIS MELLIFERA TRANSPORTER PUTATVE THEILERIA ANNULATA STRAIN ANKARA HALOCYNTHIA RORETZI PARVA MUGUGA PHYTOPHTHORA INFESTANS MANDUCA SEXTA ON ADENYLATE PLASMODIUM CHABAUDI BERGHEI ANKA YOELII 17XNL PDZ DOMAIN CONTAINING 6 RATTUS NORVEGICUS FALCIPARUM HYPOTHETICAL 8 LONOMIA OBLIQUA DICTYOSTELIUM DISCOIDEUM </t>
  </si>
  <si>
    <t xml:space="preserve">SERINE ARGININE REPETITIVE MATRIX 1 GALLUS HYPOTHETICAL Q5ZMJ9 SRRM1_CHICK BIOTIN--ACETYL-COA-CARBOXYLASE LIGASE OCEANICOLA BATSENSIS BIOTIN -ACETYL-COA-CARBOXYLASE ACETYL-COA-CARBOXYLASE ACETYL COA-CARBOXYLASE COA CARBOXYLASE UNKNOWN ORYZA SATIVA JAPONICA CULTIVAR-GROUP CULTIVAR GROUP GIARDIA LAMBLIA ATCC CYTOCHROME C CLASS I BURKHOLDERIA SP. 383 MAGNAPORTHE GRISEA CONSERVED SILICIBACTER POMEROYI DSS-3 NEUROSPORA CRASSA N150 PREDICTED SIMILAR TO POTASSIUM CHANNEL TETRAMERISATION DOMAIN CONTAINING 16 CANIS FAMILIARIS </t>
  </si>
  <si>
    <t>COG1583 0.018| PilY1 | FBP_aldolase_IIA | CcmE | COG0182 | Cyto_ox_2 | CrtY | FTBP_aldolase_II |</t>
  </si>
  <si>
    <t>COG5038 |</t>
  </si>
  <si>
    <t>Plasmodium falciparum 3D7</t>
  </si>
  <si>
    <t xml:space="preserve">HYPOTHETICAL Y50E8A.I CAENORHABDITIS ELEGANS PREDICTED SIMILAR TO CG3759-PA STRONGYLOCENTROTUS PURPURATUS AMSACTA MOOREI ENTOMOPOXVIRUS NADH-UBIQUINONE OXIDOREDUCTASE SUBUNIT 4 GLOBODERA PALLIDA NADH UBIQUINONE YARROWIA LIPOLYTICA UNNAMED PRODUCT CLIB122 CRITHIDIA FASCICULATA TFIID DICTYOSTELIUM DISCOIDEUM TRANSCRIPTION INITIATION FACTOR ASPERGILLUS NIDULANS FGSC A4 CANDIDA ALBICANS TRYPANOSOMA CRUZI TRANSPORTER NAEGLERIA GRUBERI DEHYDROGENASE 5 STRONGYLOIDES STERCORALIS PLASMODIUM BERGHEI STRAIN ANKA PUTATIVE PICROPHILUS TORRIDUS DSM 9790 SYNTHASE F0 6 NEOMASKELLIA ANDROPOGONIS 2 COOPERIA ONCOPHORA </t>
  </si>
  <si>
    <t>Lipid transport and metabolism, General function prediction only]</t>
  </si>
  <si>
    <t>Yip1 2e-004| NolL 5e-004| 7tm_5 0.003| TatC 0.003| COG3202 0.003| MARVEL 0.005| QcrB 0.006| ComEC 0.013| NosY 0.013| DUF6 0.014|</t>
  </si>
  <si>
    <t xml:space="preserve">ANOPHELES GAMBIAE STR. PEST UBIQUITIN RIBOSOMAL S30E FUSION PAPILIO DARDANUS HYPOTHETICAL 17 LONOMIA OBLIQUA S30 LYSIPHLEBUS TESTACEIPES CARABUS GRANULATUS BOMBYX MORI SPHAERIUS SP. DROSOPHILA MELANOGASTER ISOFORM B DASCILLUS CERVINUS HISTER PSEUDOOBSCURA GEORISSUS SCARABAEUS LATICOLLIS SPODOPTERA FRUGIPERDA XENOPUS LAEVIS PREDICTED SIMILAR TO APIS MELLIFERA HIPPOCAMPUS COMES TROPICALIS FINKEL-BISKIS-REILLY MURINE SARCOMA VIRUSUBIQUITOUSLY EXPRESSED STRONGYLOCENTROTUS PURPURATUS FINKEL BISKIS-REILLY BISKIS REILLY UNKNOWN FOR MGC VIRUS FBR-MUSV UBIQUITOUSLY FOX DERIVED BOS TAURUS UBIQUITIN-LIKE FBR MUSV LIKE DANIO RERIO PONGO PYGMAEUS </t>
  </si>
  <si>
    <t>Ribosomal protein S30 - structural constituent of ribosome - cytosolic small ribosomal subunit (sensu Eukaryota)</t>
  </si>
  <si>
    <t>Translation, ribosomal structure and biogenesis, Posttranslational modification, protein turnover, chaperones]</t>
  </si>
  <si>
    <t>Ribosomal_S30 2e-024| Fubi 1e-016| UBQ 6e-006| ubiquitin 1e-005| COG4919 1e-005| UBL 1e-004| CheR 0.038| RAD23_N 0.046| ISG15_repeat2 0.092| Gag_spuma |</t>
  </si>
  <si>
    <t xml:space="preserve">DROSOPHILA MELANOGASTER CYTOCHROME C OXIDASE SUBUNIT VIC POLYPEPTIDE MAURITIANA SIMULANS PSEUDOOBSCURA PRECURSOR THUNNUS OBESUS CYPRINUS CARPIO PROPROTEIN HOMO SAPIENS SYNTHETIC CONSTRUCT COX6C_HUMAN PREPROTEIN PONGO PYGMAEUS HYPOTHETICAL Q7YRK3 COX6C_PONPY MUS MUSCULUS UNNAMED PRODUCT Q9CPQ1 COX6C_MOUSE TRACHYPITHECUS CRISTATUS Q7YRK1 COX6C_TRACR OGHU6C CYTOCHROME-C EC CHAIN HUMAN UNKNOWN FOR MGC RATTUS NORVEGICUS CX6C2_RAT VIC-2 NYCTICEBUS COUCANG Q7YRJ8 COX6C_NYCCO PREDICTED SIMILAR TO NOVEL MOUSE COX6C DANIO RERIO MACACA SILENUS MITOCHONDRIAL 6C Q7YRK2 COX6C_MACSL XENOPUS LAEVIS TARSIUS SYRICHTA Q7YRK7 COX6C_TARSY STRONGYLOCENTROTUS PURPURATUS CALLICEBUS DONACOPHILUS Q7YRK0 COX6C_CALDO ISOFORM 2 CANIS FAMILIARIS SAIMIRI SCIUREUS Q7YRJ9 COX6C_SAISC </t>
  </si>
  <si>
    <t>Cytochrome c oxidase polypeptide VIc precursor - generation of precursor metabolites and energy</t>
  </si>
  <si>
    <t>oxidoreductase activity||catalytic activity</t>
  </si>
  <si>
    <t>GO:0016491</t>
  </si>
  <si>
    <t>COX6C 4e-020| PAD 0.040| PRP11 | Keratin_B2 | UPF0118 |</t>
  </si>
  <si>
    <t>gi|70906311</t>
  </si>
  <si>
    <t xml:space="preserve">RIBOSOMAL S3 AEDES ALBOPICTUS AEGYPTI ANOPHELES GAMBIAE STR. PEST CARABUS GRANULATUS S3E SCARABAEUS LATICOLLIS MYCETOPHAGUS QUADRIPUSTULATUS DROSOPHILA VIRILIS PSEUDOOBSCURA MELANOGASTER CG6779-PA RS3_DROME 40S ENDONUCLEASE DNA REPAIR SIMILAR TO XENOPUS LAEVIS S1 RS3B_XENLA S3B S1B S1A RS3A_XENLA S3-A UNNAMED PRODUCT MUS MUSCULUS MERIONES UNGUICULATUS R3RT3 CYTOSOLIC VALIDATED RAT PREDICTED ISOFORM 1 CANIS FAMILIARIS RATTUS NORVEGICUS 7 6 HYPOTHETICAL PONGO PYGMAEUS VARIANT HOMO SAPIENS RPS3 </t>
  </si>
  <si>
    <t>Ribosomal protein S3 - structural constituent of ribosome - cytosolic small ribosomal subunit (sensu Eukaryota) - protein biosynthesis - DNA-(apurinic or apyrimidinic site) lyase activity - nucleus - cytoplasm - ribosome - DNA repair - purine-specific oxidized base lesion DNA N-glycosylase activity</t>
  </si>
  <si>
    <t>RpsC 2e-007| Ribosomal_S3_C 9e-005| Keratin_B2 | eIF-3c_C | Furin-like | LamG | FBPase_glpX | HypF | COG4739 | RPO41 |</t>
  </si>
  <si>
    <t xml:space="preserve">ANOPHELES GAMBIAE STR. PEST DROSOPHILA MELANOGASTER PSEUDOOBSCURA SIMILAR TO YAKUBA PREDICTED MELLIFERA XENOPUS LAEVIS HYPOTHETICAL TROPICALIS HYDROXYSTEROID 17-BETA DEHYDROGENASE 4 GALLUS 17-BETA-HYDROXYSTEROID BETA-HYDROXYSTEROID MULTIFUNCTIONAL 2 RATTUS NORVEGICUS PEROXISOMAL ENZYME TYPE II 17 BETA IV HSD SP. DHB4_RAT MFE-2 D-BIFUNCTIONAL DBP 17-BETA-HSD INCLUDES D-3-HYDROXYACYL-COA DEHYDRATASE 3-ALPHA 7-ALPHA 12-ALPHA-TRIHYDROXY-5-BETA-CHOLEST-24-ENOYL-COA HYDRATASE 3-HYDROXYACYL-COA MFE D BIFUNCTIONAL BETA-HSD 3 HYDROXYACYL-COA HYDROXYACYL COA ALPHA 7 12 ALPHA-TRIHYDROXY-5-BETA-CHOLEST-24-ENOYL-COA TRIHYDROXY-5-BETA-CHOLEST-24-ENOYL-COA TRIHYDROXY 5-BETA-CHOLEST-24-ENOYL-COA BETA-CHOLEST-24-ENOYL-COA CHOLEST-24-ENOYL-COA CHOLEST 24-ENOYL-COA ENOYL-COA ENOYL ISOFORM 5 CANIS FAMILIARIS STRONGYLOCENTROTUS PURPURATUS DANIO RERIO HSD17B4 MUTIFUNCTIONAL PROTEIN2 CAVIA PORCELLUS EQUUS CABALLUS HOMO SAPIENS 17BETA-HYDROXYSTEROID DHB4_HUMAN 17BETA CHAIN LIGANDED STEROL CARRIER SCP-2 LIKE DOMAIN HUMAN SCP MUS MUSCULUS UNNAMED PRODUCT DHB4_MOUSE </t>
  </si>
  <si>
    <t>estradiol 17-beta-dehydrogenase activity</t>
  </si>
  <si>
    <t>estradiol 17-beta-dehydrogenase activity||steroid dehydrogenase activity||oxidoreductase activity\, acting on the CH-OH group of donors\, NAD or NADP as acceptor||oxidoreductase activity\, acting on CH-OH group of donors||oxidoreductase activity||catalytic activity</t>
  </si>
  <si>
    <t>GO:0004303</t>
  </si>
  <si>
    <t>SCP2 2e-021| COG3255 3e-007| COG2015 0.001| COG3154 | DUF1243 |</t>
  </si>
  <si>
    <t>ComEC 0.003| MARVEL 0.008| COG4267 0.016| TagG 0.018| DUF975 0.019| COG1738 0.024| NolL 0.030| Oxidored_q4 0.045| COG5409 0.054| DUF70 0.062|</t>
  </si>
  <si>
    <t>TyrR |</t>
  </si>
  <si>
    <t>Dor1 | COG5543 |</t>
  </si>
  <si>
    <t>MYSc_type_XV |</t>
  </si>
  <si>
    <t>Papilloma_E5 | 7tm_5 |</t>
  </si>
  <si>
    <t xml:space="preserve">UNKNOWN SCHISTOSOMA JAPONICUM RIBOSOMAL L36 RPL36 ORYZA SATIVA JAPONICA CULTIVAR-GROUP GRPL36 CULTIVAR GROUP </t>
  </si>
  <si>
    <t xml:space="preserve">RIBOSOMAL S13 AEDES AEGYPTI ANOPHELES GAMBIAE STR. PEST PUTATIVE RS13_ANOGA SIMILAR TO DROSOPHILA MELANOGASTER RPS13 YAKUBA PSEUDOOBSCURA S17 RS13_MUSDO 9690 MUSCA DOMESTICA BOMBYX MORI CHORISTONEURA PARALLELA Q8MUR2 RS13_CHOPR SPODOPTERA FRUGIPERDA RS13_SPOFR TIMARCHA BALEARICA S13E GEORISSUS SP. CURCULIO GLANDIUM BRANCHIOSTOMA BELCHERI RIBSOMAL PAPILIO DARDANUS PLUTELLA XYLOSTELLA RS13_PLUXY CARABUS GRANULATUS SPHAERIUS AGRIOTES LINEATUS CIONA INTESTINALIS RS13_CIOIN PREDICTED MUS MUSCULUS RS13_CANMA S15 </t>
  </si>
  <si>
    <t>Ribosomal protein S13 - structural constituent of ribosome - cytosolic small ribosomal subunit (sensu Eukaryota) - protein biosynthesis - ribosome</t>
  </si>
  <si>
    <t>Ribosomal_S15 6e-016| Na_sulph_symp | RNA_pol | MGS1 | Rho | PCMT | rho_factor |</t>
  </si>
  <si>
    <t xml:space="preserve">ANOPHELES GAMBIAE STR. PEST CG4111-LIKE DROSOPHILA MIRANDA PSEUDOOBSCURA MELANOGASTER CG4111-PA ISOFORM A CG4111-PB </t>
  </si>
  <si>
    <t>gi|83647025</t>
  </si>
  <si>
    <t>Hahella chejuensis KCTC 2396</t>
  </si>
  <si>
    <t xml:space="preserve">ABC-TYPE AMINO ACID TRANSPORT SIGNAL TRANSDUCTION SYSTEMS PERIPLASMIC COMPONENT DOMAIN HAHELLA CHEJUENSIS KCTC 2396 </t>
  </si>
  <si>
    <t>COG1284 |</t>
  </si>
  <si>
    <t xml:space="preserve">PHEROPHORIN-DZ1 VOLVOX CARTERI F. NAGARIENSIS PHEROPHORIN DZ1 HYPOTHETICAL GIBBERELLA ZEAE PH-1 UNNAMED PRODUCT ASPERGILLUS ORYZAE CYTOKINESIS SEPA NIDULANS FGSC A4 SEPA_EMENI FH1 2 FORCED EXPRESSION INHIBITION GROWTH A HOMOLOG EMERICELLA HYDROXYPROLINE-RICH GLYCOPROTEIN DZ-HRGP HYDROXYPROLINE RICH DZ HRGP PHEROPHORIN-S S HUMAN HERPESVIRUS 4 EBNA-2 NUCLEAR EBN2_EBV EPSTEIN-BARR ANTIGEN EBNA EPSTEIN BARR EBNA2 CONSERVED TRYPANOSOMA CRUZI UNKNOWN ARABIDOPSIS THALIANA EXTENSIN-LIKE EXTENSIN LIKE TETRAODON NIGROVIRIDIS MAGNAPORTHE GRISEA AUTOTRANSPORTER ERYTHROBACTER LITORALIS PUTATIVE FUMIGATUS PREDICTED SIMILAR TO DIAPHANOUS ISOFORM 156 PARTIAL DANIO RERIO XENOPUS LAEVIS BINDING STRUCTURAL CONSTITUENT CELL WALL PROTEIN-LIKE FORMIN HOMOLOGY B DICTYOSTELIUM DISCOIDEUM SULFATED SURFACE 185 SSGP_VOLCA PRECURSOR SSG </t>
  </si>
  <si>
    <t>Wiskott-Aldrich syndrome-like (human) - cytoplasm - nucleus - lamellipodium - protein binding - DNA binding - cell projection biogenesis - response to pathogenic bacteria - regulation of transcription, DNA-dependent - actin nucleation</t>
  </si>
  <si>
    <t>protein binding||binding</t>
  </si>
  <si>
    <t>GO:0005515</t>
  </si>
  <si>
    <t>Drf_FH1 5e-008| SMN 1e-007| PRP8 4e-007| Extensin_2 6e-007| GRP 3e-006| DUF1210 3e-005| DUF729 1e-004| FAP 1e-004| DUF1421 2e-004| WT1 3e-004|</t>
  </si>
  <si>
    <t>gi|66267505</t>
  </si>
  <si>
    <t>Danio rerio</t>
  </si>
  <si>
    <t xml:space="preserve">INTEGRIN BETA-LIKE 1 DANIO RERIO HUMAN HERPESVIRUS 6 UNKNOWN MUS MUSCULUS HYPOTHETICAL PLASMODIUM BERGHEI STRAIN ANKA UNNAMED PRODUCT HOMO SAPIENS SEVEN TRANSMEMBRANE HELIX RECEPTOR UNLIKELY TRYPANOSOMA BRUCEI TETRAODON NIGROVIRIDIS RATTUS NORVEGICUS XYLELLA FASTIDIOSA 9A5C FALCIPARUM 3D7 SJCHGC03017 SCHISTOSOMA JAPONICUM BACTEROIDES FRAGILIS YCH46 </t>
  </si>
  <si>
    <t>zgc:92827 - cellular_component unknown - biological_process unknown - molecular_function unknown</t>
  </si>
  <si>
    <t>BAF1_ABF1 5e-004| SelP_N 0.001| ZnuA 0.004| COG2215 0.018| Zip 0.025| DUF614 0.031| Plasmodium_HRP 0.042| Atrophin-1 0.073| ZnuA 0.074| NicO |</t>
  </si>
  <si>
    <t>Glyco_hydro_4 |</t>
  </si>
  <si>
    <t>gi|37531390</t>
  </si>
  <si>
    <t xml:space="preserve">PUTATIVE ULP1 PROTEASE ORYZA SATIVA JAPONICA CULTIVAR-GROUP CULTIVAR GROUP TRANSPOSON CACTA EN SPM SUB-CLASS SUB CLASS </t>
  </si>
  <si>
    <t>TAS2R 0.088| Oxidored_q4 |</t>
  </si>
  <si>
    <t>COG5001 |</t>
  </si>
  <si>
    <t>COG4986 |</t>
  </si>
  <si>
    <t>Signal</t>
  </si>
  <si>
    <t>Anchor</t>
  </si>
  <si>
    <t>Cytoplas</t>
  </si>
  <si>
    <t>No orf</t>
  </si>
  <si>
    <t>SIG</t>
  </si>
  <si>
    <t>Cyt</t>
  </si>
  <si>
    <t>Ind</t>
  </si>
  <si>
    <t>Anch</t>
  </si>
  <si>
    <t>Comments</t>
  </si>
  <si>
    <t>uk</t>
  </si>
  <si>
    <t>putative salivary serine/proline-rich mucin</t>
  </si>
  <si>
    <t>low complexity secreted product</t>
  </si>
  <si>
    <t>truncated member of the 56 kDa famil</t>
  </si>
  <si>
    <t xml:space="preserve">putative lysozyme </t>
  </si>
  <si>
    <t>peritrophin</t>
  </si>
  <si>
    <t>16S ribosomal RNA gene</t>
  </si>
  <si>
    <t>putative threonine/serine-rich mucin</t>
  </si>
  <si>
    <t>truncated putative 41.9 kDa basic salivary protein</t>
  </si>
  <si>
    <t>30.5 kDa family member</t>
  </si>
  <si>
    <t>putative 23.4 kDa salivary protein family member</t>
  </si>
  <si>
    <t>Elongation factor 1 beta/delta chain</t>
  </si>
  <si>
    <t>60s ribosomal protein L15</t>
  </si>
  <si>
    <t>60S ribosomal protein L32</t>
  </si>
  <si>
    <t>60S ribosomal protein L37</t>
  </si>
  <si>
    <t>60s ribosomal protein L23</t>
  </si>
  <si>
    <t>60S ribosomal protein L36</t>
  </si>
  <si>
    <t>60S ribosomal protein L21</t>
  </si>
  <si>
    <t>60s ribosomal protein L19</t>
  </si>
  <si>
    <t>40S ribosomal protein S13</t>
  </si>
  <si>
    <t>Annexin</t>
  </si>
  <si>
    <t>40S ribosomal protein S3</t>
  </si>
  <si>
    <t>Cytochrome c oxidase, subunit VIa/COX13</t>
  </si>
  <si>
    <t>Alpha-amylase</t>
  </si>
  <si>
    <t>2-enoyl-CoA hydratase/3-hydroxyacyl-CoA dehydrogenase/Peroxisomal 3-ketoacyl-CoA-thiolase, sterol-binding domain and related enzymes</t>
  </si>
  <si>
    <t>40S ribosomal protein S6</t>
  </si>
  <si>
    <t>Ubiquitin-like/40S ribosomal S30 protein fusion</t>
  </si>
  <si>
    <t>40S ribosomal protein S12</t>
  </si>
  <si>
    <t>60S acidic ribosomal protein P0</t>
  </si>
  <si>
    <t>60s acidic ribosomal protein P1</t>
  </si>
  <si>
    <t>Trypsin</t>
  </si>
  <si>
    <t>Manganese superoxide dismutase</t>
  </si>
  <si>
    <t>Catalase</t>
  </si>
  <si>
    <t>40s ribosomal protein S27</t>
  </si>
  <si>
    <t>40S ribosomal protein S7</t>
  </si>
  <si>
    <t>60S ribosomal protein L28</t>
  </si>
  <si>
    <t>Ribosomal protein S29</t>
  </si>
  <si>
    <t>ribosomal protein P2</t>
  </si>
  <si>
    <t>lysozyme</t>
  </si>
  <si>
    <t>endonuclease</t>
  </si>
  <si>
    <t>uk - ct repeats</t>
  </si>
  <si>
    <t>hexamerin</t>
  </si>
  <si>
    <t>uk - nuc repeats</t>
  </si>
  <si>
    <t>alivary antigen-5 related protein AG5-1</t>
  </si>
  <si>
    <t>cytochrome c oxidase subunit VIc</t>
  </si>
  <si>
    <t>rRNA</t>
  </si>
  <si>
    <t>dna repeats</t>
  </si>
  <si>
    <t>gram negative bacteria binding protein 1</t>
  </si>
  <si>
    <t>low complexity dna</t>
  </si>
  <si>
    <t>NS repeats protein similar to worm protein</t>
  </si>
  <si>
    <t>ribosomal protein L7A</t>
  </si>
  <si>
    <t>cytochrome oxidase subunit II</t>
  </si>
  <si>
    <t>possible splicing factor</t>
  </si>
  <si>
    <t xml:space="preserve">60s ribosomal protein L24 </t>
  </si>
  <si>
    <t>60S ribosomal protein L27a</t>
  </si>
  <si>
    <t xml:space="preserve">glyoxalase </t>
  </si>
  <si>
    <t>ADP/ATP translocase</t>
  </si>
  <si>
    <t>mariner transposase</t>
  </si>
  <si>
    <t>60S ribosomal protein L35</t>
  </si>
  <si>
    <t>possible mucin</t>
  </si>
  <si>
    <t>possible secreted protein</t>
  </si>
  <si>
    <t>lysozyme fragment</t>
  </si>
  <si>
    <t>possible kinase</t>
  </si>
  <si>
    <t>putative secreted peptide</t>
  </si>
  <si>
    <t>EF1B 6e-031| COG5309 | Cwf_Cwc_15 | AAI_amylase/trypsin_inhibitor | P_permease | COG1583 | COG5593 | B56 | SDA1 | MAP65_ASE1 |</t>
  </si>
  <si>
    <t>XtmA |</t>
  </si>
  <si>
    <t>Tetraodon nigroviridis</t>
  </si>
  <si>
    <t xml:space="preserve">UNNAMED PRODUCT TETRAODON NIGROVIRIDIS HYPOTHETICAL DICTYOSTELIUM DISCOIDEUM PREDICTED MUSCULUS PLASMODIUM FALCIPARUM 3D7 SIMILAR TO RNA BINDING MOTIF 25 ISOFORM 13 BOS TAURUS 12 CG2839-PA DROSOPHILA MELANOGASTER 1 CYCLOPHILIN-RNA INTERACTING PARAMECIUM TETRAURELIA CYCLOPHILIN ISOLATE . AX4 CAENORHABDITIS ELEGANS HYDROXYPROLINE-RICH GLYCOPROTEIN DZ-HRGP PRECURSOR CRYPTOSPORIDIUM HOMINIS HYDROXYPROLINE RICH DZ HRGP XENOPUS LAEVIS STRONGYLOCENTROTUS PURPURATUS RATTUS NORVEGICUS CANDIDA GLABRATA </t>
  </si>
  <si>
    <t>molecular_function unknown - biological_process unknown</t>
  </si>
  <si>
    <t>E-MAP-115 2e-007| Caldesmon 5e-006| NADH5_C 2e-005| ComEC 3e-005| COG2433 4e-005| COG1340 7e-005| COG3368 7e-005| Cgr1 7e-005| Atrophin-1 1e-004| SURF6 3e-004|</t>
  </si>
  <si>
    <t xml:space="preserve">PREDICTED SIMILAR TO MELLIFERA HYPOTHETICAL CAENORHABDITIS ELEGANS UNNAMED PRODUCT TETRAODON NIGROVIRIDIS RNA BINDING MOTIF 25 ISOFORM 13 BOS TAURUS 12 STRONGYLOCENTROTUS PURPURATUS CYCLOPHILIN-RNA INTERACTING PARAMECIUM TETRAURELIA CYCLOPHILIN RATTUS NORVEGICUS HYDROXYPROLINE-RICH GLYCOPROTEIN DZ-HRGP PRECURSOR CRYPTOSPORIDIUM HOMINIS HYDROXYPROLINE RICH DZ HRGP DICTYOSTELIUM DISCOIDEUM TETRAURELIA. EC PEPTIDYL-PROLYL CIS- TRANS ISOMERASE PPIASE ROTAMASE PEPTIDYL PROLYL CIS MUSCULUS PLASMODIUM FALCIPARUM 3D7 MYOSIN REGULATORY LIGHT CHAIN RIKEN CDNA TOPOISOMERASE I ALPHA TAKIFUGU RUBRIPES ANOPHELES GAMBIAE STR. PEST XENOPUS LAEVIS PUTATIVE ER BIOGENESIS CANDIDA ALBICANS FRAGMENT POTENTIAL </t>
  </si>
  <si>
    <t>apoptotic chromatin condensation inducer 1 - nucleus - nucleolus - DNA binding - apoptotic program</t>
  </si>
  <si>
    <t>Competence 2e-004| DUF164 0.002| BMS1 0.002| E-MAP-115 0.002| Cgr1 0.002| COG5542 0.003| Caldesmon 0.003| Glyco_transf_22 0.004| TolA 0.005| TolA 0.005|</t>
  </si>
  <si>
    <t>Gibberella zeae PH-1</t>
  </si>
  <si>
    <t xml:space="preserve">HYPOTHETICAL GIBBERELLA ZEAE PH-1 URACIL-DNA GLYCOSYLASE FAMILY BACILLUS ANTHRACIS STR. 'AMES ANCESTOR' STERNE URACIL DNA PREDICTED SIMILAR TO CANIS FAMILIARIS HEMOLYSIN-TYPE CALCIUM-BINDING REGION SILICIBACTER SP. HEMOLYSIN TYPE CALCIUM BINDING SHORT CHAIN FATTY ACID TRANSPORTER RALSTONIA METALLIDURANS CH34 SPLICING FACTOR ARGININE SERINE-RICH 46KD PAN TROGLODYTES SERINE RICH DOUBLECORTIN DOMAIN-CONTAINING 2 RU2S DOMAIN CONTAINING RIBONUCLEASE PH ANAEROMYXOBACTER DEHALOGENANS 2CP-C 2CP XENOPUS LAEVIS ZEA MAYS UNNAMED PRODUCT HOMO SAPIENS DOWNSTREAM NEIGHBOR SON ISOFORM A Q9NYP3 DONS_HUMAN B17 METHYLTRANSFERASE KINEOCOCCUS RADIOTOLERANS SODIUM-TYPE FLAGELLAR MOTX COLWELLIA PSYCHRERYTHRAEA 34H SODIUM C B CONSERVED COFD RELATED </t>
  </si>
  <si>
    <t>Defense mechanisms]</t>
  </si>
  <si>
    <t>Lig_chan |</t>
  </si>
  <si>
    <t>Glyco_transf_15 |</t>
  </si>
  <si>
    <t xml:space="preserve">ANOPHELES GAMBIAE STR. PEST RIBOSOMAL L21 CULICOIDES SONORENSIS 6 LONOMIA OBLIQUA DROSOPHILA MELANOGASTER L21E SPHAERIUS SP. BOMBYX MORI SIMILAR TO YAKUBA HELICOVERPA ZEA PSEUDOOBSCURA SPODOPTERA FRUGIPERDA LYSIPHLEBUS TESTACEIPES PLUTELLA XYLOSTELLA SJCHGC00639 SCHISTOSOMA JAPONICUM MUS MUSCULUS UNNAMED PRODUCT RATTUS NORVEGICUS PREDICTED ISOFORM 1 RPL21 CHINCHILLA LANIGERA RL21_CHILA 60S CANIS FAMILIARIS HYPOTHETICAL TROGLODYTES BOS TAURUS 2 </t>
  </si>
  <si>
    <t>Ribosomal protein L21 - cytosolic large ribosomal subunit (sensu Eukaryota) - protein biosynthesis</t>
  </si>
  <si>
    <t>Ribosomal_L21e 1e-023| IPT_plexin_repeat2 | Yippee | UbiA | COG3889 | MUS81 |</t>
  </si>
  <si>
    <t>gi|64446672</t>
  </si>
  <si>
    <t xml:space="preserve">RIBOSOMAL L23A AEDES ALBOPICTUS ANOPHELES STEPHENSI GAMBIAE STR. PEST DROSOPHILA PSEUDOOBSCURA SIMILAR TO MELANOGASTER RPL23A YAKUBA CG7977-PA L23AE CICINDELA CAMPESTRIS GEORISSUS SP. BOMBYX MORI PREDICTED APIS MELLIFERA ARGOPECTEN IRRADIANS 60S GALLUS XENOPUS TROPICALIS LAEVIS MUSCULUS RATTUS NORVEGICUS MUS SAPIENS ISOFORM 1 BOS TAURUS CDNA SEQUENCE TROGLODYTES DANIO RERIO 4 HOMOLOGY RAT L23 </t>
  </si>
  <si>
    <t>Ribosomal protein L23A - structural constituent of ribosome - cytosolic large ribosomal subunit (sensu Eukaryota) - protein biosynthesis</t>
  </si>
  <si>
    <t>RplW 8e-022| Ribosomal_L23 2e-014| Ribosomal_L23eN 4e-007| COG4666 | FlhF | COG3961 | CbiM | COG5659 | CstA |</t>
  </si>
  <si>
    <t>Caenorhabditis elegans</t>
  </si>
  <si>
    <t xml:space="preserve">HYPOTHETICAL CAENORHABDITIS ELEGANS BRIGGSAE XENOPUS TROPICALIS DROSOPHILA MELANOGASTER CRYPTOCOCCUS NEOFORMANS VAR. LIGASE ATP PUTATIVE JEC21 DEBARYOMYCES HANSENII PREDICTED SIMILAR TO PROTON-ASSOCIATED SUGAR TRANSPORTER A PAN TROGLODYTES PROTON ASSOCIATED DNB5 HOMO SAPIENS DELETED IN NEUROBLASTOMA 5 S45A1_HUMAN PAST-A SOLUTE CARRIER FAMILY 45 MEMBER 1 DNB-5 PAST DNB PROTEOGLYCAN 4 ARTICULAR SUPERFICIAL ZONE LUBRICIN BOS TAURUS CANDIDA ALBICANS ORYZA SATIVA JAPONICA CULTIVAR-GROUP CULTIVAR GROUP NOSTOC SP. PCC 7120 CANIS FAMILIARIS KINASE PLASMODIUM FALCIPARUM 3D7 YOELII STR. 17XNL NOD3 DANIO RERIO COLLAGEN XIV THERMOSYNECHOCOCCUS ELONGATUS BP-1 HOMOLOG BP </t>
  </si>
  <si>
    <t>Mucin 2 precursor - extracellular space</t>
  </si>
  <si>
    <t>signal transducer activity</t>
  </si>
  <si>
    <t>GO:0004871</t>
  </si>
  <si>
    <t>AppB 0.019| COG1611 |</t>
  </si>
  <si>
    <t>gi|22651854</t>
  </si>
  <si>
    <t xml:space="preserve">RIBOSOMAL P0 AEDES ALBOPICTUS ANOPHELES GAMBIAE STR. PEST ACIDIC BIPHYLLUS LUNATUS SARCOPHAGA CRASSIPALPIS RLA0_CERCA 60S CCP0 CERATITIS CAPITATA SPODOPTERA FRUGIPERDA BOMBYX MORI TIMARCHA BALEARICA PREDICTED SIMILAR TO APIS MELLIFERA DROSOPHILA PSEUDOOBSCURA MELANOGASTER CG7490-PA RLA0_DROME DNA- APURINIC OR APYRIMIDINIC SITE LYASE APURINIC-APYRIMIDINIC ENDONUCLEASE REPAIR DASCILLUS CERVINUS IXODES SCAPULARIS LARGE SUBUNIT PLATYNEREIS DUMERILII UNNAMED PRODUCT TETRAODON NIGROVIRIDIS HYPOTHETICAL CAENORHABDITIS ELEGANS RLA0_CAEEL BRIGGSAE PROTEIN-LIKE WUCHERERIA BANCROFTI LIKE PUTATIVE TOXOPTERA CITRICIDA P0-LIKE SPARUS AURATA ARBP-PROV XENOPUS LAEVIS ARBP PROV PHOSPHOPROTEIN TROPICALIS MUSCULUS MUS RLA0_MOUSE L10E </t>
  </si>
  <si>
    <t>60S acidic ribosomal protein P0 - structural constituent of ribosome - DNA-(apurinic or apyrimidinic site) lyase activity - cytosolic ribosome (sensu Eukaryota) - protein biosynthesis</t>
  </si>
  <si>
    <t>Ribosomal_60s 6e-017| RPP1A 1e-009| CrtY 0.021| TolA 0.021| RplL 0.046| Tymo_45kd_70kd 0.068| PitA | PfoR | COG2911 | HMBS |</t>
  </si>
  <si>
    <t>gi|31746733</t>
  </si>
  <si>
    <t>Aneilema calceolus</t>
  </si>
  <si>
    <t xml:space="preserve">DEHYDROGENASE SUBUNIT F ANEILEMA CALCEOLUS PERMEASES MAJOR FACILITATOR SUPERFAMILY CYTOPHAGA HUTCHINSONII </t>
  </si>
  <si>
    <t>NPL4 | Pex24p | COG4267 | Tetraspannin |</t>
  </si>
  <si>
    <t>COG4906 |</t>
  </si>
  <si>
    <t>Posttranslational modification, protein turnover, chaperones, Transcription]</t>
  </si>
  <si>
    <t xml:space="preserve">HYPOTHETICAL DICTYOSTELIUM DISCOIDEUM UNKNOWN SCHISTOSOMA JAPONICUM SJCHGC01957 TFIID SUBUNIT TRANSCRIPTION INITIATION FACTOR CANDIDA ALBICANS Y50E8A.I CAENORHABDITIS ELEGANS DEHYDROGENASE 5 STRONGYLOIDES STERCORALIS YARROWIA LIPOLYTICA UNNAMED PRODUCT CLIB122 BRIGGSAE PLASMODIUM BERGHEI STRAIN ANKA YOELII STR. 17XNL PRODUCT-RELATED RELATED UNLIKELY TRYPANOSOMA BRUCEI WSSV375 SHRIMP WHITE SPOT SYNDROME VIRUS ATPASEATPAS NOCARDIOIDES SP. PREDICTED SIMILAR TO MITOGEN-ACTIVATED KINASE 9 PARTIAL STRONGYLOCENTROTUS PURPURATUS MITOGEN ACTIVATED </t>
  </si>
  <si>
    <t>U3 snoRNP protein - small nucleolar ribonucleoprotein complex - small nuclear ribonucleoprotein complex - molecular_function unknown - rRNA modification - 35S primary transcript processing - processing of 20S pre-rRNA</t>
  </si>
  <si>
    <t>PSN 2e-004| CTP_transf_1 4e-004| DltB 4e-004| Competence 8e-004| TatC 9e-004| 7tm_5 0.001| COG3368 0.002| COG2194 0.002| Ribonuclease_BN 0.002| NosY 0.003|</t>
  </si>
  <si>
    <t xml:space="preserve">LYSOZYME AEDES ALBOPICTUS AEGYPTI PUTATIVE LYS_HYPCU PRECURSOR 1 4-BETA-N-ACETYLMURAMIDASE BETA-N-ACETYLMURAMIDASE BETA N-ACETYLMURAMIDASE N ACETYLMURAMIDASE HELIOTHIS VIRESCENS C-TYPE GLOSSINA MORSITANS C TYPE SPODOPTERA EXIGUA DROSOPHILA MELANOGASTER PSEUDOOBSCURA LYS_GALME II ARTOGEIA RAPAE LYS_TRINI TRICHOPLUSIA NI SALIVARY ANOPHELES STEPHENSI AGRIUS CONVOLVULI PSEUDOPLUSIA INCLUDENS DARLINGI MANDUCA SEXTA=TOBACCO HORNWORM PEPTIDE PARTIAL 120 AA SEXTA C-1 GAMBIAE C-4 LYS_ANOGA C-2 2 STR. PEST LYS_BOMMO BOMBYX MORI 4 </t>
  </si>
  <si>
    <t>LYZ1 1e-008|</t>
  </si>
  <si>
    <t xml:space="preserve">ANOPHELES GAMBIAE STR. PEST RL7A_ANOGA 60S RIBOSOMAL L7A RPL7A XENOPUS TROPICALIS LAEVIS BOMBYX MORI DROSOPHILA PSEUDOOBSCURA HYPOTHETICAL RATTUS NORVEGICUS L7AE CARABUS GRANULATUS PREDICTED SIMILAR TO APIS MELLIFERA SURFEIT LOCUS 3 MUS MUSCULUS MELANOGASTER YAKUBA CG3314-PC ISOFORM C CG3314-PD CG3314-PA RL7A_DROME CURCULIO GLANDIUM CICINDELA LITTORALIS LYSIPHLEBUS TESTACEIPES HOMO SAPIENS VARIANT </t>
  </si>
  <si>
    <t>structural constituent of ribosome - cytosolic large ribosomal subunit (sensu Eukaryota) - protein biosynthesis - ribosome</t>
  </si>
  <si>
    <t>ResB | COG4090 | COG3898 |</t>
  </si>
  <si>
    <t>Abi |</t>
  </si>
  <si>
    <t>gi|72054441</t>
  </si>
  <si>
    <t>Strongylocentrotus purpuratus</t>
  </si>
  <si>
    <t xml:space="preserve">PREDICTED HYPOTHETICAL STRONGYLOCENTROTUS PURPURATUS SIMILAR TO MYG1 SJCHGC09461 SCHISTOSOMA JAPONICUM UNCULTURED ARCHAEON GZFOS9E5 HISTONE DEACETYLASE SUPERFAMILY CHLOROFLEXUS AURANTIACUS J-10-FL 10-FL CAENORHABDITIS BRIGGSAE YARROWIA LIPOLYTICA UNNAMED PRODUCT CLIB122 PLASMODIUM BERGHEI STRAIN ANKA PAESDRAFT_1573 PROSTHECOCHLORIS AESTUARII DSM 271 NOSTOC PUNCTIFORME PCC Y50E8A.I ELEGANS UNKNOWN CHORISTONEURA FUMIFERANA GRANULOVIRUS HOMO SAPIENS YOELII STR. 17XNL PUTATIVE CEMENT RIM36 RHIPICEPHALUS APPENDICULATUS ATPASEATPAS NOCARDIOIDES SP. EXPRESSED RATTUS NORVEGICUS PAESDRAFT_1090 TUDOR DOMAIN CONTAINING 7 BACTEROIDES THETAIOTAOMICRON </t>
  </si>
  <si>
    <t>Mage-d3 - nucleus - cytoplasm - negative regulation of cell growth</t>
  </si>
  <si>
    <t>7tm_5 4e-007| DUF40 1e-006| UNC-50 1e-005| ABC2_membrane 4e-005| Alg6_Alg8 6e-005| DUF895 9e-005| COG3463 1e-004| TatC 1e-004| COG3368 1e-004| PulO 2e-004|</t>
  </si>
  <si>
    <t>TOXOM-P7_F04</t>
  </si>
  <si>
    <t>TOXOM-P7_F05</t>
  </si>
  <si>
    <t>TOXOM-P7_G01</t>
  </si>
  <si>
    <t>TOXOM-P7_G02</t>
  </si>
  <si>
    <t>TOXOM-P7_G03</t>
  </si>
  <si>
    <t>TOXOM-P7_G04</t>
  </si>
  <si>
    <t>TOXOM-P7_G10</t>
  </si>
  <si>
    <t>TOXOM-P7_G12</t>
  </si>
  <si>
    <t>TOXOM-P7_H01</t>
  </si>
  <si>
    <t>TOXOM-P7_H03</t>
  </si>
  <si>
    <t>TOXOM-P7_H04</t>
  </si>
  <si>
    <t>TOXOM-P7_H06</t>
  </si>
  <si>
    <t>TOXOM-P7_H07</t>
  </si>
  <si>
    <t>TOXOM-P7_H12</t>
  </si>
  <si>
    <t>TOXOM-P8_A01</t>
  </si>
  <si>
    <t>TOXOM-P8_A02</t>
  </si>
  <si>
    <t>TOXOM-P8_A04</t>
  </si>
  <si>
    <t>TOXOM-P8_A05</t>
  </si>
  <si>
    <t>TOXOM-P8_A06</t>
  </si>
  <si>
    <t>TOXOM-P8_A10</t>
  </si>
  <si>
    <t>TOXOM-P8_B03</t>
  </si>
  <si>
    <t>TOXOM-P8_B05</t>
  </si>
  <si>
    <t>TOXOM-P8_B06</t>
  </si>
  <si>
    <t>TOXOM-P8_B07</t>
  </si>
  <si>
    <t>TOXOM-P8_B08</t>
  </si>
  <si>
    <t>TOXOM-P8_C01</t>
  </si>
  <si>
    <t>TOXOM-P8_C03</t>
  </si>
  <si>
    <t>TOXOM-P8_C05</t>
  </si>
  <si>
    <t>TOXOM-P8_C06</t>
  </si>
  <si>
    <t>TOXOM-P8_C11</t>
  </si>
  <si>
    <t>TOXOM-P8_D03</t>
  </si>
  <si>
    <t>TOXOM-P8_D06</t>
  </si>
  <si>
    <t>TOXOM-P8_D08</t>
  </si>
  <si>
    <t>TOXOM-P8_D09</t>
  </si>
  <si>
    <t>TOXOM-P8_D10</t>
  </si>
  <si>
    <t>TOXOM-P8_E03</t>
  </si>
  <si>
    <t>TOXOM-P8_E05</t>
  </si>
  <si>
    <t>TOXOM-P8_E11</t>
  </si>
  <si>
    <t>TOXOM-P8_F01</t>
  </si>
  <si>
    <t>TOXOM-P8_F02</t>
  </si>
  <si>
    <t>TOXOM-P8_F03</t>
  </si>
  <si>
    <t>TOXOM-P8_F04</t>
  </si>
  <si>
    <t>TOXOM-P8_F10</t>
  </si>
  <si>
    <t>TOXOM-P8_G06</t>
  </si>
  <si>
    <t>TOXOM-P8_G08</t>
  </si>
  <si>
    <t>TOXOM-P8_G09</t>
  </si>
  <si>
    <t>TOXOM-P8_G12</t>
  </si>
  <si>
    <t>TOXOM-P8_H01</t>
  </si>
  <si>
    <t>TOXOM-P8_H02</t>
  </si>
  <si>
    <t>TOXOM-P8_H03</t>
  </si>
  <si>
    <t>TOXOM-P8_H04</t>
  </si>
  <si>
    <t>TOXOM-P8_H06</t>
  </si>
  <si>
    <t>TOXOS-P10_A03</t>
  </si>
  <si>
    <t>TOXOS-P10_A05</t>
  </si>
  <si>
    <t>TOXOS-P10_A06</t>
  </si>
  <si>
    <t>TOXOS-P10_A07</t>
  </si>
  <si>
    <t>TOXOS-P10_A08</t>
  </si>
  <si>
    <t>TOXOS-P10_A11</t>
  </si>
  <si>
    <t>TOXOS-P10_A12</t>
  </si>
  <si>
    <t>TOXOS-P10_B02</t>
  </si>
  <si>
    <t>TOXOS-P10_B06</t>
  </si>
  <si>
    <t>TOXOS-P10_B07</t>
  </si>
  <si>
    <t>TOXOS-P10_B08</t>
  </si>
  <si>
    <t>TOXOS-P10_B10</t>
  </si>
  <si>
    <t>TOXOS-P10_C03</t>
  </si>
  <si>
    <t>TOXOS-P10_C04</t>
  </si>
  <si>
    <t>TOXOS-P10_C06</t>
  </si>
  <si>
    <t>TOXOS-P10_C09</t>
  </si>
  <si>
    <t>TOXOS-P10_D03</t>
  </si>
  <si>
    <t>TOXOS-P10_D04</t>
  </si>
  <si>
    <t>TOXOS-P10_D05</t>
  </si>
  <si>
    <t>TOXOS-P10_D06</t>
  </si>
  <si>
    <t>TOXOS-P10_D08</t>
  </si>
  <si>
    <t>TOXOS-P10_D10</t>
  </si>
  <si>
    <t>TOXOS-P10_D12</t>
  </si>
  <si>
    <t>TOXOS-P10_E03</t>
  </si>
  <si>
    <t>TOXOS-P10_E04</t>
  </si>
  <si>
    <t>TOXOS-P10_E06</t>
  </si>
  <si>
    <t>TOXOS-P10_E07</t>
  </si>
  <si>
    <t>TOXOS-P10_E08</t>
  </si>
  <si>
    <t>TOXOS-P10_E12</t>
  </si>
  <si>
    <t>TOXOS-P10_F03</t>
  </si>
  <si>
    <t>TOXOS-P10_F04</t>
  </si>
  <si>
    <t>TOXOS-P10_F10</t>
  </si>
  <si>
    <t>TOXOS-P10_G01</t>
  </si>
  <si>
    <t>TOXOS-P10_G02</t>
  </si>
  <si>
    <t>TOXOS-P10_G04</t>
  </si>
  <si>
    <t>TOXOS-P10_G06</t>
  </si>
  <si>
    <t>TOXOS-P10_G08</t>
  </si>
  <si>
    <t>TOXOS-P10_H03</t>
  </si>
  <si>
    <t>TOXOS-P10_H09</t>
  </si>
  <si>
    <t>TOXOS-P10_H11</t>
  </si>
  <si>
    <t>TOXOS-P10_H12</t>
  </si>
  <si>
    <t>TOXOS-P11_A01</t>
  </si>
  <si>
    <t>TOXOS-P11_A02</t>
  </si>
  <si>
    <t>TOXOS-P11_A06</t>
  </si>
  <si>
    <t>TOXOS-P11_A12</t>
  </si>
  <si>
    <t>TOXOS-P11_B06</t>
  </si>
  <si>
    <t>TOXOS-P11_B07</t>
  </si>
  <si>
    <t>TOXOS-P11_C01</t>
  </si>
  <si>
    <t>TOXOS-P11_C02</t>
  </si>
  <si>
    <t>TOXOS-P11_C10</t>
  </si>
  <si>
    <t>TOXOS-P11_C11</t>
  </si>
  <si>
    <t>TOXOS-P11_D01</t>
  </si>
  <si>
    <t>TOXOS-P11_D02</t>
  </si>
  <si>
    <t>TOXOS-P11_D04</t>
  </si>
  <si>
    <t>TOXOS-P11_D08</t>
  </si>
  <si>
    <t>TOXOS-P11_D10</t>
  </si>
  <si>
    <t>TOXOS-P11_E05</t>
  </si>
  <si>
    <t>TOXOS-P11_E07</t>
  </si>
  <si>
    <t>TOXOS-P11_E09</t>
  </si>
  <si>
    <t>TOXOS-P11_E11</t>
  </si>
  <si>
    <t>TOXOS-P11_F01</t>
  </si>
  <si>
    <t>TOXOS-P11_F02</t>
  </si>
  <si>
    <t>TOXOS-P11_F04</t>
  </si>
  <si>
    <t>TOXOS-P11_F05</t>
  </si>
  <si>
    <t>TOXOS-P11_F08</t>
  </si>
  <si>
    <t>TOXOS-P11_F10</t>
  </si>
  <si>
    <t>TOXOS-P11_F12</t>
  </si>
  <si>
    <t>TOXOS-P11_G02</t>
  </si>
  <si>
    <t>TOXOS-P11_G03</t>
  </si>
  <si>
    <t>TOXOS-P11_G06</t>
  </si>
  <si>
    <t>TOXOS-P11_G07</t>
  </si>
  <si>
    <t>TOXOS-P11_G08</t>
  </si>
  <si>
    <t>TOXOS-P11_G09</t>
  </si>
  <si>
    <t>TOXOS-P11_H04</t>
  </si>
  <si>
    <t>TOXOS-P11_H06</t>
  </si>
  <si>
    <t>TOXOS-P11_H07</t>
  </si>
  <si>
    <t>TOXOS-P11_H08</t>
  </si>
  <si>
    <t>TOXOS-P11_H09</t>
  </si>
  <si>
    <t>TOXOS-P11_H11</t>
  </si>
  <si>
    <t>TOXOS-P12_C06</t>
  </si>
  <si>
    <t>TOXOS-P12_C10</t>
  </si>
  <si>
    <t>TOXOS-P12_D06</t>
  </si>
  <si>
    <t>TOXOS-P12_D12</t>
  </si>
  <si>
    <t>TOXOS-P12_E03</t>
  </si>
  <si>
    <t>TOXOS-P12_E04</t>
  </si>
  <si>
    <t>TOXOS-P12_E06</t>
  </si>
  <si>
    <t>TOXOS-P12_F02</t>
  </si>
  <si>
    <t>TOXOS-P12_F03</t>
  </si>
  <si>
    <t>TOXOS-P12_F05</t>
  </si>
  <si>
    <t>TOXOS-P12_F06</t>
  </si>
  <si>
    <t>TOXOS-P12_A03</t>
  </si>
  <si>
    <t>TOXOS-P12_A04</t>
  </si>
  <si>
    <t>TOXOS-P12_A06</t>
  </si>
  <si>
    <t>Average Result from SignalP server</t>
  </si>
  <si>
    <t>Best match to mitochondrial database</t>
  </si>
  <si>
    <t>Best match to rRNA database</t>
  </si>
  <si>
    <t>Match ID</t>
  </si>
  <si>
    <t>ribosomal protein S27-like - intracellular - ribosome - structural constituent of ribosome - protein biosynthesis</t>
  </si>
  <si>
    <t>Ribosomal_S27e 3e-013| RPS27A 2e-009| DER1 | Ran-binding | COG3903 | Imp |</t>
  </si>
  <si>
    <t>gi|39579365</t>
  </si>
  <si>
    <t xml:space="preserve">HYPOTHETICAL CAENORHABDITIS BRIGGSAE YARROWIA LIPOLYTICA UNNAMED PRODUCT CLIB122 HOMO SAPIENS Y50E8A.I ELEGANS DICTYOSTELIUM DISCOIDEUM SJCHGC01974 SCHISTOSOMA JAPONICUM PLASMODIUM BERGHEI STRAIN ANKA ASPERGILLUS NIDULANS FGSC A4 SJCHGC07766 TFIID SUBUNIT TRANSCRIPTION INITIATION FACTOR CANDIDA ALBICANS FALCIPARUM 3D7 PREDICTED SIMILAR TO PUTATIVE ESTERASE APIS MELLIFERA SHRIMP WHITE SPOT SYNDROME VIRUS </t>
  </si>
  <si>
    <t>Mus musculus adult male hypothalamus cDNA, RIKEN full-length enriched library, clone:A230056F15 product:hypothetical Tyrosine-rich region containing protein, full insert sequence - integral to membrane</t>
  </si>
  <si>
    <t>COG5578 7e-006| PSN 1e-005| TatC 1e-005| 7tm_5 4e-005| COG2194 9e-005| EMP70 1e-004| ComEC 1e-004| TagG 2e-004| DltB 2e-004| DUF216 2e-004|</t>
  </si>
  <si>
    <t xml:space="preserve">HYPOTHETICAL Y50E8A.I CAENORHABDITIS ELEGANS CANDIDA ALBICANS CONSERVED TRYPANOSOMA BRUCEI DICTYOSTELIUM DISCOIDEUM YARROWIA LIPOLYTICA UNNAMED PRODUCT CLIB122 UNLIKELY HOMO SAPIENS ASPERGILLUS NIDULANS FGSC A4 DEHYDROGENASE SUBUNIT 5 BODO SALTANS 6 STRONGYLOIDES STERCORALIS INSERTED AFTER NT 369 =NT GENOMIC SEQUENCE CORRECT -1 FRAMESHIFT PROBABLY DUE GEL COMPRESSION 1 SECY-INDEPENDENT TRANSPORTER THRAUSTOCHYTRIUM AUREUM SECY INDEPENDENT ATPASE ATPASEATPAS NOCARDIOIDES SP. CRUZI NADH-UBIQUINONE OXIDOREDUCTASE GLOBODERA PALLIDA NADH UBIQUINONE </t>
  </si>
  <si>
    <t>inactive X specific transcripts - chromosome - dosage compensation, by inactivation of X chromosome</t>
  </si>
  <si>
    <t>TatC 1e-007| COG5273 2e-005| TehA 5e-005| 7tm_5 6e-005| COG5578 1e-004| PSN 1e-004| COG2194 2e-004| COG3936 5e-004| MdoB 6e-004| COG4906 7e-004|</t>
  </si>
  <si>
    <t xml:space="preserve">RIBOSOMAL P1 BOMBYX MORI 7 LONOMIA OBLIQUA ACIDIC SPODOPTERA FRUGIPERDA PLUTELLA XYLOSTELLA CERATITIS CAPITATA SIMILAR TO DROSOPHILA MELANOGASTER RPP2 YAKUBA 8476 UNNAMED PRODUCT LYSIPHLEBUS TESTACEIPES PSEUDOOBSCURA RLA1_ARTSA 60S EL12' EL12'-P ARTEMIA SP. BIOMPHALARIA GLABRATA PREDICTED APIS MELLIFERA EL12'P BRANCHIOSTOMA BELCHERI FAMILY MEMBER RPA-1 CAENORHABDITIS ELEGANS RLA1_CAEEL RPA HYPOTHETICAL XENOPUS TROPICALIS BRIGGSAE SUPERFAMILY ASPERGILLUS FUMIGATUS Q9HGV0 RLA1_ASPFU AFP1 HYDROMEDUSA POLYORCHIS PENICILLATUS DAVIDIELLA TASSIANA RLA1_CLAHE ALLERGEN CLA H 12 XII HOMOLOG MAGNAPORTHE GRISEA </t>
  </si>
  <si>
    <t>Ribosomal protein LP1 - structural constituent of ribosome - cytosolic large ribosomal subunit (sensu Eukaryota) - protein biosynthesis - translational elongation</t>
  </si>
  <si>
    <t>Ribosomal_60s 2e-019| RPP1A 1e-015| RplL 0.016| Barren 0.051| NPD 0.059| TAP42 | DUF913 | Sigma70_ner | Ttg2C | DEC-1_N |</t>
  </si>
  <si>
    <t>Zymomonas mobilis subsp. mobilis ZM4</t>
  </si>
  <si>
    <t xml:space="preserve">HYPOTHETICAL ZYMOMONAS MOBILIS SUBSP. ZM4 CONSERVED </t>
  </si>
  <si>
    <t>gi|58002393</t>
  </si>
  <si>
    <t>Gluconobacter oxydans 621H</t>
  </si>
  <si>
    <t xml:space="preserve">PUTATIVE THREONINE SERINE-RICH MUCIN CULEX PIPIENS QUINQUEFASCIATUS SERINE RICH ANOPHELES GAMBIAE STR. PEST HYPOTHETICAL SPINDLE POLE BODY COMPONENT 97 DICTYOSTELIUM DISCOIDEUM 41.9 KDA BASIC SALIVARY INTIMIN TYPE GAMMA ESCHERICHIA COLI MBCTL1 MONOSIGA BREVICOLLIS PROBABLE HEMAGGLUTININ-RELATED TRANSMEMBRANE RALSTONIA SOLANACEARUM HEMAGGLUTININ RELATED RECEPTOR MIZUHOPECTEN YESSOENSIS 5 HT 30.3 SECRETED AEDES AEGYPTI PLASMODIUM YOELII 17XNL OUTER MEMBRANE INTEGUMENTARY B.1 XENOPUS LAEVIS PROTEINS MOSTLY FE TRANSPORT BURKHOLDERIA FUNGORUM CRYPTOSPORIDIUM PARVUM PLECKSTRIN HOMOLOGY PH DOMAINS PREVIOUSLY DESCRIBED AS A 41 OOCYST WALL THEILERIA PARVA STRAIN MUGUGA HELICASE CROCOSPHAERA WATSONII WH 8501 CONSERVED LEISHMANIA MAJOR UNNAMED PRODUCT SACCHAROMYCES CEREVISIAE SUBTELOMERICALLY-ENCODED DNA YPR204WP SUBTELOMERICALLY ENCODED YLL067CP CANDIDA GLABRATA </t>
  </si>
  <si>
    <t>Signal transduction mechanisms]</t>
  </si>
  <si>
    <t>SoxE | REJ |</t>
  </si>
  <si>
    <t>gi|34903686</t>
  </si>
  <si>
    <t>Oryza sativa (japonica cultivar-group)</t>
  </si>
  <si>
    <t xml:space="preserve">ORYZA SATIVA JAPONICA CULTIVAR-GROUP CULTIVAR GROUP HYPOTHETICAL LUMPY SKIN DISEASE VIRUS GCN5-RELATED N-ACETYLTRANSFERASE BURKHOLDERIA VIETNAMIENSIS G4 RELATED N ACETYLTRANSFERASE </t>
  </si>
  <si>
    <t>Cell cycle control, cell division, chromosome partitioning, Transcription]</t>
  </si>
  <si>
    <t>COG3965 | DZF | TolA | CAL1 |</t>
  </si>
  <si>
    <t>gi|56417502</t>
  </si>
  <si>
    <t xml:space="preserve">SALIVARY GLAND ALLERGEN AEDES ALBOPICTUS 30K 2 3 GE-RICH GE RICH 4 HYPOTHETICAL BURKHOLDERIA PSEUDOMALLEI HSPC069 ISOFORM A HOMO SAPIENS HUNTINGTIN INTERACTING 1 PREDICTED SIMILAR TO B HYPB TROGLODYTES STRONGYLOCENTROTUS PURPURATUS CG6340-PD D DROSOPHILA MELANOGASTER CG6340-PB UNNAMED PRODUCT ASPERGILLUS ORYZAE IWS1_HUMAN IWS1-LIKE IWS1 LIKE STAPHYLOCOCCUS HAEMOLYTICUS ALL3_AEDAE KDA AED PRECURSOR AEGYPTI NEUROSPORA CRASSA N150 CONSERVED TRYPANOSOMA CRUZI PLASMODIUM FALCIPARUM 3D7 YARROWIA LIPOLYTICA CLIB122 </t>
  </si>
  <si>
    <t>TR_FER 0.056| DMP1 | NarK | UPP_synthetase |</t>
  </si>
  <si>
    <t xml:space="preserve">PUTATIVE 41.9 KDA BASIC SALIVARY CULEX PIPIENS QUINQUEFASCIATUS 41 SECRETED AEDES ALBOPICTUS UNKNOWN CULICOIDES SONORENSIS CONSERVED HYPOTHETICAL XANTHOMONAS CAMPESTRIS PV. STR. 8004 PREDICTED DANIO RERIO RHODOPSEUDOMONAS PALUSTRIS IG-LIKE GROUP 1 CHLOROFLEXUS AURANTIACUS J-10-FL 10-FL NUCLEAR FACTOR I FAMILY MEMBER NFI-1 CAENORHABDITIS ELEGANS ISOFORM C B A RALSTONIA SOLANACEARUM GGDEF WOLINELLA SUCCINOGENES MAGNAPORTHE GRISEA FLAGELLAR P-RING PRECURSOR BUCHNERA APHIDICOLA SG SCHIZAPHIS GRAMINUM FLGI_BUCAP BASAL BODY P RING SIMILAR TO TROGLODYTES DICARBOXYLATE TRANSPORTER- DCTM SUBUNIT THIOMICROSPIRA CRUNOGENA XCL-2 TRANSPORTER XCL 2 SAPIENS PRODUCT HOMO TRIPARTITE MOTIF 66 BOS TAURUS TRI66_HUMAN MAGNETOSPIRILLUM MAGNETOTACTICUM MS-1 MS UNNAMED MUS MUSCULUS MUCIN 20 YARROWIA LIPOLYTICA CLIB122 </t>
  </si>
  <si>
    <t>General function prediction only]</t>
  </si>
  <si>
    <t>Protamine_P2 | COG2215 | COG1892 | PrpR_N |</t>
  </si>
  <si>
    <t>gi|56417492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</si>
</sst>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8"/>
      <name val="Arial"/>
      <family val="0"/>
    </font>
    <font>
      <b/>
      <sz val="8"/>
      <color indexed="12"/>
      <name val="Arial"/>
      <family val="2"/>
    </font>
    <font>
      <u val="single"/>
      <sz val="8"/>
      <color indexed="36"/>
      <name val="Arial"/>
      <family val="0"/>
    </font>
    <font>
      <u val="single"/>
      <sz val="8"/>
      <color indexed="12"/>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7">
    <border>
      <left/>
      <right/>
      <top/>
      <bottom/>
      <diagonal/>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0" fillId="2" borderId="1" xfId="0" applyFill="1" applyBorder="1" applyAlignment="1">
      <alignment/>
    </xf>
    <xf numFmtId="0" fontId="0" fillId="2" borderId="1" xfId="0" applyFill="1" applyBorder="1" applyAlignment="1">
      <alignment horizontal="center"/>
    </xf>
    <xf numFmtId="0" fontId="0" fillId="0" borderId="0" xfId="0" applyAlignment="1">
      <alignment horizontal="center"/>
    </xf>
    <xf numFmtId="0" fontId="0" fillId="3" borderId="1" xfId="0" applyFill="1" applyBorder="1" applyAlignment="1">
      <alignment/>
    </xf>
    <xf numFmtId="0" fontId="1" fillId="2" borderId="2" xfId="0" applyFont="1" applyFill="1" applyBorder="1" applyAlignment="1">
      <alignment wrapText="1"/>
    </xf>
    <xf numFmtId="0" fontId="1" fillId="2" borderId="2" xfId="0" applyFont="1" applyFill="1" applyBorder="1" applyAlignment="1">
      <alignment horizontal="center" wrapText="1"/>
    </xf>
    <xf numFmtId="0" fontId="1" fillId="2" borderId="3" xfId="0" applyFont="1" applyFill="1" applyBorder="1" applyAlignment="1">
      <alignment wrapText="1"/>
    </xf>
    <xf numFmtId="0" fontId="1" fillId="3" borderId="2" xfId="0" applyFont="1" applyFill="1" applyBorder="1" applyAlignment="1">
      <alignment wrapText="1"/>
    </xf>
    <xf numFmtId="0" fontId="1" fillId="3" borderId="4" xfId="0" applyFont="1" applyFill="1" applyBorder="1" applyAlignment="1">
      <alignment horizontal="center" wrapText="1"/>
    </xf>
    <xf numFmtId="0" fontId="1" fillId="3" borderId="4" xfId="0" applyFont="1" applyFill="1" applyBorder="1" applyAlignment="1">
      <alignment wrapText="1"/>
    </xf>
    <xf numFmtId="0" fontId="1" fillId="3" borderId="5" xfId="0" applyFont="1" applyFill="1" applyBorder="1" applyAlignment="1">
      <alignment/>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5" xfId="0" applyFont="1" applyFill="1" applyBorder="1" applyAlignment="1">
      <alignment/>
    </xf>
    <xf numFmtId="0" fontId="1" fillId="2" borderId="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00"/>
  <sheetViews>
    <sheetView tabSelected="1" workbookViewId="0" topLeftCell="A1">
      <pane xSplit="1" ySplit="1" topLeftCell="B9" activePane="bottomRight" state="frozen"/>
      <selection pane="topLeft" activeCell="A1" sqref="A1"/>
      <selection pane="topRight" activeCell="C1" sqref="C1"/>
      <selection pane="bottomLeft" activeCell="A2" sqref="A2"/>
      <selection pane="bottomRight" activeCell="D1" sqref="D1"/>
    </sheetView>
  </sheetViews>
  <sheetFormatPr defaultColWidth="9.33203125" defaultRowHeight="11.25"/>
  <cols>
    <col min="1" max="1" width="24.5" style="0" customWidth="1"/>
    <col min="4" max="4" width="7.16015625" style="4" customWidth="1"/>
    <col min="6" max="6" width="9.33203125" style="0" hidden="1" customWidth="1"/>
    <col min="7" max="7" width="0" style="0" hidden="1" customWidth="1"/>
    <col min="8" max="11" width="9.33203125" style="0" hidden="1" customWidth="1"/>
    <col min="12" max="12" width="8.5" style="3" customWidth="1"/>
    <col min="13" max="16" width="9.33203125" style="4" hidden="1" customWidth="1"/>
    <col min="17" max="17" width="24.66015625" style="5" customWidth="1"/>
    <col min="18" max="18" width="23.83203125" style="2" customWidth="1"/>
    <col min="19" max="19" width="9.33203125" style="4" customWidth="1"/>
    <col min="21" max="22" width="9.33203125" style="4" customWidth="1"/>
    <col min="26" max="26" width="9.33203125" style="2" customWidth="1"/>
    <col min="33" max="33" width="9.33203125" style="2" customWidth="1"/>
    <col min="36" max="36" width="9.33203125" style="2" customWidth="1"/>
    <col min="39" max="39" width="9.33203125" style="2" customWidth="1"/>
    <col min="41" max="41" width="9.33203125" style="2" customWidth="1"/>
    <col min="43" max="43" width="9.33203125" style="2" customWidth="1"/>
    <col min="45" max="45" width="9.33203125" style="2" customWidth="1"/>
  </cols>
  <sheetData>
    <row r="1" spans="1:46" s="6" customFormat="1" ht="68.25" thickBot="1">
      <c r="A1" s="6" t="s">
        <v>311</v>
      </c>
      <c r="B1" s="6" t="s">
        <v>316</v>
      </c>
      <c r="C1" s="6" t="s">
        <v>318</v>
      </c>
      <c r="D1" s="7" t="s">
        <v>319</v>
      </c>
      <c r="E1" s="6" t="s">
        <v>312</v>
      </c>
      <c r="F1" s="6" t="s">
        <v>313</v>
      </c>
      <c r="G1" s="6" t="s">
        <v>314</v>
      </c>
      <c r="H1" s="6" t="s">
        <v>315</v>
      </c>
      <c r="I1" s="6" t="s">
        <v>317</v>
      </c>
      <c r="J1" s="6" t="s">
        <v>320</v>
      </c>
      <c r="K1" s="8" t="s">
        <v>321</v>
      </c>
      <c r="L1" s="7" t="s">
        <v>1299</v>
      </c>
      <c r="M1" s="7" t="s">
        <v>1030</v>
      </c>
      <c r="N1" s="7" t="s">
        <v>1031</v>
      </c>
      <c r="O1" s="7" t="s">
        <v>1032</v>
      </c>
      <c r="P1" s="7" t="s">
        <v>1033</v>
      </c>
      <c r="Q1" s="9" t="s">
        <v>1038</v>
      </c>
      <c r="R1" s="7" t="s">
        <v>653</v>
      </c>
      <c r="S1" s="16" t="s">
        <v>654</v>
      </c>
      <c r="T1" s="6" t="s">
        <v>1302</v>
      </c>
      <c r="U1" s="7" t="s">
        <v>655</v>
      </c>
      <c r="V1" s="7" t="s">
        <v>656</v>
      </c>
      <c r="W1" s="6" t="s">
        <v>206</v>
      </c>
      <c r="X1" s="6" t="s">
        <v>657</v>
      </c>
      <c r="Y1" s="8" t="s">
        <v>657</v>
      </c>
      <c r="Z1" s="6" t="s">
        <v>658</v>
      </c>
      <c r="AA1" s="6" t="s">
        <v>654</v>
      </c>
      <c r="AB1" s="6" t="s">
        <v>659</v>
      </c>
      <c r="AC1" s="6" t="s">
        <v>660</v>
      </c>
      <c r="AD1" s="6" t="s">
        <v>661</v>
      </c>
      <c r="AE1" s="6" t="s">
        <v>662</v>
      </c>
      <c r="AF1" s="6" t="s">
        <v>663</v>
      </c>
      <c r="AG1" s="6" t="s">
        <v>664</v>
      </c>
      <c r="AH1" s="6" t="s">
        <v>654</v>
      </c>
      <c r="AI1" s="6" t="s">
        <v>665</v>
      </c>
      <c r="AJ1" s="6" t="s">
        <v>666</v>
      </c>
      <c r="AK1" s="6" t="s">
        <v>654</v>
      </c>
      <c r="AL1" s="6" t="s">
        <v>667</v>
      </c>
      <c r="AM1" s="6" t="s">
        <v>668</v>
      </c>
      <c r="AN1" s="6" t="s">
        <v>654</v>
      </c>
      <c r="AO1" s="6" t="s">
        <v>669</v>
      </c>
      <c r="AP1" s="6" t="s">
        <v>654</v>
      </c>
      <c r="AQ1" s="6" t="s">
        <v>1300</v>
      </c>
      <c r="AR1" s="6" t="s">
        <v>654</v>
      </c>
      <c r="AS1" s="6" t="s">
        <v>1301</v>
      </c>
      <c r="AT1" s="6" t="s">
        <v>654</v>
      </c>
    </row>
    <row r="2" spans="1:22" s="11" customFormat="1" ht="12" thickBot="1">
      <c r="A2" s="12" t="s">
        <v>918</v>
      </c>
      <c r="D2" s="10"/>
      <c r="L2" s="10"/>
      <c r="M2" s="10"/>
      <c r="N2" s="10"/>
      <c r="O2" s="10"/>
      <c r="P2" s="10"/>
      <c r="R2" s="10"/>
      <c r="S2" s="10"/>
      <c r="U2" s="10"/>
      <c r="V2" s="10"/>
    </row>
    <row r="3" spans="1:22" s="14" customFormat="1" ht="12" thickBot="1">
      <c r="A3" s="15" t="s">
        <v>921</v>
      </c>
      <c r="D3" s="13"/>
      <c r="L3" s="13"/>
      <c r="M3" s="13"/>
      <c r="N3" s="13"/>
      <c r="O3" s="13"/>
      <c r="P3" s="13"/>
      <c r="R3" s="13"/>
      <c r="S3" s="13"/>
      <c r="U3" s="13"/>
      <c r="V3" s="13"/>
    </row>
    <row r="4" spans="1:46" ht="12" thickBot="1">
      <c r="A4" t="str">
        <f>HYPERLINK("http://exon.niaid.nih.gov/transcriptome/Tx_amboinensis_sialome/Table_1/links/TX-contig_6.txt","TX-contig_6")</f>
        <v>TX-contig_6</v>
      </c>
      <c r="B4" t="str">
        <f>HYPERLINK("http://exon.niaid.nih.gov/transcriptome/Tx_amboinensis_sialome/Table_1/links/TX-5-90-90-asb-6.txt","Contig-6")</f>
        <v>Contig-6</v>
      </c>
      <c r="C4" t="str">
        <f>HYPERLINK("http://exon.niaid.nih.gov/transcriptome/Tx_amboinensis_sialome/Table_1/links/TX-5-90-90-6-CLU.txt","Contig6")</f>
        <v>Contig6</v>
      </c>
      <c r="D4" s="4">
        <v>45</v>
      </c>
      <c r="E4">
        <v>771</v>
      </c>
      <c r="F4" t="s">
        <v>322</v>
      </c>
      <c r="G4">
        <v>53.3</v>
      </c>
      <c r="H4">
        <v>752</v>
      </c>
      <c r="I4">
        <v>6</v>
      </c>
      <c r="J4" t="s">
        <v>329</v>
      </c>
      <c r="K4">
        <v>220</v>
      </c>
      <c r="L4" s="3" t="s">
        <v>1035</v>
      </c>
      <c r="M4" s="4">
        <v>0</v>
      </c>
      <c r="N4" s="4">
        <v>3</v>
      </c>
      <c r="O4" s="4">
        <v>31</v>
      </c>
      <c r="P4" s="4">
        <v>0</v>
      </c>
      <c r="Q4" s="5" t="s">
        <v>1062</v>
      </c>
      <c r="R4" s="2" t="str">
        <f>HYPERLINK("http://exon.niaid.nih.gov/transcriptome/Tx_amboinensis_sialome/Table_1/links/NR\TX-contig_6-NR.txt","probable salivary maltase precursor [")</f>
        <v>probable salivary maltase precursor [</v>
      </c>
      <c r="S4" s="4" t="str">
        <f>HYPERLINK("http://www.ncbi.nlm.nih.gov/sutils/blink.cgi?pid=56417392","2E-081")</f>
        <v>2E-081</v>
      </c>
      <c r="T4" t="s">
        <v>857</v>
      </c>
      <c r="U4" s="4">
        <v>66</v>
      </c>
      <c r="V4" s="4">
        <v>38</v>
      </c>
      <c r="W4" t="s">
        <v>671</v>
      </c>
      <c r="X4" t="s">
        <v>704</v>
      </c>
      <c r="Y4" t="s">
        <v>171</v>
      </c>
      <c r="Z4" s="2" t="s">
        <v>172</v>
      </c>
      <c r="AA4">
        <f>HYPERLINK("http://exon.niaid.nih.gov/transcriptome/Tx_amboinensis_sialome/Table_1/links/GO\TX-contig_6-GO.txt",2E-39)</f>
        <v>0</v>
      </c>
      <c r="AB4" t="s">
        <v>173</v>
      </c>
      <c r="AC4" t="s">
        <v>174</v>
      </c>
      <c r="AD4" t="s">
        <v>175</v>
      </c>
      <c r="AE4" t="s">
        <v>176</v>
      </c>
      <c r="AF4" s="1">
        <v>2E-39</v>
      </c>
      <c r="AG4" s="2" t="str">
        <f>HYPERLINK("http://exon.niaid.nih.gov/transcriptome/Tx_amboinensis_sialome/Table_1/links/KOG\TX-contig_6-KOG.txt","Alpha-amylase")</f>
        <v>Alpha-amylase</v>
      </c>
      <c r="AH4" t="str">
        <f>HYPERLINK("http://www.ncbi.nlm.nih.gov/COG/new/shokog.cgi?KOG0471","6E-031")</f>
        <v>6E-031</v>
      </c>
      <c r="AI4" t="s">
        <v>177</v>
      </c>
      <c r="AJ4" s="2" t="str">
        <f>HYPERLINK("http://exon.niaid.nih.gov/transcriptome/Tx_amboinensis_sialome/Table_1/links/CDD\TX-contig_6-CDD.txt","Alpha-amylase")</f>
        <v>Alpha-amylase</v>
      </c>
      <c r="AK4" t="str">
        <f>HYPERLINK("http://www.ncbi.nlm.nih.gov/Structure/cdd/cddsrv.cgi?uid=pfam00128&amp;version=v4.0","4E-006")</f>
        <v>4E-006</v>
      </c>
      <c r="AL4" t="s">
        <v>178</v>
      </c>
      <c r="AM4" s="2" t="str">
        <f>HYPERLINK("http://exon.niaid.nih.gov/transcriptome/Tx_amboinensis_sialome/Table_1/links/PFAM\TX-contig_6-PFAM.txt","Alpha-amylase")</f>
        <v>Alpha-amylase</v>
      </c>
      <c r="AN4" t="str">
        <f>HYPERLINK("http://pfam.wustl.edu/cgi-bin/getdesc?acc=PF00128","2E-006")</f>
        <v>2E-006</v>
      </c>
      <c r="AO4" s="2" t="str">
        <f>HYPERLINK("http://exon.niaid.nih.gov/transcriptome/Tx_amboinensis_sialome/Table_1/links/SMART\TX-contig_6-SMART.txt","Aamy")</f>
        <v>Aamy</v>
      </c>
      <c r="AP4" t="str">
        <f>HYPERLINK("http://smart.embl-heidelberg.de/smart/do_annotation.pl?DOMAIN=Aamy&amp;BLAST=DUMMY","2E-004")</f>
        <v>2E-004</v>
      </c>
      <c r="AQ4" s="2" t="s">
        <v>324</v>
      </c>
      <c r="AR4" t="s">
        <v>324</v>
      </c>
      <c r="AS4" s="2" t="s">
        <v>324</v>
      </c>
      <c r="AT4" t="s">
        <v>324</v>
      </c>
    </row>
    <row r="5" spans="1:22" s="14" customFormat="1" ht="12" thickBot="1">
      <c r="A5" s="15" t="s">
        <v>919</v>
      </c>
      <c r="D5" s="13"/>
      <c r="L5" s="13"/>
      <c r="M5" s="13"/>
      <c r="N5" s="13"/>
      <c r="O5" s="13"/>
      <c r="P5" s="13"/>
      <c r="R5" s="13"/>
      <c r="S5" s="13"/>
      <c r="U5" s="13"/>
      <c r="V5" s="13"/>
    </row>
    <row r="6" spans="1:46" ht="12" thickBot="1">
      <c r="A6" t="str">
        <f>HYPERLINK("http://exon.niaid.nih.gov/transcriptome/Tx_amboinensis_sialome/Table_1/links/TX-contig_37.txt","TX-contig_37")</f>
        <v>TX-contig_37</v>
      </c>
      <c r="B6" t="str">
        <f>HYPERLINK("http://exon.niaid.nih.gov/transcriptome/Tx_amboinensis_sialome/Table_1/links/TX-5-90-90-asb-37.txt","Contig-37")</f>
        <v>Contig-37</v>
      </c>
      <c r="C6" t="str">
        <f>HYPERLINK("http://exon.niaid.nih.gov/transcriptome/Tx_amboinensis_sialome/Table_1/links/TX-5-90-90-37-CLU.txt","Contig37")</f>
        <v>Contig37</v>
      </c>
      <c r="D6" s="4">
        <v>2</v>
      </c>
      <c r="E6">
        <v>1086</v>
      </c>
      <c r="F6">
        <v>2.3</v>
      </c>
      <c r="G6">
        <v>59.4</v>
      </c>
      <c r="H6" t="s">
        <v>324</v>
      </c>
      <c r="I6">
        <v>37</v>
      </c>
      <c r="J6" t="s">
        <v>360</v>
      </c>
      <c r="K6">
        <v>100</v>
      </c>
      <c r="L6" s="3" t="s">
        <v>1035</v>
      </c>
      <c r="M6" s="4">
        <v>0</v>
      </c>
      <c r="N6" s="4">
        <v>0</v>
      </c>
      <c r="O6" s="4">
        <v>3</v>
      </c>
      <c r="P6" s="4">
        <v>0</v>
      </c>
      <c r="Q6" s="5" t="s">
        <v>1078</v>
      </c>
      <c r="R6" s="2" t="str">
        <f>HYPERLINK("http://exon.niaid.nih.gov/transcriptome/Tx_amboinensis_sialome/Table_1/links/NR\TX-contig_37-NR.txt","deoxyribonuclease I, putative [Aedes")</f>
        <v>deoxyribonuclease I, putative [Aedes</v>
      </c>
      <c r="S6" s="4" t="str">
        <f>HYPERLINK("http://www.ncbi.nlm.nih.gov/sutils/blink.cgi?pid=108882577","3E-070")</f>
        <v>3E-070</v>
      </c>
      <c r="T6" t="s">
        <v>705</v>
      </c>
      <c r="U6" s="4">
        <v>59</v>
      </c>
      <c r="V6" s="4">
        <v>66</v>
      </c>
      <c r="W6" t="s">
        <v>901</v>
      </c>
      <c r="X6" t="s">
        <v>109</v>
      </c>
      <c r="Y6" t="s">
        <v>272</v>
      </c>
      <c r="Z6" s="2" t="s">
        <v>273</v>
      </c>
      <c r="AA6">
        <f>HYPERLINK("http://exon.niaid.nih.gov/transcriptome/Tx_amboinensis_sialome/Table_1/links/GO\TX-contig_37-GO.txt",0.003)</f>
        <v>0</v>
      </c>
      <c r="AB6" t="s">
        <v>796</v>
      </c>
      <c r="AC6" t="s">
        <v>174</v>
      </c>
      <c r="AD6" t="s">
        <v>175</v>
      </c>
      <c r="AE6" t="s">
        <v>797</v>
      </c>
      <c r="AF6">
        <v>0.003</v>
      </c>
      <c r="AG6" s="2" t="str">
        <f>HYPERLINK("http://exon.niaid.nih.gov/transcriptome/Tx_amboinensis_sialome/Table_1/links/KOG\TX-contig_37-KOG.txt","DNA topoisomerase type II")</f>
        <v>DNA topoisomerase type II</v>
      </c>
      <c r="AH6" t="str">
        <f>HYPERLINK("http://www.ncbi.nlm.nih.gov/COG/new/shokog.cgi?KOG0355","0.59")</f>
        <v>0.59</v>
      </c>
      <c r="AI6" t="s">
        <v>798</v>
      </c>
      <c r="AJ6" s="2" t="str">
        <f>HYPERLINK("http://exon.niaid.nih.gov/transcriptome/Tx_amboinensis_sialome/Table_1/links/CDD\TX-contig_37-CDD.txt","Endonuclease_NS")</f>
        <v>Endonuclease_NS</v>
      </c>
      <c r="AK6" t="str">
        <f>HYPERLINK("http://www.ncbi.nlm.nih.gov/Structure/cdd/cddsrv.cgi?uid=pfam01223&amp;version=v4.0","2E-019")</f>
        <v>2E-019</v>
      </c>
      <c r="AL6" t="s">
        <v>799</v>
      </c>
      <c r="AM6" s="2" t="str">
        <f>HYPERLINK("http://exon.niaid.nih.gov/transcriptome/Tx_amboinensis_sialome/Table_1/links/PFAM\TX-contig_37-PFAM.txt","Endonuclease_NS")</f>
        <v>Endonuclease_NS</v>
      </c>
      <c r="AN6" t="str">
        <f>HYPERLINK("http://pfam.wustl.edu/cgi-bin/getdesc?acc=PF01223","1E-019")</f>
        <v>1E-019</v>
      </c>
      <c r="AO6" s="2" t="str">
        <f>HYPERLINK("http://exon.niaid.nih.gov/transcriptome/Tx_amboinensis_sialome/Table_1/links/SMART\TX-contig_37-SMART.txt","NUC")</f>
        <v>NUC</v>
      </c>
      <c r="AP6" t="str">
        <f>HYPERLINK("http://smart.embl-heidelberg.de/smart/do_annotation.pl?DOMAIN=NUC&amp;BLAST=DUMMY","7E-008")</f>
        <v>7E-008</v>
      </c>
      <c r="AQ6" s="2" t="s">
        <v>324</v>
      </c>
      <c r="AR6" t="s">
        <v>324</v>
      </c>
      <c r="AS6" s="2" t="s">
        <v>324</v>
      </c>
      <c r="AT6" t="s">
        <v>324</v>
      </c>
    </row>
    <row r="7" spans="1:22" s="14" customFormat="1" ht="12" thickBot="1">
      <c r="A7" s="15" t="s">
        <v>923</v>
      </c>
      <c r="D7" s="13"/>
      <c r="L7" s="13"/>
      <c r="M7" s="13"/>
      <c r="N7" s="13"/>
      <c r="O7" s="13"/>
      <c r="P7" s="13"/>
      <c r="R7" s="13"/>
      <c r="S7" s="13"/>
      <c r="U7" s="13"/>
      <c r="V7" s="13"/>
    </row>
    <row r="8" spans="1:46" ht="11.25">
      <c r="A8" t="str">
        <f>HYPERLINK("http://exon.niaid.nih.gov/transcriptome/Tx_amboinensis_sialome/Table_1/links/TX-contig_9.txt","TX-contig_9")</f>
        <v>TX-contig_9</v>
      </c>
      <c r="B8" t="str">
        <f>HYPERLINK("http://exon.niaid.nih.gov/transcriptome/Tx_amboinensis_sialome/Table_1/links/TX-5-90-90-asb-9.txt","Contig-9")</f>
        <v>Contig-9</v>
      </c>
      <c r="C8" t="str">
        <f>HYPERLINK("http://exon.niaid.nih.gov/transcriptome/Tx_amboinensis_sialome/Table_1/links/TX-5-90-90-9-CLU.txt","Contig9")</f>
        <v>Contig9</v>
      </c>
      <c r="D8" s="4">
        <v>20</v>
      </c>
      <c r="E8">
        <v>529</v>
      </c>
      <c r="F8" t="s">
        <v>322</v>
      </c>
      <c r="G8">
        <v>51.8</v>
      </c>
      <c r="H8">
        <v>510</v>
      </c>
      <c r="I8">
        <v>9</v>
      </c>
      <c r="J8" t="s">
        <v>332</v>
      </c>
      <c r="K8">
        <v>111</v>
      </c>
      <c r="L8" s="3" t="s">
        <v>1035</v>
      </c>
      <c r="M8" s="4">
        <v>2</v>
      </c>
      <c r="N8" s="4">
        <v>0</v>
      </c>
      <c r="O8" s="4">
        <v>24</v>
      </c>
      <c r="P8" s="4">
        <v>0</v>
      </c>
      <c r="Q8" s="5" t="s">
        <v>1043</v>
      </c>
      <c r="R8" s="2" t="str">
        <f>HYPERLINK("http://exon.niaid.nih.gov/transcriptome/Tx_amboinensis_sialome/Table_1/links/NR\TX-contig_9-NR.txt","lysozyme P, putative [Aedes aegypti]      207   1e-052")</f>
        <v>lysozyme P, putative [Aedes aegypti]      207   1e-052</v>
      </c>
      <c r="S8" s="4" t="str">
        <f>HYPERLINK("http://www.ncbi.nlm.nih.gov/sutils/blink.cgi?pid=108874214","1E-052")</f>
        <v>1E-052</v>
      </c>
      <c r="T8" t="s">
        <v>110</v>
      </c>
      <c r="U8" s="4">
        <v>65</v>
      </c>
      <c r="V8" s="4">
        <v>100</v>
      </c>
      <c r="W8" t="s">
        <v>901</v>
      </c>
      <c r="X8" t="s">
        <v>111</v>
      </c>
      <c r="Y8" t="s">
        <v>902</v>
      </c>
      <c r="Z8" s="2" t="s">
        <v>903</v>
      </c>
      <c r="AA8">
        <f>HYPERLINK("http://exon.niaid.nih.gov/transcriptome/Tx_amboinensis_sialome/Table_1/links/GO\TX-contig_9-GO.txt",4E-23)</f>
        <v>0</v>
      </c>
      <c r="AB8" t="s">
        <v>904</v>
      </c>
      <c r="AC8" t="s">
        <v>174</v>
      </c>
      <c r="AD8" t="s">
        <v>175</v>
      </c>
      <c r="AE8" t="s">
        <v>905</v>
      </c>
      <c r="AF8" s="1">
        <v>4E-23</v>
      </c>
      <c r="AG8" s="2" t="str">
        <f>HYPERLINK("http://exon.niaid.nih.gov/transcriptome/Tx_amboinensis_sialome/Table_1/links/KOG\TX-contig_9-KOG.txt","ATP-dependent RNA helicase")</f>
        <v>ATP-dependent RNA helicase</v>
      </c>
      <c r="AH8" t="str">
        <f>HYPERLINK("http://www.ncbi.nlm.nih.gov/COG/new/shokog.cgi?KOG0331","0.30")</f>
        <v>0.30</v>
      </c>
      <c r="AI8" t="s">
        <v>906</v>
      </c>
      <c r="AJ8" s="2" t="str">
        <f>HYPERLINK("http://exon.niaid.nih.gov/transcriptome/Tx_amboinensis_sialome/Table_1/links/CDD\TX-contig_9-CDD.txt","LYZ1")</f>
        <v>LYZ1</v>
      </c>
      <c r="AK8" t="str">
        <f>HYPERLINK("http://www.ncbi.nlm.nih.gov/Structure/cdd/cddsrv.cgi?uid=cd00119&amp;version=v4.0","9E-040")</f>
        <v>9E-040</v>
      </c>
      <c r="AL8" t="s">
        <v>907</v>
      </c>
      <c r="AM8" s="2" t="str">
        <f>HYPERLINK("http://exon.niaid.nih.gov/transcriptome/Tx_amboinensis_sialome/Table_1/links/PFAM\TX-contig_9-PFAM.txt","Lys")</f>
        <v>Lys</v>
      </c>
      <c r="AN8" t="str">
        <f>HYPERLINK("http://pfam.wustl.edu/cgi-bin/getdesc?acc=PF00062","3E-031")</f>
        <v>3E-031</v>
      </c>
      <c r="AO8" s="2" t="str">
        <f>HYPERLINK("http://exon.niaid.nih.gov/transcriptome/Tx_amboinensis_sialome/Table_1/links/SMART\TX-contig_9-SMART.txt","LYZ1")</f>
        <v>LYZ1</v>
      </c>
      <c r="AP8" t="str">
        <f>HYPERLINK("http://smart.embl-heidelberg.de/smart/do_annotation.pl?DOMAIN=LYZ1&amp;BLAST=DUMMY","3E-035")</f>
        <v>3E-035</v>
      </c>
      <c r="AQ8" s="2" t="s">
        <v>324</v>
      </c>
      <c r="AR8" t="s">
        <v>324</v>
      </c>
      <c r="AS8" s="2" t="s">
        <v>324</v>
      </c>
      <c r="AT8" t="s">
        <v>324</v>
      </c>
    </row>
    <row r="9" spans="1:46" ht="11.25">
      <c r="A9" t="str">
        <f>HYPERLINK("http://exon.niaid.nih.gov/transcriptome/Tx_amboinensis_sialome/Table_1/links/TX-contig_30.txt","TX-contig_30")</f>
        <v>TX-contig_30</v>
      </c>
      <c r="B9" t="str">
        <f>HYPERLINK("http://exon.niaid.nih.gov/transcriptome/Tx_amboinensis_sialome/Table_1/links/TX-5-90-90-asb-30.txt","Contig-30")</f>
        <v>Contig-30</v>
      </c>
      <c r="C9" t="str">
        <f>HYPERLINK("http://exon.niaid.nih.gov/transcriptome/Tx_amboinensis_sialome/Table_1/links/TX-5-90-90-30-CLU.txt","Contig30")</f>
        <v>Contig30</v>
      </c>
      <c r="D9" s="4">
        <v>2</v>
      </c>
      <c r="E9">
        <v>475</v>
      </c>
      <c r="F9" t="s">
        <v>322</v>
      </c>
      <c r="G9">
        <v>56.6</v>
      </c>
      <c r="H9">
        <v>456</v>
      </c>
      <c r="I9">
        <v>30</v>
      </c>
      <c r="J9" t="s">
        <v>353</v>
      </c>
      <c r="K9">
        <v>392</v>
      </c>
      <c r="L9" s="3" t="s">
        <v>1035</v>
      </c>
      <c r="M9" s="4">
        <v>0</v>
      </c>
      <c r="N9" s="4">
        <v>0</v>
      </c>
      <c r="O9" s="4">
        <v>2</v>
      </c>
      <c r="P9" s="4">
        <v>0</v>
      </c>
      <c r="Q9" s="5" t="s">
        <v>1077</v>
      </c>
      <c r="R9" s="2" t="str">
        <f>HYPERLINK("http://exon.niaid.nih.gov/transcriptome/Tx_amboinensis_sialome/Table_1/links/NR\TX-contig_30-NR.txt","lysozyme [Aedes albopictus]                229   3e-059")</f>
        <v>lysozyme [Aedes albopictus]                229   3e-059</v>
      </c>
      <c r="S9" s="4" t="str">
        <f>HYPERLINK("http://www.ncbi.nlm.nih.gov/sutils/blink.cgi?pid=20159661","3E-059")</f>
        <v>3E-059</v>
      </c>
      <c r="T9" t="s">
        <v>253</v>
      </c>
      <c r="U9" s="4">
        <v>81</v>
      </c>
      <c r="V9" s="4">
        <v>81</v>
      </c>
      <c r="W9" t="s">
        <v>671</v>
      </c>
      <c r="X9" t="s">
        <v>112</v>
      </c>
      <c r="Y9" t="s">
        <v>254</v>
      </c>
      <c r="Z9" s="2" t="s">
        <v>903</v>
      </c>
      <c r="AA9">
        <f>HYPERLINK("http://exon.niaid.nih.gov/transcriptome/Tx_amboinensis_sialome/Table_1/links/GO\TX-contig_30-GO.txt",1E-30)</f>
        <v>0</v>
      </c>
      <c r="AB9" t="s">
        <v>904</v>
      </c>
      <c r="AC9" t="s">
        <v>174</v>
      </c>
      <c r="AD9" t="s">
        <v>175</v>
      </c>
      <c r="AE9" t="s">
        <v>905</v>
      </c>
      <c r="AF9" s="1">
        <v>1E-30</v>
      </c>
      <c r="AG9" s="2" t="str">
        <f>HYPERLINK("http://exon.niaid.nih.gov/transcriptome/Tx_amboinensis_sialome/Table_1/links/KOG\TX-contig_30-KOG.txt","Bifunctional ATP sulfurylase/adenosine 5'-phosphosulfate kinase")</f>
        <v>Bifunctional ATP sulfurylase/adenosine 5'-phosphosulfate kinase</v>
      </c>
      <c r="AH9" t="str">
        <f>HYPERLINK("http://www.ncbi.nlm.nih.gov/COG/new/shokog.cgi?KOG4238","0.26")</f>
        <v>0.26</v>
      </c>
      <c r="AI9" t="s">
        <v>255</v>
      </c>
      <c r="AJ9" s="2" t="str">
        <f>HYPERLINK("http://exon.niaid.nih.gov/transcriptome/Tx_amboinensis_sialome/Table_1/links/CDD\TX-contig_30-CDD.txt","LYZ1")</f>
        <v>LYZ1</v>
      </c>
      <c r="AK9" t="str">
        <f>HYPERLINK("http://www.ncbi.nlm.nih.gov/Structure/cdd/cddsrv.cgi?uid=cd00119&amp;version=v4.0","2E-046")</f>
        <v>2E-046</v>
      </c>
      <c r="AL9" t="s">
        <v>256</v>
      </c>
      <c r="AM9" s="2" t="str">
        <f>HYPERLINK("http://exon.niaid.nih.gov/transcriptome/Tx_amboinensis_sialome/Table_1/links/PFAM\TX-contig_30-PFAM.txt","Lys")</f>
        <v>Lys</v>
      </c>
      <c r="AN9" t="str">
        <f>HYPERLINK("http://pfam.wustl.edu/cgi-bin/getdesc?acc=PF00062","4E-034")</f>
        <v>4E-034</v>
      </c>
      <c r="AO9" s="2" t="str">
        <f>HYPERLINK("http://exon.niaid.nih.gov/transcriptome/Tx_amboinensis_sialome/Table_1/links/SMART\TX-contig_30-SMART.txt","LYZ1")</f>
        <v>LYZ1</v>
      </c>
      <c r="AP9" t="str">
        <f>HYPERLINK("http://smart.embl-heidelberg.de/smart/do_annotation.pl?DOMAIN=LYZ1&amp;BLAST=DUMMY","1E-041")</f>
        <v>1E-041</v>
      </c>
      <c r="AQ9" s="2" t="s">
        <v>324</v>
      </c>
      <c r="AR9" t="s">
        <v>324</v>
      </c>
      <c r="AS9" s="2" t="s">
        <v>324</v>
      </c>
      <c r="AT9" t="s">
        <v>324</v>
      </c>
    </row>
    <row r="10" spans="1:46" ht="11.25">
      <c r="A10" t="str">
        <f>HYPERLINK("http://exon.niaid.nih.gov/transcriptome/Tx_amboinensis_sialome/Table_1/links/TX-contig_149.txt","TX-contig_149")</f>
        <v>TX-contig_149</v>
      </c>
      <c r="B10" t="str">
        <f>HYPERLINK("http://exon.niaid.nih.gov/transcriptome/Tx_amboinensis_sialome/Table_1/links/TX-5-90-90-asb-149.txt","Contig-149")</f>
        <v>Contig-149</v>
      </c>
      <c r="C10" t="str">
        <f>HYPERLINK("http://exon.niaid.nih.gov/transcriptome/Tx_amboinensis_sialome/Table_1/links/TX-5-90-90-149-CLU.txt","Contig149")</f>
        <v>Contig149</v>
      </c>
      <c r="D10" s="4">
        <v>1</v>
      </c>
      <c r="E10">
        <v>249</v>
      </c>
      <c r="F10">
        <v>0.4</v>
      </c>
      <c r="G10">
        <v>61.8</v>
      </c>
      <c r="H10">
        <v>230</v>
      </c>
      <c r="I10">
        <v>149</v>
      </c>
      <c r="J10" t="s">
        <v>463</v>
      </c>
      <c r="K10">
        <v>230</v>
      </c>
      <c r="L10" s="3" t="s">
        <v>1035</v>
      </c>
      <c r="M10" s="4">
        <v>0</v>
      </c>
      <c r="N10" s="4">
        <v>0</v>
      </c>
      <c r="O10" s="4">
        <v>2</v>
      </c>
      <c r="P10" s="4">
        <v>0</v>
      </c>
      <c r="Q10" s="5" t="s">
        <v>1077</v>
      </c>
      <c r="R10" s="2" t="str">
        <f>HYPERLINK("http://exon.niaid.nih.gov/transcriptome/Tx_amboinensis_sialome/Table_1/links/NR\TX-contig_149-NR.txt","lysozyme [Aedes albopictus]                 66   6e-010")</f>
        <v>lysozyme [Aedes albopictus]                 66   6e-010</v>
      </c>
      <c r="S10" s="4" t="str">
        <f>HYPERLINK("http://www.ncbi.nlm.nih.gov/sutils/blink.cgi?pid=20159661","6E-010")</f>
        <v>6E-010</v>
      </c>
      <c r="T10" t="s">
        <v>253</v>
      </c>
      <c r="U10" s="4">
        <v>78</v>
      </c>
      <c r="V10" s="4">
        <v>22</v>
      </c>
      <c r="W10" t="s">
        <v>671</v>
      </c>
      <c r="X10" t="s">
        <v>113</v>
      </c>
      <c r="Y10" t="s">
        <v>1143</v>
      </c>
      <c r="Z10" s="2" t="s">
        <v>903</v>
      </c>
      <c r="AA10">
        <f>HYPERLINK("http://exon.niaid.nih.gov/transcriptome/Tx_amboinensis_sialome/Table_1/links/GO\TX-contig_149-GO.txt",0.00000002)</f>
        <v>0</v>
      </c>
      <c r="AB10" t="s">
        <v>904</v>
      </c>
      <c r="AC10" t="s">
        <v>174</v>
      </c>
      <c r="AD10" t="s">
        <v>175</v>
      </c>
      <c r="AE10" t="s">
        <v>905</v>
      </c>
      <c r="AF10">
        <v>2E-08</v>
      </c>
      <c r="AG10" s="2" t="str">
        <f>HYPERLINK("http://exon.niaid.nih.gov/transcriptome/Tx_amboinensis_sialome/Table_1/links/KOG\TX-contig_149-KOG.txt","Phospholipase D1")</f>
        <v>Phospholipase D1</v>
      </c>
      <c r="AH10" t="str">
        <f>HYPERLINK("http://www.ncbi.nlm.nih.gov/COG/new/shokog.cgi?KOG1329","0.057")</f>
        <v>0.057</v>
      </c>
      <c r="AI10" t="s">
        <v>913</v>
      </c>
      <c r="AJ10" s="2" t="str">
        <f>HYPERLINK("http://exon.niaid.nih.gov/transcriptome/Tx_amboinensis_sialome/Table_1/links/CDD\TX-contig_149-CDD.txt","LYZ1")</f>
        <v>LYZ1</v>
      </c>
      <c r="AK10" t="str">
        <f>HYPERLINK("http://www.ncbi.nlm.nih.gov/Structure/cdd/cddsrv.cgi?uid=cd00119&amp;version=v4.0","1E-008")</f>
        <v>1E-008</v>
      </c>
      <c r="AL10" t="s">
        <v>1144</v>
      </c>
      <c r="AM10" s="2" t="str">
        <f>HYPERLINK("http://exon.niaid.nih.gov/transcriptome/Tx_amboinensis_sialome/Table_1/links/PFAM\TX-contig_149-PFAM.txt","Lys")</f>
        <v>Lys</v>
      </c>
      <c r="AN10" t="str">
        <f>HYPERLINK("http://pfam.wustl.edu/cgi-bin/getdesc?acc=PF00062","0.006")</f>
        <v>0.006</v>
      </c>
      <c r="AO10" s="2" t="str">
        <f>HYPERLINK("http://exon.niaid.nih.gov/transcriptome/Tx_amboinensis_sialome/Table_1/links/SMART\TX-contig_149-SMART.txt","LYZ1")</f>
        <v>LYZ1</v>
      </c>
      <c r="AP10" t="str">
        <f>HYPERLINK("http://smart.embl-heidelberg.de/smart/do_annotation.pl?DOMAIN=LYZ1&amp;BLAST=DUMMY","2E-008")</f>
        <v>2E-008</v>
      </c>
      <c r="AQ10" s="2" t="s">
        <v>324</v>
      </c>
      <c r="AR10" t="s">
        <v>324</v>
      </c>
      <c r="AS10" s="2" t="s">
        <v>324</v>
      </c>
      <c r="AT10" t="s">
        <v>324</v>
      </c>
    </row>
    <row r="11" spans="1:46" ht="12" thickBot="1">
      <c r="A11" t="str">
        <f>HYPERLINK("http://exon.niaid.nih.gov/transcriptome/Tx_amboinensis_sialome/Table_1/links/TX-contig_309.txt","TX-contig_309")</f>
        <v>TX-contig_309</v>
      </c>
      <c r="B11" t="str">
        <f>HYPERLINK("http://exon.niaid.nih.gov/transcriptome/Tx_amboinensis_sialome/Table_1/links/TX-5-90-90-asb-309.txt","Contig-309")</f>
        <v>Contig-309</v>
      </c>
      <c r="C11" t="str">
        <f>HYPERLINK("http://exon.niaid.nih.gov/transcriptome/Tx_amboinensis_sialome/Table_1/links/TX-5-90-90-309-CLU.txt","Contig309")</f>
        <v>Contig309</v>
      </c>
      <c r="D11" s="4">
        <v>1</v>
      </c>
      <c r="E11">
        <v>160</v>
      </c>
      <c r="F11">
        <v>0.6</v>
      </c>
      <c r="G11">
        <v>60</v>
      </c>
      <c r="H11">
        <v>141</v>
      </c>
      <c r="I11">
        <v>309</v>
      </c>
      <c r="J11" t="s">
        <v>1163</v>
      </c>
      <c r="K11">
        <v>141</v>
      </c>
      <c r="L11" s="3" t="s">
        <v>1035</v>
      </c>
      <c r="M11" s="4">
        <v>0</v>
      </c>
      <c r="N11" s="4">
        <v>0</v>
      </c>
      <c r="O11" s="4">
        <v>2</v>
      </c>
      <c r="P11" s="4">
        <v>0</v>
      </c>
      <c r="Q11" s="5" t="s">
        <v>1100</v>
      </c>
      <c r="R11" s="2" t="str">
        <f>HYPERLINK("http://exon.niaid.nih.gov/transcriptome/Tx_amboinensis_sialome/Table_1/links/NR\TX-contig_309-NR.txt","salivary lysozyme [Aedes albopictus]        35   1.4")</f>
        <v>salivary lysozyme [Aedes albopictus]        35   1.4</v>
      </c>
      <c r="S11" s="4" t="str">
        <f>HYPERLINK("http://www.ncbi.nlm.nih.gov/sutils/blink.cgi?pid=56417404","1.4")</f>
        <v>1.4</v>
      </c>
      <c r="T11" t="s">
        <v>744</v>
      </c>
      <c r="U11" s="4">
        <v>75</v>
      </c>
      <c r="V11" s="4">
        <v>11</v>
      </c>
      <c r="W11" t="s">
        <v>671</v>
      </c>
      <c r="X11" t="s">
        <v>114</v>
      </c>
      <c r="Y11" t="s">
        <v>745</v>
      </c>
      <c r="Z11" s="2" t="s">
        <v>324</v>
      </c>
      <c r="AA11" t="s">
        <v>324</v>
      </c>
      <c r="AB11" t="s">
        <v>324</v>
      </c>
      <c r="AC11" t="s">
        <v>324</v>
      </c>
      <c r="AD11" t="s">
        <v>324</v>
      </c>
      <c r="AE11" t="s">
        <v>324</v>
      </c>
      <c r="AF11" t="s">
        <v>324</v>
      </c>
      <c r="AG11" s="2" t="s">
        <v>324</v>
      </c>
      <c r="AH11" t="s">
        <v>324</v>
      </c>
      <c r="AI11" t="s">
        <v>324</v>
      </c>
      <c r="AJ11" s="2" t="str">
        <f>HYPERLINK("http://exon.niaid.nih.gov/transcriptome/Tx_amboinensis_sialome/Table_1/links/CDD\TX-contig_309-CDD.txt","LYZ1")</f>
        <v>LYZ1</v>
      </c>
      <c r="AK11" t="str">
        <f>HYPERLINK("http://www.ncbi.nlm.nih.gov/Structure/cdd/cddsrv.cgi?uid=cd00119&amp;version=v4.0","0.25")</f>
        <v>0.25</v>
      </c>
      <c r="AL11" t="s">
        <v>746</v>
      </c>
      <c r="AM11" s="2" t="s">
        <v>324</v>
      </c>
      <c r="AN11" t="s">
        <v>324</v>
      </c>
      <c r="AO11" s="2" t="str">
        <f>HYPERLINK("http://exon.niaid.nih.gov/transcriptome/Tx_amboinensis_sialome/Table_1/links/SMART\TX-contig_309-SMART.txt","LYZ1")</f>
        <v>LYZ1</v>
      </c>
      <c r="AP11" t="str">
        <f>HYPERLINK("http://smart.embl-heidelberg.de/smart/do_annotation.pl?DOMAIN=LYZ1&amp;BLAST=DUMMY","0.016")</f>
        <v>0.016</v>
      </c>
      <c r="AQ11" s="2" t="s">
        <v>324</v>
      </c>
      <c r="AR11" t="s">
        <v>324</v>
      </c>
      <c r="AS11" s="2" t="s">
        <v>324</v>
      </c>
      <c r="AT11" t="s">
        <v>324</v>
      </c>
    </row>
    <row r="12" spans="1:22" s="14" customFormat="1" ht="12" thickBot="1">
      <c r="A12" s="15" t="s">
        <v>925</v>
      </c>
      <c r="D12" s="13"/>
      <c r="L12" s="13"/>
      <c r="M12" s="13"/>
      <c r="N12" s="13"/>
      <c r="O12" s="13"/>
      <c r="P12" s="13"/>
      <c r="R12" s="13"/>
      <c r="S12" s="13"/>
      <c r="U12" s="13"/>
      <c r="V12" s="13"/>
    </row>
    <row r="13" spans="1:46" ht="12" thickBot="1">
      <c r="A13" t="str">
        <f>HYPERLINK("http://exon.niaid.nih.gov/transcriptome/Tx_amboinensis_sialome/Table_1/links/TX-contig_181.txt","TX-contig_181")</f>
        <v>TX-contig_181</v>
      </c>
      <c r="B13" t="str">
        <f>HYPERLINK("http://exon.niaid.nih.gov/transcriptome/Tx_amboinensis_sialome/Table_1/links/TX-5-90-90-asb-181.txt","Contig-181")</f>
        <v>Contig-181</v>
      </c>
      <c r="C13" t="str">
        <f>HYPERLINK("http://exon.niaid.nih.gov/transcriptome/Tx_amboinensis_sialome/Table_1/links/TX-5-90-90-181-CLU.txt","Contig181")</f>
        <v>Contig181</v>
      </c>
      <c r="D13" s="4">
        <v>1</v>
      </c>
      <c r="E13">
        <v>323</v>
      </c>
      <c r="F13" t="s">
        <v>322</v>
      </c>
      <c r="G13">
        <v>55.7</v>
      </c>
      <c r="H13">
        <v>304</v>
      </c>
      <c r="I13">
        <v>181</v>
      </c>
      <c r="J13" t="s">
        <v>494</v>
      </c>
      <c r="K13">
        <v>304</v>
      </c>
      <c r="L13" s="3" t="s">
        <v>1035</v>
      </c>
      <c r="M13" s="4">
        <v>0</v>
      </c>
      <c r="N13" s="4">
        <v>0</v>
      </c>
      <c r="O13" s="4">
        <v>2</v>
      </c>
      <c r="P13" s="4">
        <v>0</v>
      </c>
      <c r="Q13" s="5" t="s">
        <v>1069</v>
      </c>
      <c r="R13" s="2" t="str">
        <f>HYPERLINK("http://exon.niaid.nih.gov/transcriptome/Tx_amboinensis_sialome/Table_1/links/NR\TX-contig_181-NR.txt","serine protease [Aedes aegypti]           148   7e-035")</f>
        <v>serine protease [Aedes aegypti]           148   7e-035</v>
      </c>
      <c r="S13" s="4" t="str">
        <f>HYPERLINK("http://www.ncbi.nlm.nih.gov/sutils/blink.cgi?pid=108884704","7E-035")</f>
        <v>7E-035</v>
      </c>
      <c r="T13" t="s">
        <v>115</v>
      </c>
      <c r="U13" s="4">
        <v>71</v>
      </c>
      <c r="V13" s="4">
        <v>25</v>
      </c>
      <c r="W13" t="s">
        <v>901</v>
      </c>
      <c r="X13" t="s">
        <v>116</v>
      </c>
      <c r="Y13" t="s">
        <v>865</v>
      </c>
      <c r="Z13" s="2" t="s">
        <v>866</v>
      </c>
      <c r="AA13">
        <f>HYPERLINK("http://exon.niaid.nih.gov/transcriptome/Tx_amboinensis_sialome/Table_1/links/GO\TX-contig_181-GO.txt",0.0000000000000000002)</f>
        <v>0</v>
      </c>
      <c r="AB13" t="s">
        <v>867</v>
      </c>
      <c r="AC13" t="s">
        <v>174</v>
      </c>
      <c r="AD13" t="s">
        <v>175</v>
      </c>
      <c r="AE13" t="s">
        <v>868</v>
      </c>
      <c r="AF13" s="1">
        <v>2E-19</v>
      </c>
      <c r="AG13" s="2" t="str">
        <f>HYPERLINK("http://exon.niaid.nih.gov/transcriptome/Tx_amboinensis_sialome/Table_1/links/KOG\TX-contig_181-KOG.txt","Trypsin")</f>
        <v>Trypsin</v>
      </c>
      <c r="AH13" t="str">
        <f>HYPERLINK("http://www.ncbi.nlm.nih.gov/COG/new/shokog.cgi?KOG3627","7E-023")</f>
        <v>7E-023</v>
      </c>
      <c r="AI13" t="s">
        <v>217</v>
      </c>
      <c r="AJ13" s="2" t="str">
        <f>HYPERLINK("http://exon.niaid.nih.gov/transcriptome/Tx_amboinensis_sialome/Table_1/links/CDD\TX-contig_181-CDD.txt","Tryp_SPc")</f>
        <v>Tryp_SPc</v>
      </c>
      <c r="AK13" t="str">
        <f>HYPERLINK("http://www.ncbi.nlm.nih.gov/Structure/cdd/cddsrv.cgi?uid=smart00020&amp;version=v4.0","9E-024")</f>
        <v>9E-024</v>
      </c>
      <c r="AL13" t="s">
        <v>869</v>
      </c>
      <c r="AM13" s="2" t="str">
        <f>HYPERLINK("http://exon.niaid.nih.gov/transcriptome/Tx_amboinensis_sialome/Table_1/links/PFAM\TX-contig_181-PFAM.txt","Trypsin")</f>
        <v>Trypsin</v>
      </c>
      <c r="AN13" t="str">
        <f>HYPERLINK("http://pfam.wustl.edu/cgi-bin/getdesc?acc=PF00089","2E-016")</f>
        <v>2E-016</v>
      </c>
      <c r="AO13" s="2" t="str">
        <f>HYPERLINK("http://exon.niaid.nih.gov/transcriptome/Tx_amboinensis_sialome/Table_1/links/SMART\TX-contig_181-SMART.txt","Tryp_SPc")</f>
        <v>Tryp_SPc</v>
      </c>
      <c r="AP13" t="str">
        <f>HYPERLINK("http://smart.embl-heidelberg.de/smart/do_annotation.pl?DOMAIN=Tryp_SPc&amp;BLAST=DUMMY","3E-025")</f>
        <v>3E-025</v>
      </c>
      <c r="AQ13" s="2" t="s">
        <v>324</v>
      </c>
      <c r="AR13" t="s">
        <v>324</v>
      </c>
      <c r="AS13" s="2" t="s">
        <v>324</v>
      </c>
      <c r="AT13" t="s">
        <v>324</v>
      </c>
    </row>
    <row r="14" spans="1:22" s="14" customFormat="1" ht="12" thickBot="1">
      <c r="A14" s="15" t="s">
        <v>924</v>
      </c>
      <c r="D14" s="13"/>
      <c r="L14" s="13"/>
      <c r="M14" s="13"/>
      <c r="N14" s="13"/>
      <c r="O14" s="13"/>
      <c r="P14" s="13"/>
      <c r="R14" s="13"/>
      <c r="S14" s="13"/>
      <c r="U14" s="13"/>
      <c r="V14" s="13"/>
    </row>
    <row r="15" spans="1:46" ht="12" thickBot="1">
      <c r="A15" t="str">
        <f>HYPERLINK("http://exon.niaid.nih.gov/transcriptome/Tx_amboinensis_sialome/Table_1/links/TX-contig_355.txt","TX-contig_355")</f>
        <v>TX-contig_355</v>
      </c>
      <c r="B15" t="str">
        <f>HYPERLINK("http://exon.niaid.nih.gov/transcriptome/Tx_amboinensis_sialome/Table_1/links/TX-5-90-90-asb-355.txt","Contig-355")</f>
        <v>Contig-355</v>
      </c>
      <c r="C15" t="str">
        <f>HYPERLINK("http://exon.niaid.nih.gov/transcriptome/Tx_amboinensis_sialome/Table_1/links/TX-5-90-90-355-CLU.txt","Contig355")</f>
        <v>Contig355</v>
      </c>
      <c r="D15" s="4">
        <v>1</v>
      </c>
      <c r="E15">
        <v>209</v>
      </c>
      <c r="F15" t="s">
        <v>322</v>
      </c>
      <c r="G15">
        <v>56.9</v>
      </c>
      <c r="H15">
        <v>190</v>
      </c>
      <c r="I15">
        <v>355</v>
      </c>
      <c r="J15" t="s">
        <v>1209</v>
      </c>
      <c r="K15">
        <v>190</v>
      </c>
      <c r="L15" s="3" t="s">
        <v>1035</v>
      </c>
      <c r="M15" s="4">
        <v>0</v>
      </c>
      <c r="N15" s="4">
        <v>0</v>
      </c>
      <c r="O15" s="4">
        <v>1</v>
      </c>
      <c r="P15" s="4">
        <v>0</v>
      </c>
      <c r="Q15" s="5" t="s">
        <v>1086</v>
      </c>
      <c r="R15" s="2" t="str">
        <f>HYPERLINK("http://exon.niaid.nih.gov/transcriptome/Tx_amboinensis_sialome/Table_1/links/NR\TX-contig_355-NR.txt","gram-negative bacteria binding prote")</f>
        <v>gram-negative bacteria binding prote</v>
      </c>
      <c r="S15" s="4" t="str">
        <f>HYPERLINK("http://www.ncbi.nlm.nih.gov/sutils/blink.cgi?pid=108880577","5E-016")</f>
        <v>5E-016</v>
      </c>
      <c r="T15" t="s">
        <v>117</v>
      </c>
      <c r="U15" s="4">
        <v>81</v>
      </c>
      <c r="V15" s="4">
        <v>10</v>
      </c>
      <c r="W15" t="s">
        <v>901</v>
      </c>
      <c r="X15" t="s">
        <v>118</v>
      </c>
      <c r="Y15" t="s">
        <v>786</v>
      </c>
      <c r="Z15" s="2" t="s">
        <v>787</v>
      </c>
      <c r="AA15">
        <f>HYPERLINK("http://exon.niaid.nih.gov/transcriptome/Tx_amboinensis_sialome/Table_1/links/GO\TX-contig_355-GO.txt",0.0003)</f>
        <v>0</v>
      </c>
      <c r="AB15" t="s">
        <v>788</v>
      </c>
      <c r="AC15" t="s">
        <v>837</v>
      </c>
      <c r="AD15" t="s">
        <v>789</v>
      </c>
      <c r="AE15" t="s">
        <v>790</v>
      </c>
      <c r="AF15">
        <v>0.0003</v>
      </c>
      <c r="AG15" s="2" t="s">
        <v>324</v>
      </c>
      <c r="AH15" t="s">
        <v>324</v>
      </c>
      <c r="AI15" t="s">
        <v>324</v>
      </c>
      <c r="AJ15" s="2" t="str">
        <f>HYPERLINK("http://exon.niaid.nih.gov/transcriptome/Tx_amboinensis_sialome/Table_1/links/CDD\TX-contig_355-CDD.txt","GH16_beta_GRP")</f>
        <v>GH16_beta_GRP</v>
      </c>
      <c r="AK15" t="str">
        <f>HYPERLINK("http://www.ncbi.nlm.nih.gov/Structure/cdd/cddsrv.cgi?uid=cd02179&amp;version=v4.0","9E-013")</f>
        <v>9E-013</v>
      </c>
      <c r="AL15" t="s">
        <v>791</v>
      </c>
      <c r="AM15" s="2" t="s">
        <v>324</v>
      </c>
      <c r="AN15" t="s">
        <v>324</v>
      </c>
      <c r="AO15" s="2" t="str">
        <f>HYPERLINK("http://exon.niaid.nih.gov/transcriptome/Tx_amboinensis_sialome/Table_1/links/SMART\TX-contig_355-SMART.txt","SR")</f>
        <v>SR</v>
      </c>
      <c r="AP15" t="str">
        <f>HYPERLINK("http://smart.embl-heidelberg.de/smart/do_annotation.pl?DOMAIN=SR&amp;BLAST=DUMMY","0.18")</f>
        <v>0.18</v>
      </c>
      <c r="AQ15" s="2" t="s">
        <v>324</v>
      </c>
      <c r="AR15" t="s">
        <v>324</v>
      </c>
      <c r="AS15" s="2" t="s">
        <v>324</v>
      </c>
      <c r="AT15" t="s">
        <v>324</v>
      </c>
    </row>
    <row r="16" spans="1:22" s="14" customFormat="1" ht="12" thickBot="1">
      <c r="A16" s="15" t="s">
        <v>926</v>
      </c>
      <c r="D16" s="13"/>
      <c r="L16" s="13"/>
      <c r="M16" s="13"/>
      <c r="N16" s="13"/>
      <c r="O16" s="13"/>
      <c r="P16" s="13"/>
      <c r="R16" s="13"/>
      <c r="S16" s="13"/>
      <c r="U16" s="13"/>
      <c r="V16" s="13"/>
    </row>
    <row r="17" spans="1:46" ht="12" thickBot="1">
      <c r="A17" t="str">
        <f>HYPERLINK("http://exon.niaid.nih.gov/transcriptome/Tx_amboinensis_sialome/Table_1/links/TX-contig_28.txt","TX-contig_28")</f>
        <v>TX-contig_28</v>
      </c>
      <c r="B17" t="str">
        <f>HYPERLINK("http://exon.niaid.nih.gov/transcriptome/Tx_amboinensis_sialome/Table_1/links/TX-5-90-90-asb-28.txt","Contig-28")</f>
        <v>Contig-28</v>
      </c>
      <c r="C17" t="str">
        <f>HYPERLINK("http://exon.niaid.nih.gov/transcriptome/Tx_amboinensis_sialome/Table_1/links/TX-5-90-90-28-CLU.txt","Contig28")</f>
        <v>Contig28</v>
      </c>
      <c r="D17" s="4">
        <v>2</v>
      </c>
      <c r="E17">
        <v>310</v>
      </c>
      <c r="F17" t="s">
        <v>322</v>
      </c>
      <c r="G17">
        <v>54.5</v>
      </c>
      <c r="H17">
        <v>291</v>
      </c>
      <c r="I17">
        <v>28</v>
      </c>
      <c r="J17" t="s">
        <v>351</v>
      </c>
      <c r="K17">
        <v>109</v>
      </c>
      <c r="L17" s="3" t="s">
        <v>1035</v>
      </c>
      <c r="M17" s="4">
        <v>0</v>
      </c>
      <c r="N17" s="4">
        <v>0</v>
      </c>
      <c r="O17" s="4">
        <v>1</v>
      </c>
      <c r="P17" s="4">
        <v>0</v>
      </c>
      <c r="Q17" s="5" t="s">
        <v>1082</v>
      </c>
      <c r="R17" s="2" t="str">
        <f>HYPERLINK("http://exon.niaid.nih.gov/transcriptome/Tx_amboinensis_sialome/Table_1/links/NR\TX-contig_28-NR.txt","venom allergen [Aedes aegypti]             92   9e-018")</f>
        <v>venom allergen [Aedes aegypti]             92   9e-018</v>
      </c>
      <c r="S17" s="4" t="str">
        <f>HYPERLINK("http://www.ncbi.nlm.nih.gov/sutils/blink.cgi?pid=108882117","9E-018")</f>
        <v>9E-018</v>
      </c>
      <c r="T17" t="s">
        <v>119</v>
      </c>
      <c r="U17" s="4">
        <v>56</v>
      </c>
      <c r="V17" s="4">
        <v>24</v>
      </c>
      <c r="W17" t="s">
        <v>901</v>
      </c>
      <c r="X17" t="s">
        <v>120</v>
      </c>
      <c r="Y17" t="s">
        <v>242</v>
      </c>
      <c r="Z17" s="2" t="s">
        <v>243</v>
      </c>
      <c r="AA17">
        <f>HYPERLINK("http://exon.niaid.nih.gov/transcriptome/Tx_amboinensis_sialome/Table_1/links/GO\TX-contig_28-GO.txt",0.000000000002)</f>
        <v>0</v>
      </c>
      <c r="AB17" t="s">
        <v>244</v>
      </c>
      <c r="AC17" t="s">
        <v>245</v>
      </c>
      <c r="AD17" t="s">
        <v>246</v>
      </c>
      <c r="AE17" t="s">
        <v>247</v>
      </c>
      <c r="AF17">
        <v>0.066</v>
      </c>
      <c r="AG17" s="2" t="str">
        <f>HYPERLINK("http://exon.niaid.nih.gov/transcriptome/Tx_amboinensis_sialome/Table_1/links/KOG\TX-contig_28-KOG.txt","Defense-related protein containing SCP domain")</f>
        <v>Defense-related protein containing SCP domain</v>
      </c>
      <c r="AH17" t="str">
        <f>HYPERLINK("http://www.ncbi.nlm.nih.gov/COG/new/shokog.cgi?KOG3017","6E-010")</f>
        <v>6E-010</v>
      </c>
      <c r="AI17" t="s">
        <v>900</v>
      </c>
      <c r="AJ17" s="2" t="str">
        <f>HYPERLINK("http://exon.niaid.nih.gov/transcriptome/Tx_amboinensis_sialome/Table_1/links/CDD\TX-contig_28-CDD.txt","SCP")</f>
        <v>SCP</v>
      </c>
      <c r="AK17" t="str">
        <f>HYPERLINK("http://www.ncbi.nlm.nih.gov/Structure/cdd/cddsrv.cgi?uid=cd00168&amp;version=v4.0","4E-007")</f>
        <v>4E-007</v>
      </c>
      <c r="AL17" t="s">
        <v>248</v>
      </c>
      <c r="AM17" s="2" t="str">
        <f>HYPERLINK("http://exon.niaid.nih.gov/transcriptome/Tx_amboinensis_sialome/Table_1/links/PFAM\TX-contig_28-PFAM.txt","SCP")</f>
        <v>SCP</v>
      </c>
      <c r="AN17" t="str">
        <f>HYPERLINK("http://pfam.wustl.edu/cgi-bin/getdesc?acc=PF00188","2E-005")</f>
        <v>2E-005</v>
      </c>
      <c r="AO17" s="2" t="str">
        <f>HYPERLINK("http://exon.niaid.nih.gov/transcriptome/Tx_amboinensis_sialome/Table_1/links/SMART\TX-contig_28-SMART.txt","SCP")</f>
        <v>SCP</v>
      </c>
      <c r="AP17" t="str">
        <f>HYPERLINK("http://smart.embl-heidelberg.de/smart/do_annotation.pl?DOMAIN=SCP&amp;BLAST=DUMMY","1E-006")</f>
        <v>1E-006</v>
      </c>
      <c r="AQ17" s="2" t="s">
        <v>324</v>
      </c>
      <c r="AR17" t="s">
        <v>324</v>
      </c>
      <c r="AS17" s="2" t="s">
        <v>324</v>
      </c>
      <c r="AT17" t="s">
        <v>324</v>
      </c>
    </row>
    <row r="18" spans="1:22" s="14" customFormat="1" ht="12" thickBot="1">
      <c r="A18" s="15" t="s">
        <v>922</v>
      </c>
      <c r="D18" s="13"/>
      <c r="L18" s="13"/>
      <c r="M18" s="13"/>
      <c r="N18" s="13"/>
      <c r="O18" s="13"/>
      <c r="P18" s="13"/>
      <c r="R18" s="13"/>
      <c r="S18" s="13"/>
      <c r="U18" s="13"/>
      <c r="V18" s="13"/>
    </row>
    <row r="19" spans="1:46" ht="11.25">
      <c r="A19" t="str">
        <f>HYPERLINK("http://exon.niaid.nih.gov/transcriptome/Tx_amboinensis_sialome/Table_1/links/TX-contig_4.txt","TX-contig_4")</f>
        <v>TX-contig_4</v>
      </c>
      <c r="B19" t="str">
        <f>HYPERLINK("http://exon.niaid.nih.gov/transcriptome/Tx_amboinensis_sialome/Table_1/links/TX-5-90-90-asb-4.txt","Contig-4")</f>
        <v>Contig-4</v>
      </c>
      <c r="C19" t="str">
        <f>HYPERLINK("http://exon.niaid.nih.gov/transcriptome/Tx_amboinensis_sialome/Table_1/links/TX-5-90-90-4-CLU.txt","Contig4")</f>
        <v>Contig4</v>
      </c>
      <c r="D19" s="4">
        <v>70</v>
      </c>
      <c r="E19">
        <v>443</v>
      </c>
      <c r="F19" t="s">
        <v>322</v>
      </c>
      <c r="G19">
        <v>52.8</v>
      </c>
      <c r="H19">
        <v>424</v>
      </c>
      <c r="I19">
        <v>4</v>
      </c>
      <c r="J19" t="s">
        <v>327</v>
      </c>
      <c r="K19">
        <v>99</v>
      </c>
      <c r="L19" s="3" t="s">
        <v>1035</v>
      </c>
      <c r="M19" s="4">
        <v>21</v>
      </c>
      <c r="N19" s="4">
        <v>0</v>
      </c>
      <c r="O19" s="4">
        <v>77</v>
      </c>
      <c r="P19" s="4">
        <v>0</v>
      </c>
      <c r="Q19" s="5" t="s">
        <v>1040</v>
      </c>
      <c r="R19" s="2" t="str">
        <f>HYPERLINK("http://exon.niaid.nih.gov/transcriptome/Tx_amboinensis_sialome/Table_1/links/NR\TX-contig_4-NR.txt","putative salivary serine/proline-rich")</f>
        <v>putative salivary serine/proline-rich</v>
      </c>
      <c r="S19" s="4" t="str">
        <f>HYPERLINK("http://www.ncbi.nlm.nih.gov/sutils/blink.cgi?pid=56417474","3E-011")</f>
        <v>3E-011</v>
      </c>
      <c r="T19" t="s">
        <v>670</v>
      </c>
      <c r="U19" s="4">
        <v>45</v>
      </c>
      <c r="V19" s="4">
        <v>100</v>
      </c>
      <c r="W19" t="s">
        <v>671</v>
      </c>
      <c r="X19" t="s">
        <v>687</v>
      </c>
      <c r="Y19" t="s">
        <v>854</v>
      </c>
      <c r="Z19" s="2" t="s">
        <v>324</v>
      </c>
      <c r="AA19" t="s">
        <v>324</v>
      </c>
      <c r="AB19" t="s">
        <v>324</v>
      </c>
      <c r="AC19" t="s">
        <v>324</v>
      </c>
      <c r="AD19" t="s">
        <v>324</v>
      </c>
      <c r="AE19" t="s">
        <v>324</v>
      </c>
      <c r="AF19" t="s">
        <v>324</v>
      </c>
      <c r="AG19" s="2" t="str">
        <f>HYPERLINK("http://exon.niaid.nih.gov/transcriptome/Tx_amboinensis_sialome/Table_1/links/KOG\TX-contig_4-KOG.txt","Transcription initiation factor TFIID, subunit TAF12 (also component of histone acetyltransferase SAGA)")</f>
        <v>Transcription initiation factor TFIID, subunit TAF12 (also component of histone acetyltransferase SAGA)</v>
      </c>
      <c r="AH19" t="str">
        <f>HYPERLINK("http://www.ncbi.nlm.nih.gov/COG/new/shokog.cgi?KOG1142","0.12")</f>
        <v>0.12</v>
      </c>
      <c r="AI19" t="s">
        <v>855</v>
      </c>
      <c r="AJ19" s="2" t="str">
        <f>HYPERLINK("http://exon.niaid.nih.gov/transcriptome/Tx_amboinensis_sialome/Table_1/links/CDD\TX-contig_4-CDD.txt","GGTase-I")</f>
        <v>GGTase-I</v>
      </c>
      <c r="AK19" t="str">
        <f>HYPERLINK("http://www.ncbi.nlm.nih.gov/Structure/cdd/cddsrv.cgi?uid=cd02895&amp;version=v4.0","0.15")</f>
        <v>0.15</v>
      </c>
      <c r="AL19" t="s">
        <v>856</v>
      </c>
      <c r="AM19" s="2" t="str">
        <f>HYPERLINK("http://exon.niaid.nih.gov/transcriptome/Tx_amboinensis_sialome/Table_1/links/PFAM\TX-contig_4-PFAM.txt","NSP11")</f>
        <v>NSP11</v>
      </c>
      <c r="AN19" t="str">
        <f>HYPERLINK("http://pfam.wustl.edu/cgi-bin/getdesc?acc=PF06471","0.19")</f>
        <v>0.19</v>
      </c>
      <c r="AO19" s="2" t="str">
        <f>HYPERLINK("http://exon.niaid.nih.gov/transcriptome/Tx_amboinensis_sialome/Table_1/links/SMART\TX-contig_4-SMART.txt","LamNT")</f>
        <v>LamNT</v>
      </c>
      <c r="AP19" t="str">
        <f>HYPERLINK("http://smart.embl-heidelberg.de/smart/do_annotation.pl?DOMAIN=LamNT&amp;BLAST=DUMMY","0.24")</f>
        <v>0.24</v>
      </c>
      <c r="AQ19" s="2" t="s">
        <v>324</v>
      </c>
      <c r="AR19" t="s">
        <v>324</v>
      </c>
      <c r="AS19" s="2" t="s">
        <v>324</v>
      </c>
      <c r="AT19" t="s">
        <v>324</v>
      </c>
    </row>
    <row r="20" spans="1:46" ht="11.25">
      <c r="A20" t="str">
        <f>HYPERLINK("http://exon.niaid.nih.gov/transcriptome/Tx_amboinensis_sialome/Table_1/links/TX-contig_10.txt","TX-contig_10")</f>
        <v>TX-contig_10</v>
      </c>
      <c r="B20" t="str">
        <f>HYPERLINK("http://exon.niaid.nih.gov/transcriptome/Tx_amboinensis_sialome/Table_1/links/TX-5-90-90-asb-10.txt","Contig-10")</f>
        <v>Contig-10</v>
      </c>
      <c r="C20" t="str">
        <f>HYPERLINK("http://exon.niaid.nih.gov/transcriptome/Tx_amboinensis_sialome/Table_1/links/TX-5-90-90-10-CLU.txt","Contig10")</f>
        <v>Contig10</v>
      </c>
      <c r="D20" s="4">
        <v>19</v>
      </c>
      <c r="E20">
        <v>527</v>
      </c>
      <c r="F20" t="s">
        <v>322</v>
      </c>
      <c r="G20">
        <v>59.4</v>
      </c>
      <c r="H20">
        <v>508</v>
      </c>
      <c r="I20">
        <v>10</v>
      </c>
      <c r="J20" t="s">
        <v>333</v>
      </c>
      <c r="K20">
        <v>272</v>
      </c>
      <c r="L20" s="3" t="s">
        <v>1034</v>
      </c>
      <c r="M20" s="4">
        <v>6</v>
      </c>
      <c r="N20" s="4">
        <v>1</v>
      </c>
      <c r="O20" s="4">
        <v>0</v>
      </c>
      <c r="P20" s="4">
        <v>0</v>
      </c>
      <c r="Q20" s="5" t="s">
        <v>1044</v>
      </c>
      <c r="R20" s="2" t="str">
        <f>HYPERLINK("http://exon.niaid.nih.gov/transcriptome/Tx_amboinensis_sialome/Table_1/links/NR\TX-contig_10-NR.txt","conserved hypothetical protein [Aede")</f>
        <v>conserved hypothetical protein [Aede</v>
      </c>
      <c r="S20" s="4" t="str">
        <f>HYPERLINK("http://www.ncbi.nlm.nih.gov/sutils/blink.cgi?pid=108877177","5E-023")</f>
        <v>5E-023</v>
      </c>
      <c r="T20" t="s">
        <v>688</v>
      </c>
      <c r="U20" s="4">
        <v>47</v>
      </c>
      <c r="V20" s="4">
        <v>34</v>
      </c>
      <c r="W20" t="s">
        <v>901</v>
      </c>
      <c r="X20" t="s">
        <v>689</v>
      </c>
      <c r="Y20" t="s">
        <v>908</v>
      </c>
      <c r="Z20" s="2" t="s">
        <v>909</v>
      </c>
      <c r="AA20">
        <f>HYPERLINK("http://exon.niaid.nih.gov/transcriptome/Tx_amboinensis_sialome/Table_1/links/GO\TX-contig_10-GO.txt",0.0000007)</f>
        <v>0</v>
      </c>
      <c r="AB20" t="s">
        <v>910</v>
      </c>
      <c r="AC20" t="s">
        <v>911</v>
      </c>
      <c r="AD20" t="s">
        <v>909</v>
      </c>
      <c r="AE20" t="s">
        <v>912</v>
      </c>
      <c r="AF20">
        <v>7E-07</v>
      </c>
      <c r="AG20" s="2" t="str">
        <f>HYPERLINK("http://exon.niaid.nih.gov/transcriptome/Tx_amboinensis_sialome/Table_1/links/KOG\TX-contig_10-KOG.txt","Choline transporter-like protein")</f>
        <v>Choline transporter-like protein</v>
      </c>
      <c r="AH20" t="str">
        <f>HYPERLINK("http://www.ncbi.nlm.nih.gov/COG/new/shokog.cgi?KOG1362","0.070")</f>
        <v>0.070</v>
      </c>
      <c r="AI20" t="s">
        <v>913</v>
      </c>
      <c r="AJ20" s="2" t="str">
        <f>HYPERLINK("http://exon.niaid.nih.gov/transcriptome/Tx_amboinensis_sialome/Table_1/links/CDD\TX-contig_10-CDD.txt","ChtBD2")</f>
        <v>ChtBD2</v>
      </c>
      <c r="AK20" t="str">
        <f>HYPERLINK("http://www.ncbi.nlm.nih.gov/Structure/cdd/cddsrv.cgi?uid=smart00494&amp;version=v4.0","1E-011")</f>
        <v>1E-011</v>
      </c>
      <c r="AL20" t="s">
        <v>914</v>
      </c>
      <c r="AM20" s="2" t="str">
        <f>HYPERLINK("http://exon.niaid.nih.gov/transcriptome/Tx_amboinensis_sialome/Table_1/links/PFAM\TX-contig_10-PFAM.txt","CBM_14")</f>
        <v>CBM_14</v>
      </c>
      <c r="AN20" t="str">
        <f>HYPERLINK("http://pfam.wustl.edu/cgi-bin/getdesc?acc=PF01607","2E-011")</f>
        <v>2E-011</v>
      </c>
      <c r="AO20" s="2" t="str">
        <f>HYPERLINK("http://exon.niaid.nih.gov/transcriptome/Tx_amboinensis_sialome/Table_1/links/SMART\TX-contig_10-SMART.txt","ChtBD2")</f>
        <v>ChtBD2</v>
      </c>
      <c r="AP20" t="str">
        <f>HYPERLINK("http://smart.embl-heidelberg.de/smart/do_annotation.pl?DOMAIN=ChtBD2&amp;BLAST=DUMMY","3E-013")</f>
        <v>3E-013</v>
      </c>
      <c r="AQ20" s="2" t="s">
        <v>324</v>
      </c>
      <c r="AR20" t="s">
        <v>324</v>
      </c>
      <c r="AS20" s="2" t="s">
        <v>324</v>
      </c>
      <c r="AT20" t="s">
        <v>324</v>
      </c>
    </row>
    <row r="21" spans="1:46" ht="11.25">
      <c r="A21" t="str">
        <f>HYPERLINK("http://exon.niaid.nih.gov/transcriptome/Tx_amboinensis_sialome/Table_1/links/TX-contig_12.txt","TX-contig_12")</f>
        <v>TX-contig_12</v>
      </c>
      <c r="B21" t="str">
        <f>HYPERLINK("http://exon.niaid.nih.gov/transcriptome/Tx_amboinensis_sialome/Table_1/links/TX-5-90-90-asb-12.txt","Contig-12")</f>
        <v>Contig-12</v>
      </c>
      <c r="C21" t="str">
        <f>HYPERLINK("http://exon.niaid.nih.gov/transcriptome/Tx_amboinensis_sialome/Table_1/links/TX-5-90-90-12-CLU.txt","Contig12")</f>
        <v>Contig12</v>
      </c>
      <c r="D21" s="4">
        <v>11</v>
      </c>
      <c r="E21">
        <v>605</v>
      </c>
      <c r="F21" t="s">
        <v>322</v>
      </c>
      <c r="G21">
        <v>55</v>
      </c>
      <c r="H21">
        <v>586</v>
      </c>
      <c r="I21">
        <v>12</v>
      </c>
      <c r="J21" t="s">
        <v>335</v>
      </c>
      <c r="K21">
        <v>94</v>
      </c>
      <c r="L21" s="3" t="s">
        <v>1035</v>
      </c>
      <c r="M21" s="4">
        <v>0</v>
      </c>
      <c r="N21" s="4">
        <v>0</v>
      </c>
      <c r="O21" s="4">
        <v>10</v>
      </c>
      <c r="P21" s="4">
        <v>0</v>
      </c>
      <c r="Q21" s="5" t="s">
        <v>1046</v>
      </c>
      <c r="R21" s="2" t="str">
        <f>HYPERLINK("http://exon.niaid.nih.gov/transcriptome/Tx_amboinensis_sialome/Table_1/links/NR\TX-contig_12-NR.txt","putative threonine/serine-rich mucin ")</f>
        <v>putative threonine/serine-rich mucin </v>
      </c>
      <c r="S21" s="4" t="str">
        <f>HYPERLINK("http://www.ncbi.nlm.nih.gov/sutils/blink.cgi?pid=38350667","1E-020")</f>
        <v>1E-020</v>
      </c>
      <c r="T21" t="s">
        <v>915</v>
      </c>
      <c r="U21" s="4">
        <v>39</v>
      </c>
      <c r="V21" s="4">
        <v>103</v>
      </c>
      <c r="W21" t="s">
        <v>188</v>
      </c>
      <c r="X21" t="s">
        <v>690</v>
      </c>
      <c r="Y21" t="s">
        <v>1319</v>
      </c>
      <c r="Z21" s="2" t="s">
        <v>324</v>
      </c>
      <c r="AA21" t="s">
        <v>324</v>
      </c>
      <c r="AB21" t="s">
        <v>324</v>
      </c>
      <c r="AC21" t="s">
        <v>324</v>
      </c>
      <c r="AD21" t="s">
        <v>324</v>
      </c>
      <c r="AE21" t="s">
        <v>324</v>
      </c>
      <c r="AF21" t="s">
        <v>324</v>
      </c>
      <c r="AG21" s="2" t="str">
        <f>HYPERLINK("http://exon.niaid.nih.gov/transcriptome/Tx_amboinensis_sialome/Table_1/links/KOG\TX-contig_12-KOG.txt","Serine/threonine protein phosphatase")</f>
        <v>Serine/threonine protein phosphatase</v>
      </c>
      <c r="AH21" t="str">
        <f>HYPERLINK("http://www.ncbi.nlm.nih.gov/COG/new/shokog.cgi?KOG0698","0.45")</f>
        <v>0.45</v>
      </c>
      <c r="AI21" t="s">
        <v>1320</v>
      </c>
      <c r="AJ21" s="2" t="str">
        <f>HYPERLINK("http://exon.niaid.nih.gov/transcriptome/Tx_amboinensis_sialome/Table_1/links/CDD\TX-contig_12-CDD.txt","SoxE")</f>
        <v>SoxE</v>
      </c>
      <c r="AK21" t="str">
        <f>HYPERLINK("http://www.ncbi.nlm.nih.gov/Structure/cdd/cddsrv.cgi?uid=pfam06525&amp;version=v4.0","0.73")</f>
        <v>0.73</v>
      </c>
      <c r="AL21" t="s">
        <v>1321</v>
      </c>
      <c r="AM21" s="2" t="str">
        <f>HYPERLINK("http://exon.niaid.nih.gov/transcriptome/Tx_amboinensis_sialome/Table_1/links/PFAM\TX-contig_12-PFAM.txt","SSP160")</f>
        <v>SSP160</v>
      </c>
      <c r="AN21" t="str">
        <f>HYPERLINK("http://pfam.wustl.edu/cgi-bin/getdesc?acc=PF06933","0.18")</f>
        <v>0.18</v>
      </c>
      <c r="AO21" s="2" t="str">
        <f>HYPERLINK("http://exon.niaid.nih.gov/transcriptome/Tx_amboinensis_sialome/Table_1/links/SMART\TX-contig_12-SMART.txt","IL1")</f>
        <v>IL1</v>
      </c>
      <c r="AP21" t="str">
        <f>HYPERLINK("http://smart.embl-heidelberg.de/smart/do_annotation.pl?DOMAIN=IL1&amp;BLAST=DUMMY","0.082")</f>
        <v>0.082</v>
      </c>
      <c r="AQ21" s="2" t="s">
        <v>324</v>
      </c>
      <c r="AR21" t="s">
        <v>324</v>
      </c>
      <c r="AS21" s="2" t="s">
        <v>324</v>
      </c>
      <c r="AT21" t="s">
        <v>324</v>
      </c>
    </row>
    <row r="22" spans="1:46" ht="12" thickBot="1">
      <c r="A22" t="str">
        <f>HYPERLINK("http://exon.niaid.nih.gov/transcriptome/Tx_amboinensis_sialome/Table_1/links/TX-contig_132.txt","TX-contig_132")</f>
        <v>TX-contig_132</v>
      </c>
      <c r="B22" t="str">
        <f>HYPERLINK("http://exon.niaid.nih.gov/transcriptome/Tx_amboinensis_sialome/Table_1/links/TX-5-90-90-asb-132.txt","Contig-132")</f>
        <v>Contig-132</v>
      </c>
      <c r="C22" t="str">
        <f>HYPERLINK("http://exon.niaid.nih.gov/transcriptome/Tx_amboinensis_sialome/Table_1/links/TX-5-90-90-132-CLU.txt","Contig132")</f>
        <v>Contig132</v>
      </c>
      <c r="D22" s="4">
        <v>1</v>
      </c>
      <c r="E22">
        <v>363</v>
      </c>
      <c r="F22">
        <v>0.6</v>
      </c>
      <c r="G22">
        <v>62.5</v>
      </c>
      <c r="H22">
        <v>344</v>
      </c>
      <c r="I22">
        <v>132</v>
      </c>
      <c r="J22" t="s">
        <v>448</v>
      </c>
      <c r="K22">
        <v>344</v>
      </c>
      <c r="L22" s="3" t="s">
        <v>1035</v>
      </c>
      <c r="M22" s="4">
        <v>0</v>
      </c>
      <c r="N22" s="4">
        <v>0</v>
      </c>
      <c r="O22" s="4">
        <v>1</v>
      </c>
      <c r="P22" s="4">
        <v>0</v>
      </c>
      <c r="Q22" s="5" t="s">
        <v>1098</v>
      </c>
      <c r="R22" s="2" t="str">
        <f>HYPERLINK("http://exon.niaid.nih.gov/transcriptome/Tx_amboinensis_sialome/Table_1/links/NR\TX-contig_132-NR.txt","Hypothetical protein F22E12.1 [Caeno")</f>
        <v>Hypothetical protein F22E12.1 [Caeno</v>
      </c>
      <c r="S22" s="4" t="str">
        <f>HYPERLINK("http://www.ncbi.nlm.nih.gov/sutils/blink.cgi?pid=24817567","0.21")</f>
        <v>0.21</v>
      </c>
      <c r="T22" t="s">
        <v>691</v>
      </c>
      <c r="U22" s="4">
        <v>33</v>
      </c>
      <c r="V22" s="4">
        <v>7</v>
      </c>
      <c r="W22" t="s">
        <v>1124</v>
      </c>
      <c r="X22" t="s">
        <v>692</v>
      </c>
      <c r="Y22" t="s">
        <v>1125</v>
      </c>
      <c r="Z22" s="2" t="s">
        <v>1126</v>
      </c>
      <c r="AA22">
        <f>HYPERLINK("http://exon.niaid.nih.gov/transcriptome/Tx_amboinensis_sialome/Table_1/links/GO\TX-contig_132-GO.txt",0.0004)</f>
        <v>0</v>
      </c>
      <c r="AB22" t="s">
        <v>1127</v>
      </c>
      <c r="AC22" t="s">
        <v>1127</v>
      </c>
      <c r="AE22" t="s">
        <v>1128</v>
      </c>
      <c r="AF22">
        <v>0.023</v>
      </c>
      <c r="AG22" s="2" t="str">
        <f>HYPERLINK("http://exon.niaid.nih.gov/transcriptome/Tx_amboinensis_sialome/Table_1/links/KOG\TX-contig_132-KOG.txt","Transcription factor Engrailed, contains HOX domain")</f>
        <v>Transcription factor Engrailed, contains HOX domain</v>
      </c>
      <c r="AH22" t="str">
        <f>HYPERLINK("http://www.ncbi.nlm.nih.gov/COG/new/shokog.cgi?KOG0493","0.24")</f>
        <v>0.24</v>
      </c>
      <c r="AI22" t="s">
        <v>1331</v>
      </c>
      <c r="AJ22" s="2" t="str">
        <f>HYPERLINK("http://exon.niaid.nih.gov/transcriptome/Tx_amboinensis_sialome/Table_1/links/CDD\TX-contig_132-CDD.txt","AppB")</f>
        <v>AppB</v>
      </c>
      <c r="AK22" t="str">
        <f>HYPERLINK("http://www.ncbi.nlm.nih.gov/Structure/cdd/cddsrv.cgi?uid=COG1294&amp;version=v4.0","0.019")</f>
        <v>0.019</v>
      </c>
      <c r="AL22" t="s">
        <v>1129</v>
      </c>
      <c r="AM22" s="2" t="str">
        <f>HYPERLINK("http://exon.niaid.nih.gov/transcriptome/Tx_amboinensis_sialome/Table_1/links/PFAM\TX-contig_132-PFAM.txt","Hum_adeno_E3A")</f>
        <v>Hum_adeno_E3A</v>
      </c>
      <c r="AN22" t="str">
        <f>HYPERLINK("http://pfam.wustl.edu/cgi-bin/getdesc?acc=PF05393","0.64")</f>
        <v>0.64</v>
      </c>
      <c r="AO22" s="2" t="str">
        <f>HYPERLINK("http://exon.niaid.nih.gov/transcriptome/Tx_amboinensis_sialome/Table_1/links/SMART\TX-contig_132-SMART.txt","DysFN")</f>
        <v>DysFN</v>
      </c>
      <c r="AP22" t="str">
        <f>HYPERLINK("http://smart.embl-heidelberg.de/smart/do_annotation.pl?DOMAIN=DysFN&amp;BLAST=DUMMY","0.48")</f>
        <v>0.48</v>
      </c>
      <c r="AQ22" s="2" t="s">
        <v>324</v>
      </c>
      <c r="AR22" t="s">
        <v>324</v>
      </c>
      <c r="AS22" s="2" t="s">
        <v>324</v>
      </c>
      <c r="AT22" t="s">
        <v>324</v>
      </c>
    </row>
    <row r="23" spans="1:22" s="14" customFormat="1" ht="12" thickBot="1">
      <c r="A23" s="15" t="s">
        <v>927</v>
      </c>
      <c r="D23" s="13"/>
      <c r="L23" s="13"/>
      <c r="M23" s="13"/>
      <c r="N23" s="13"/>
      <c r="O23" s="13"/>
      <c r="P23" s="13"/>
      <c r="R23" s="13"/>
      <c r="S23" s="13"/>
      <c r="U23" s="13"/>
      <c r="V23" s="13"/>
    </row>
    <row r="24" spans="1:46" ht="11.25">
      <c r="A24" t="str">
        <f>HYPERLINK("http://exon.niaid.nih.gov/transcriptome/Tx_amboinensis_sialome/Table_1/links/TX-contig_8.txt","TX-contig_8")</f>
        <v>TX-contig_8</v>
      </c>
      <c r="B24" t="str">
        <f>HYPERLINK("http://exon.niaid.nih.gov/transcriptome/Tx_amboinensis_sialome/Table_1/links/TX-5-90-90-asb-8.txt","Contig-8")</f>
        <v>Contig-8</v>
      </c>
      <c r="C24" t="str">
        <f>HYPERLINK("http://exon.niaid.nih.gov/transcriptome/Tx_amboinensis_sialome/Table_1/links/TX-5-90-90-8-CLU.txt","Contig8")</f>
        <v>Contig8</v>
      </c>
      <c r="D24" s="4">
        <v>23</v>
      </c>
      <c r="E24">
        <v>871</v>
      </c>
      <c r="F24">
        <v>0.1</v>
      </c>
      <c r="G24">
        <v>50.9</v>
      </c>
      <c r="H24">
        <v>852</v>
      </c>
      <c r="I24">
        <v>8</v>
      </c>
      <c r="J24" t="s">
        <v>331</v>
      </c>
      <c r="K24">
        <v>149</v>
      </c>
      <c r="L24" s="3" t="s">
        <v>1035</v>
      </c>
      <c r="M24" s="4">
        <v>0</v>
      </c>
      <c r="N24" s="4">
        <v>0</v>
      </c>
      <c r="O24" s="4">
        <v>15</v>
      </c>
      <c r="P24" s="4">
        <v>0</v>
      </c>
      <c r="Q24" s="5" t="s">
        <v>1042</v>
      </c>
      <c r="R24" s="2" t="str">
        <f>HYPERLINK("http://exon.niaid.nih.gov/transcriptome/Tx_amboinensis_sialome/Table_1/links/NR\TX-contig_8-NR.txt","putative salivary protein [Culex pipi")</f>
        <v>putative salivary protein [Culex pipi</v>
      </c>
      <c r="S24" s="4" t="str">
        <f>HYPERLINK("http://www.ncbi.nlm.nih.gov/sutils/blink.cgi?pid=38350641","2E-050")</f>
        <v>2E-050</v>
      </c>
      <c r="T24" t="s">
        <v>187</v>
      </c>
      <c r="U24" s="4">
        <v>40</v>
      </c>
      <c r="V24" s="4">
        <v>49</v>
      </c>
      <c r="W24" t="s">
        <v>188</v>
      </c>
      <c r="X24" t="s">
        <v>121</v>
      </c>
      <c r="Y24" t="s">
        <v>899</v>
      </c>
      <c r="Z24" s="2" t="s">
        <v>324</v>
      </c>
      <c r="AA24" t="s">
        <v>324</v>
      </c>
      <c r="AB24" t="s">
        <v>324</v>
      </c>
      <c r="AC24" t="s">
        <v>324</v>
      </c>
      <c r="AD24" t="s">
        <v>324</v>
      </c>
      <c r="AE24" t="s">
        <v>324</v>
      </c>
      <c r="AF24" t="s">
        <v>324</v>
      </c>
      <c r="AG24" s="2" t="str">
        <f>HYPERLINK("http://exon.niaid.nih.gov/transcriptome/Tx_amboinensis_sialome/Table_1/links/KOG\TX-contig_8-KOG.txt","Uncharacterized conserved protein")</f>
        <v>Uncharacterized conserved protein</v>
      </c>
      <c r="AH24" t="str">
        <f>HYPERLINK("http://www.ncbi.nlm.nih.gov/COG/new/shokog.cgi?KOG2812","0.37")</f>
        <v>0.37</v>
      </c>
      <c r="AI24" t="s">
        <v>900</v>
      </c>
      <c r="AJ24" s="2" t="s">
        <v>324</v>
      </c>
      <c r="AK24" t="s">
        <v>324</v>
      </c>
      <c r="AL24" t="s">
        <v>324</v>
      </c>
      <c r="AM24" s="2" t="s">
        <v>324</v>
      </c>
      <c r="AN24" t="s">
        <v>324</v>
      </c>
      <c r="AO24" s="2" t="str">
        <f>HYPERLINK("http://exon.niaid.nih.gov/transcriptome/Tx_amboinensis_sialome/Table_1/links/SMART\TX-contig_8-SMART.txt","PRP")</f>
        <v>PRP</v>
      </c>
      <c r="AP24" t="str">
        <f>HYPERLINK("http://smart.embl-heidelberg.de/smart/do_annotation.pl?DOMAIN=PRP&amp;BLAST=DUMMY","0.31")</f>
        <v>0.31</v>
      </c>
      <c r="AQ24" s="2" t="s">
        <v>324</v>
      </c>
      <c r="AR24" t="s">
        <v>324</v>
      </c>
      <c r="AS24" s="2" t="s">
        <v>324</v>
      </c>
      <c r="AT24" t="s">
        <v>324</v>
      </c>
    </row>
    <row r="25" spans="1:46" ht="12" thickBot="1">
      <c r="A25" t="str">
        <f>HYPERLINK("http://exon.niaid.nih.gov/transcriptome/Tx_amboinensis_sialome/Table_1/links/TX-contig_17.txt","TX-contig_17")</f>
        <v>TX-contig_17</v>
      </c>
      <c r="B25" t="str">
        <f>HYPERLINK("http://exon.niaid.nih.gov/transcriptome/Tx_amboinensis_sialome/Table_1/links/TX-5-90-90-asb-17.txt","Contig-17")</f>
        <v>Contig-17</v>
      </c>
      <c r="C25" t="str">
        <f>HYPERLINK("http://exon.niaid.nih.gov/transcriptome/Tx_amboinensis_sialome/Table_1/links/TX-5-90-90-17-CLU.txt","Contig17")</f>
        <v>Contig17</v>
      </c>
      <c r="D25" s="4">
        <v>7</v>
      </c>
      <c r="E25">
        <v>361</v>
      </c>
      <c r="F25" t="s">
        <v>322</v>
      </c>
      <c r="G25">
        <v>54.8</v>
      </c>
      <c r="H25">
        <v>342</v>
      </c>
      <c r="I25">
        <v>17</v>
      </c>
      <c r="J25" t="s">
        <v>340</v>
      </c>
      <c r="K25">
        <v>105</v>
      </c>
      <c r="L25" s="3" t="s">
        <v>1035</v>
      </c>
      <c r="M25" s="4">
        <v>0</v>
      </c>
      <c r="N25" s="4">
        <v>0</v>
      </c>
      <c r="O25" s="4">
        <v>7</v>
      </c>
      <c r="P25" s="4">
        <v>0</v>
      </c>
      <c r="Q25" s="5" t="s">
        <v>275</v>
      </c>
      <c r="R25" s="2" t="str">
        <f>HYPERLINK("http://exon.niaid.nih.gov/transcriptome/Tx_amboinensis_sialome/Table_1/links/NR\TX-contig_17-NR.txt","putative 56 kDa salivary secreted pro")</f>
        <v>putative 56 kDa salivary secreted pro</v>
      </c>
      <c r="S25" s="4" t="str">
        <f>HYPERLINK("http://www.ncbi.nlm.nih.gov/sutils/blink.cgi?pid=56417492","6E-014")</f>
        <v>6E-014</v>
      </c>
      <c r="T25" t="s">
        <v>1333</v>
      </c>
      <c r="U25" s="4">
        <v>50</v>
      </c>
      <c r="V25" s="4">
        <v>14</v>
      </c>
      <c r="W25" t="s">
        <v>671</v>
      </c>
      <c r="X25" t="s">
        <v>122</v>
      </c>
      <c r="Y25" t="s">
        <v>706</v>
      </c>
      <c r="Z25" s="2" t="s">
        <v>324</v>
      </c>
      <c r="AA25" t="s">
        <v>324</v>
      </c>
      <c r="AB25" t="s">
        <v>324</v>
      </c>
      <c r="AC25" t="s">
        <v>324</v>
      </c>
      <c r="AD25" t="s">
        <v>324</v>
      </c>
      <c r="AE25" t="s">
        <v>324</v>
      </c>
      <c r="AF25" t="s">
        <v>324</v>
      </c>
      <c r="AG25" s="2" t="str">
        <f>HYPERLINK("http://exon.niaid.nih.gov/transcriptome/Tx_amboinensis_sialome/Table_1/links/KOG\TX-contig_17-KOG.txt","Voltage-gated A-type K+ channel KCND")</f>
        <v>Voltage-gated A-type K+ channel KCND</v>
      </c>
      <c r="AH25" t="str">
        <f>HYPERLINK("http://www.ncbi.nlm.nih.gov/COG/new/shokog.cgi?KOG4390","0.063")</f>
        <v>0.063</v>
      </c>
      <c r="AI25" t="s">
        <v>840</v>
      </c>
      <c r="AJ25" s="2" t="str">
        <f>HYPERLINK("http://exon.niaid.nih.gov/transcriptome/Tx_amboinensis_sialome/Table_1/links/CDD\TX-contig_17-CDD.txt","SCP-1")</f>
        <v>SCP-1</v>
      </c>
      <c r="AK25" t="str">
        <f>HYPERLINK("http://www.ncbi.nlm.nih.gov/Structure/cdd/cddsrv.cgi?uid=pfam05483&amp;version=v4.0","0.11")</f>
        <v>0.11</v>
      </c>
      <c r="AL25" t="s">
        <v>707</v>
      </c>
      <c r="AM25" s="2" t="str">
        <f>HYPERLINK("http://exon.niaid.nih.gov/transcriptome/Tx_amboinensis_sialome/Table_1/links/PFAM\TX-contig_17-PFAM.txt","SCP-1")</f>
        <v>SCP-1</v>
      </c>
      <c r="AN25" t="str">
        <f>HYPERLINK("http://pfam.wustl.edu/cgi-bin/getdesc?acc=PF05483","0.062")</f>
        <v>0.062</v>
      </c>
      <c r="AO25" s="2" t="str">
        <f>HYPERLINK("http://exon.niaid.nih.gov/transcriptome/Tx_amboinensis_sialome/Table_1/links/SMART\TX-contig_17-SMART.txt","VWC_out")</f>
        <v>VWC_out</v>
      </c>
      <c r="AP25" t="str">
        <f>HYPERLINK("http://smart.embl-heidelberg.de/smart/do_annotation.pl?DOMAIN=VWC_out&amp;BLAST=DUMMY","0.25")</f>
        <v>0.25</v>
      </c>
      <c r="AQ25" s="2" t="s">
        <v>324</v>
      </c>
      <c r="AR25" t="s">
        <v>324</v>
      </c>
      <c r="AS25" s="2" t="s">
        <v>324</v>
      </c>
      <c r="AT25" t="s">
        <v>324</v>
      </c>
    </row>
    <row r="26" spans="1:22" s="14" customFormat="1" ht="12" thickBot="1">
      <c r="A26" s="15" t="s">
        <v>928</v>
      </c>
      <c r="D26" s="13"/>
      <c r="L26" s="13"/>
      <c r="M26" s="13"/>
      <c r="N26" s="13"/>
      <c r="O26" s="13"/>
      <c r="P26" s="13"/>
      <c r="R26" s="13"/>
      <c r="S26" s="13"/>
      <c r="U26" s="13"/>
      <c r="V26" s="13"/>
    </row>
    <row r="27" spans="1:46" ht="12" thickBot="1">
      <c r="A27" t="str">
        <f>HYPERLINK("http://exon.niaid.nih.gov/transcriptome/Tx_amboinensis_sialome/Table_1/links/TX-contig_15.txt","TX-contig_15")</f>
        <v>TX-contig_15</v>
      </c>
      <c r="B27" t="str">
        <f>HYPERLINK("http://exon.niaid.nih.gov/transcriptome/Tx_amboinensis_sialome/Table_1/links/TX-5-90-90-asb-15.txt","Contig-15")</f>
        <v>Contig-15</v>
      </c>
      <c r="C27" t="str">
        <f>HYPERLINK("http://exon.niaid.nih.gov/transcriptome/Tx_amboinensis_sialome/Table_1/links/TX-5-90-90-15-CLU.txt","Contig15")</f>
        <v>Contig15</v>
      </c>
      <c r="D27" s="4">
        <v>9</v>
      </c>
      <c r="E27">
        <v>799</v>
      </c>
      <c r="F27" t="s">
        <v>322</v>
      </c>
      <c r="G27">
        <v>46.1</v>
      </c>
      <c r="H27">
        <v>780</v>
      </c>
      <c r="I27">
        <v>15</v>
      </c>
      <c r="J27" t="s">
        <v>338</v>
      </c>
      <c r="K27">
        <v>120</v>
      </c>
      <c r="L27" s="3" t="s">
        <v>1035</v>
      </c>
      <c r="M27" s="4">
        <v>1</v>
      </c>
      <c r="N27" s="4">
        <v>0</v>
      </c>
      <c r="O27" s="4">
        <v>11</v>
      </c>
      <c r="P27" s="4">
        <v>0</v>
      </c>
      <c r="Q27" s="5" t="s">
        <v>1047</v>
      </c>
      <c r="R27" s="2" t="str">
        <f>HYPERLINK("http://exon.niaid.nih.gov/transcriptome/Tx_amboinensis_sialome/Table_1/links/NR\TX-contig_15-NR.txt","conserved hypothetical protein [Aede")</f>
        <v>conserved hypothetical protein [Aede</v>
      </c>
      <c r="S27" s="4" t="str">
        <f>HYPERLINK("http://www.ncbi.nlm.nih.gov/sutils/blink.cgi?pid=108880009","1E-044")</f>
        <v>1E-044</v>
      </c>
      <c r="T27" t="s">
        <v>123</v>
      </c>
      <c r="U27" s="4">
        <v>41</v>
      </c>
      <c r="V27" s="4">
        <v>60</v>
      </c>
      <c r="W27" t="s">
        <v>901</v>
      </c>
      <c r="X27" t="s">
        <v>124</v>
      </c>
      <c r="Y27" t="s">
        <v>1330</v>
      </c>
      <c r="Z27" s="2" t="s">
        <v>324</v>
      </c>
      <c r="AA27" t="s">
        <v>324</v>
      </c>
      <c r="AB27" t="s">
        <v>324</v>
      </c>
      <c r="AC27" t="s">
        <v>324</v>
      </c>
      <c r="AD27" t="s">
        <v>324</v>
      </c>
      <c r="AE27" t="s">
        <v>324</v>
      </c>
      <c r="AF27" t="s">
        <v>324</v>
      </c>
      <c r="AG27" s="2" t="str">
        <f>HYPERLINK("http://exon.niaid.nih.gov/transcriptome/Tx_amboinensis_sialome/Table_1/links/KOG\TX-contig_15-KOG.txt","Thioredoxin binding protein TBP-2/VDUP1")</f>
        <v>Thioredoxin binding protein TBP-2/VDUP1</v>
      </c>
      <c r="AH27" t="str">
        <f>HYPERLINK("http://www.ncbi.nlm.nih.gov/COG/new/shokog.cgi?KOG3780","0.51")</f>
        <v>0.51</v>
      </c>
      <c r="AI27" t="s">
        <v>1331</v>
      </c>
      <c r="AJ27" s="2" t="str">
        <f>HYPERLINK("http://exon.niaid.nih.gov/transcriptome/Tx_amboinensis_sialome/Table_1/links/CDD\TX-contig_15-CDD.txt","Protamine_P2")</f>
        <v>Protamine_P2</v>
      </c>
      <c r="AK27" t="str">
        <f>HYPERLINK("http://www.ncbi.nlm.nih.gov/Structure/cdd/cddsrv.cgi?uid=pfam00841&amp;version=v4.0","0.20")</f>
        <v>0.20</v>
      </c>
      <c r="AL27" t="s">
        <v>1332</v>
      </c>
      <c r="AM27" s="2" t="str">
        <f>HYPERLINK("http://exon.niaid.nih.gov/transcriptome/Tx_amboinensis_sialome/Table_1/links/PFAM\TX-contig_15-PFAM.txt","Protamine_P2")</f>
        <v>Protamine_P2</v>
      </c>
      <c r="AN27" t="str">
        <f>HYPERLINK("http://pfam.wustl.edu/cgi-bin/getdesc?acc=PF00841","0.10")</f>
        <v>0.10</v>
      </c>
      <c r="AO27" s="2" t="str">
        <f>HYPERLINK("http://exon.niaid.nih.gov/transcriptome/Tx_amboinensis_sialome/Table_1/links/SMART\TX-contig_15-SMART.txt","CBD_II")</f>
        <v>CBD_II</v>
      </c>
      <c r="AP27" t="str">
        <f>HYPERLINK("http://smart.embl-heidelberg.de/smart/do_annotation.pl?DOMAIN=CBD_II&amp;BLAST=DUMMY","0.81")</f>
        <v>0.81</v>
      </c>
      <c r="AQ27" s="2" t="s">
        <v>324</v>
      </c>
      <c r="AR27" t="s">
        <v>324</v>
      </c>
      <c r="AS27" s="2" t="s">
        <v>324</v>
      </c>
      <c r="AT27" t="s">
        <v>324</v>
      </c>
    </row>
    <row r="28" spans="1:22" s="14" customFormat="1" ht="12" thickBot="1">
      <c r="A28" s="15" t="s">
        <v>929</v>
      </c>
      <c r="D28" s="13"/>
      <c r="L28" s="13"/>
      <c r="M28" s="13"/>
      <c r="N28" s="13"/>
      <c r="O28" s="13"/>
      <c r="P28" s="13"/>
      <c r="R28" s="13"/>
      <c r="S28" s="13"/>
      <c r="U28" s="13"/>
      <c r="V28" s="13"/>
    </row>
    <row r="29" spans="1:46" ht="12" thickBot="1">
      <c r="A29" t="str">
        <f>HYPERLINK("http://exon.niaid.nih.gov/transcriptome/Tx_amboinensis_sialome/Table_1/links/TX-contig_18.txt","TX-contig_18")</f>
        <v>TX-contig_18</v>
      </c>
      <c r="B29" t="str">
        <f>HYPERLINK("http://exon.niaid.nih.gov/transcriptome/Tx_amboinensis_sialome/Table_1/links/TX-5-90-90-asb-18.txt","Contig-18")</f>
        <v>Contig-18</v>
      </c>
      <c r="C29" t="str">
        <f>HYPERLINK("http://exon.niaid.nih.gov/transcriptome/Tx_amboinensis_sialome/Table_1/links/TX-5-90-90-18-CLU.txt","Contig18")</f>
        <v>Contig18</v>
      </c>
      <c r="D29" s="4">
        <v>6</v>
      </c>
      <c r="E29">
        <v>511</v>
      </c>
      <c r="F29" t="s">
        <v>322</v>
      </c>
      <c r="G29">
        <v>65.9</v>
      </c>
      <c r="H29">
        <v>492</v>
      </c>
      <c r="I29">
        <v>18</v>
      </c>
      <c r="J29" t="s">
        <v>341</v>
      </c>
      <c r="K29">
        <v>182</v>
      </c>
      <c r="L29" s="3" t="s">
        <v>1035</v>
      </c>
      <c r="M29" s="4">
        <v>0</v>
      </c>
      <c r="N29" s="4">
        <v>0</v>
      </c>
      <c r="O29" s="4">
        <v>2</v>
      </c>
      <c r="P29" s="4">
        <v>0</v>
      </c>
      <c r="Q29" s="5" t="s">
        <v>1048</v>
      </c>
      <c r="R29" s="2" t="str">
        <f>HYPERLINK("http://exon.niaid.nih.gov/transcriptome/Tx_amboinensis_sialome/Table_1/links/NR\TX-contig_18-NR.txt","putative 30.5 kDa secreted protein se")</f>
        <v>putative 30.5 kDa secreted protein se</v>
      </c>
      <c r="S29" s="4" t="str">
        <f>HYPERLINK("http://www.ncbi.nlm.nih.gov/sutils/blink.cgi?pid=94468432","8E-017")</f>
        <v>8E-017</v>
      </c>
      <c r="T29" t="s">
        <v>126</v>
      </c>
      <c r="U29" s="4">
        <v>36</v>
      </c>
      <c r="V29" s="4">
        <v>36</v>
      </c>
      <c r="W29" t="s">
        <v>901</v>
      </c>
      <c r="X29" t="s">
        <v>127</v>
      </c>
      <c r="Y29" t="s">
        <v>708</v>
      </c>
      <c r="Z29" s="2" t="s">
        <v>324</v>
      </c>
      <c r="AA29" t="s">
        <v>324</v>
      </c>
      <c r="AB29" t="s">
        <v>324</v>
      </c>
      <c r="AC29" t="s">
        <v>324</v>
      </c>
      <c r="AD29" t="s">
        <v>324</v>
      </c>
      <c r="AE29" t="s">
        <v>324</v>
      </c>
      <c r="AF29" t="s">
        <v>324</v>
      </c>
      <c r="AG29" s="2" t="s">
        <v>324</v>
      </c>
      <c r="AH29" t="s">
        <v>324</v>
      </c>
      <c r="AI29" t="s">
        <v>324</v>
      </c>
      <c r="AJ29" s="2" t="str">
        <f>HYPERLINK("http://exon.niaid.nih.gov/transcriptome/Tx_amboinensis_sialome/Table_1/links/CDD\TX-contig_18-CDD.txt","NadC")</f>
        <v>NadC</v>
      </c>
      <c r="AK29" t="str">
        <f>HYPERLINK("http://www.ncbi.nlm.nih.gov/Structure/cdd/cddsrv.cgi?uid=COG0157&amp;version=v4.0","0.83")</f>
        <v>0.83</v>
      </c>
      <c r="AL29" t="s">
        <v>709</v>
      </c>
      <c r="AM29" s="2" t="str">
        <f>HYPERLINK("http://exon.niaid.nih.gov/transcriptome/Tx_amboinensis_sialome/Table_1/links/PFAM\TX-contig_18-PFAM.txt","QRPTase_C")</f>
        <v>QRPTase_C</v>
      </c>
      <c r="AN29" t="str">
        <f>HYPERLINK("http://pfam.wustl.edu/cgi-bin/getdesc?acc=PF01729","0.81")</f>
        <v>0.81</v>
      </c>
      <c r="AO29" s="2" t="str">
        <f>HYPERLINK("http://exon.niaid.nih.gov/transcriptome/Tx_amboinensis_sialome/Table_1/links/SMART\TX-contig_18-SMART.txt","SapB")</f>
        <v>SapB</v>
      </c>
      <c r="AP29" t="str">
        <f>HYPERLINK("http://smart.embl-heidelberg.de/smart/do_annotation.pl?DOMAIN=SapB&amp;BLAST=DUMMY","0.12")</f>
        <v>0.12</v>
      </c>
      <c r="AQ29" s="2" t="s">
        <v>324</v>
      </c>
      <c r="AR29" t="s">
        <v>324</v>
      </c>
      <c r="AS29" s="2" t="s">
        <v>324</v>
      </c>
      <c r="AT29" t="s">
        <v>324</v>
      </c>
    </row>
    <row r="30" spans="1:22" s="14" customFormat="1" ht="12" thickBot="1">
      <c r="A30" s="15" t="s">
        <v>930</v>
      </c>
      <c r="D30" s="13"/>
      <c r="L30" s="13"/>
      <c r="M30" s="13"/>
      <c r="N30" s="13"/>
      <c r="O30" s="13"/>
      <c r="P30" s="13"/>
      <c r="R30" s="13"/>
      <c r="S30" s="13"/>
      <c r="U30" s="13"/>
      <c r="V30" s="13"/>
    </row>
    <row r="31" spans="1:46" ht="12" thickBot="1">
      <c r="A31" t="str">
        <f>HYPERLINK("http://exon.niaid.nih.gov/transcriptome/Tx_amboinensis_sialome/Table_1/links/TX-contig_20.txt","TX-contig_20")</f>
        <v>TX-contig_20</v>
      </c>
      <c r="B31" t="str">
        <f>HYPERLINK("http://exon.niaid.nih.gov/transcriptome/Tx_amboinensis_sialome/Table_1/links/TX-5-90-90-asb-20.txt","Contig-20")</f>
        <v>Contig-20</v>
      </c>
      <c r="C31" t="str">
        <f>HYPERLINK("http://exon.niaid.nih.gov/transcriptome/Tx_amboinensis_sialome/Table_1/links/TX-5-90-90-20-CLU.txt","Contig20")</f>
        <v>Contig20</v>
      </c>
      <c r="D31" s="4">
        <v>5</v>
      </c>
      <c r="E31">
        <v>256</v>
      </c>
      <c r="F31" t="s">
        <v>322</v>
      </c>
      <c r="G31">
        <v>56.3</v>
      </c>
      <c r="H31">
        <v>237</v>
      </c>
      <c r="I31">
        <v>20</v>
      </c>
      <c r="J31" t="s">
        <v>343</v>
      </c>
      <c r="K31">
        <v>273</v>
      </c>
      <c r="L31" s="3" t="s">
        <v>1035</v>
      </c>
      <c r="M31" s="4">
        <v>0</v>
      </c>
      <c r="N31" s="4">
        <v>0</v>
      </c>
      <c r="O31" s="4">
        <v>2</v>
      </c>
      <c r="P31" s="4">
        <v>0</v>
      </c>
      <c r="Q31" s="5" t="s">
        <v>1049</v>
      </c>
      <c r="R31" s="2" t="str">
        <f>HYPERLINK("http://exon.niaid.nih.gov/transcriptome/Tx_amboinensis_sialome/Table_1/links/NR\TX-contig_20-NR.txt","putative 23.4 kDa salivary protein [C")</f>
        <v>putative 23.4 kDa salivary protein [C</v>
      </c>
      <c r="S31" s="4" t="str">
        <f>HYPERLINK("http://www.ncbi.nlm.nih.gov/sutils/blink.cgi?pid=38350639","7E-011")</f>
        <v>7E-011</v>
      </c>
      <c r="T31" t="s">
        <v>715</v>
      </c>
      <c r="U31" s="4">
        <v>45</v>
      </c>
      <c r="V31" s="4">
        <v>31</v>
      </c>
      <c r="W31" t="s">
        <v>188</v>
      </c>
      <c r="X31" t="s">
        <v>128</v>
      </c>
      <c r="Y31" t="s">
        <v>716</v>
      </c>
      <c r="Z31" s="2" t="s">
        <v>324</v>
      </c>
      <c r="AA31" t="s">
        <v>324</v>
      </c>
      <c r="AB31" t="s">
        <v>324</v>
      </c>
      <c r="AC31" t="s">
        <v>324</v>
      </c>
      <c r="AD31" t="s">
        <v>324</v>
      </c>
      <c r="AE31" t="s">
        <v>324</v>
      </c>
      <c r="AF31" t="s">
        <v>324</v>
      </c>
      <c r="AG31" s="2" t="str">
        <f>HYPERLINK("http://exon.niaid.nih.gov/transcriptome/Tx_amboinensis_sialome/Table_1/links/KOG\TX-contig_20-KOG.txt","mRNA cleavage and polyadenylation factor II complex, subunit CFT1 (CPSF subunit)")</f>
        <v>mRNA cleavage and polyadenylation factor II complex, subunit CFT1 (CPSF subunit)</v>
      </c>
      <c r="AH31" t="str">
        <f>HYPERLINK("http://www.ncbi.nlm.nih.gov/COG/new/shokog.cgi?KOG1896","0.042")</f>
        <v>0.042</v>
      </c>
      <c r="AI31" t="s">
        <v>906</v>
      </c>
      <c r="AJ31" s="2" t="str">
        <f>HYPERLINK("http://exon.niaid.nih.gov/transcriptome/Tx_amboinensis_sialome/Table_1/links/CDD\TX-contig_20-CDD.txt","Rpr2")</f>
        <v>Rpr2</v>
      </c>
      <c r="AK31" t="str">
        <f>HYPERLINK("http://www.ncbi.nlm.nih.gov/Structure/cdd/cddsrv.cgi?uid=pfam04032&amp;version=v4.0","0.53")</f>
        <v>0.53</v>
      </c>
      <c r="AL31" t="s">
        <v>717</v>
      </c>
      <c r="AM31" s="2" t="str">
        <f>HYPERLINK("http://exon.niaid.nih.gov/transcriptome/Tx_amboinensis_sialome/Table_1/links/PFAM\TX-contig_20-PFAM.txt","Rpr2")</f>
        <v>Rpr2</v>
      </c>
      <c r="AN31" t="str">
        <f>HYPERLINK("http://pfam.wustl.edu/cgi-bin/getdesc?acc=PF04032","0.28")</f>
        <v>0.28</v>
      </c>
      <c r="AO31" s="2" t="str">
        <f>HYPERLINK("http://exon.niaid.nih.gov/transcriptome/Tx_amboinensis_sialome/Table_1/links/SMART\TX-contig_20-SMART.txt","Sema")</f>
        <v>Sema</v>
      </c>
      <c r="AP31" t="str">
        <f>HYPERLINK("http://smart.embl-heidelberg.de/smart/do_annotation.pl?DOMAIN=Sema&amp;BLAST=DUMMY","0.15")</f>
        <v>0.15</v>
      </c>
      <c r="AQ31" s="2" t="s">
        <v>324</v>
      </c>
      <c r="AR31" t="s">
        <v>324</v>
      </c>
      <c r="AS31" s="2" t="s">
        <v>324</v>
      </c>
      <c r="AT31" t="s">
        <v>324</v>
      </c>
    </row>
    <row r="32" spans="1:22" s="14" customFormat="1" ht="12" thickBot="1">
      <c r="A32" s="15" t="s">
        <v>108</v>
      </c>
      <c r="D32" s="13"/>
      <c r="L32" s="13"/>
      <c r="M32" s="13"/>
      <c r="N32" s="13"/>
      <c r="O32" s="13"/>
      <c r="P32" s="13"/>
      <c r="R32" s="13"/>
      <c r="S32" s="13"/>
      <c r="U32" s="13"/>
      <c r="V32" s="13"/>
    </row>
    <row r="33" spans="1:46" ht="11.25">
      <c r="A33" t="str">
        <f>HYPERLINK("http://exon.niaid.nih.gov/transcriptome/Tx_amboinensis_sialome/Table_1/links/TX-contig_3.txt","TX-contig_3")</f>
        <v>TX-contig_3</v>
      </c>
      <c r="B33" t="str">
        <f>HYPERLINK("http://exon.niaid.nih.gov/transcriptome/Tx_amboinensis_sialome/Table_1/links/TX-5-90-90-asb-3.txt","Contig-3")</f>
        <v>Contig-3</v>
      </c>
      <c r="C33" t="str">
        <f>HYPERLINK("http://exon.niaid.nih.gov/transcriptome/Tx_amboinensis_sialome/Table_1/links/TX-5-90-90-3-CLU.txt","Contig3")</f>
        <v>Contig3</v>
      </c>
      <c r="D33" s="4">
        <v>129</v>
      </c>
      <c r="E33">
        <v>432</v>
      </c>
      <c r="F33" t="s">
        <v>322</v>
      </c>
      <c r="G33">
        <v>50.9</v>
      </c>
      <c r="H33">
        <v>413</v>
      </c>
      <c r="I33">
        <v>3</v>
      </c>
      <c r="J33" t="s">
        <v>326</v>
      </c>
      <c r="K33">
        <v>129</v>
      </c>
      <c r="L33" s="3" t="s">
        <v>1034</v>
      </c>
      <c r="M33" s="4">
        <v>32</v>
      </c>
      <c r="N33" s="4">
        <v>0</v>
      </c>
      <c r="O33" s="4">
        <v>87</v>
      </c>
      <c r="P33" s="4">
        <v>0</v>
      </c>
      <c r="Q33" s="5" t="s">
        <v>107</v>
      </c>
      <c r="R33" s="2" t="str">
        <f>HYPERLINK("http://exon.niaid.nih.gov/transcriptome/Tx_amboinensis_sialome/Table_1/links/NR\TX-contig_3-NR.txt","unknown salivary protein [Culicoides ")</f>
        <v>unknown salivary protein [Culicoides </v>
      </c>
      <c r="S33" s="4" t="str">
        <f>HYPERLINK("http://www.ncbi.nlm.nih.gov/sutils/blink.cgi?pid=51557780","6E-004")</f>
        <v>6E-004</v>
      </c>
      <c r="T33" t="s">
        <v>846</v>
      </c>
      <c r="U33" s="4">
        <v>47</v>
      </c>
      <c r="V33" s="4">
        <v>66</v>
      </c>
      <c r="W33" t="s">
        <v>847</v>
      </c>
      <c r="X33" t="s">
        <v>613</v>
      </c>
      <c r="Y33" t="s">
        <v>848</v>
      </c>
      <c r="Z33" s="2" t="s">
        <v>849</v>
      </c>
      <c r="AA33">
        <f>HYPERLINK("http://exon.niaid.nih.gov/transcriptome/Tx_amboinensis_sialome/Table_1/links/GO\TX-contig_3-GO.txt",0.007)</f>
        <v>0</v>
      </c>
      <c r="AB33" t="s">
        <v>850</v>
      </c>
      <c r="AC33" t="s">
        <v>850</v>
      </c>
      <c r="AE33" t="s">
        <v>851</v>
      </c>
      <c r="AF33">
        <v>0.082</v>
      </c>
      <c r="AG33" s="2" t="str">
        <f>HYPERLINK("http://exon.niaid.nih.gov/transcriptome/Tx_amboinensis_sialome/Table_1/links/KOG\TX-contig_3-KOG.txt","Collagens (type IV and type XIII), and related proteins")</f>
        <v>Collagens (type IV and type XIII), and related proteins</v>
      </c>
      <c r="AH33" t="str">
        <f>HYPERLINK("http://www.ncbi.nlm.nih.gov/COG/new/shokog.cgi?KOG3544","0.13")</f>
        <v>0.13</v>
      </c>
      <c r="AI33" t="s">
        <v>852</v>
      </c>
      <c r="AJ33" s="2" t="str">
        <f>HYPERLINK("http://exon.niaid.nih.gov/transcriptome/Tx_amboinensis_sialome/Table_1/links/CDD\TX-contig_3-CDD.txt","SelP_N")</f>
        <v>SelP_N</v>
      </c>
      <c r="AK33" t="str">
        <f>HYPERLINK("http://www.ncbi.nlm.nih.gov/Structure/cdd/cddsrv.cgi?uid=pfam04592&amp;version=v4.0","0.043")</f>
        <v>0.043</v>
      </c>
      <c r="AL33" t="s">
        <v>853</v>
      </c>
      <c r="AM33" s="2" t="str">
        <f>HYPERLINK("http://exon.niaid.nih.gov/transcriptome/Tx_amboinensis_sialome/Table_1/links/PFAM\TX-contig_3-PFAM.txt","SelP_N")</f>
        <v>SelP_N</v>
      </c>
      <c r="AN33" t="str">
        <f>HYPERLINK("http://pfam.wustl.edu/cgi-bin/getdesc?acc=PF04592","0.023")</f>
        <v>0.023</v>
      </c>
      <c r="AO33" s="2" t="str">
        <f>HYPERLINK("http://exon.niaid.nih.gov/transcriptome/Tx_amboinensis_sialome/Table_1/links/SMART\TX-contig_3-SMART.txt","PKD")</f>
        <v>PKD</v>
      </c>
      <c r="AP33" t="str">
        <f>HYPERLINK("http://smart.embl-heidelberg.de/smart/do_annotation.pl?DOMAIN=PKD&amp;BLAST=DUMMY","0.40")</f>
        <v>0.40</v>
      </c>
      <c r="AQ33" s="2" t="s">
        <v>324</v>
      </c>
      <c r="AR33" t="s">
        <v>324</v>
      </c>
      <c r="AS33" s="2" t="s">
        <v>324</v>
      </c>
      <c r="AT33" t="s">
        <v>324</v>
      </c>
    </row>
    <row r="34" spans="1:46" ht="12" thickBot="1">
      <c r="A34" t="str">
        <f>HYPERLINK("http://exon.niaid.nih.gov/transcriptome/Tx_amboinensis_sialome/Table_1/links/TX-contig_1.txt","TX-contig_1")</f>
        <v>TX-contig_1</v>
      </c>
      <c r="B34" t="str">
        <f>HYPERLINK("http://exon.niaid.nih.gov/transcriptome/Tx_amboinensis_sialome/Table_1/links/TX-5-90-90-asb-1.txt","Contig-1")</f>
        <v>Contig-1</v>
      </c>
      <c r="C34" t="str">
        <f>HYPERLINK("http://exon.niaid.nih.gov/transcriptome/Tx_amboinensis_sialome/Table_1/links/TX-5-90-90-1-CLU.txt","Contig1")</f>
        <v>Contig1</v>
      </c>
      <c r="D34" s="4">
        <v>128</v>
      </c>
      <c r="E34">
        <v>419</v>
      </c>
      <c r="F34" t="s">
        <v>322</v>
      </c>
      <c r="G34">
        <v>55.4</v>
      </c>
      <c r="H34">
        <v>400</v>
      </c>
      <c r="I34">
        <v>1</v>
      </c>
      <c r="J34" t="s">
        <v>323</v>
      </c>
      <c r="K34">
        <v>100</v>
      </c>
      <c r="L34" s="3" t="s">
        <v>1034</v>
      </c>
      <c r="M34" s="4">
        <v>59</v>
      </c>
      <c r="N34" s="4">
        <v>0</v>
      </c>
      <c r="O34" s="4">
        <v>142</v>
      </c>
      <c r="P34" s="4">
        <v>0</v>
      </c>
      <c r="Q34" s="5" t="s">
        <v>1098</v>
      </c>
      <c r="R34" s="2" t="str">
        <f>HYPERLINK("http://exon.niaid.nih.gov/transcriptome/Tx_amboinensis_sialome/Table_1/links/NR\TX-contig_1-NR.txt","putative salivary serine/proline-rich")</f>
        <v>putative salivary serine/proline-rich</v>
      </c>
      <c r="S34" s="4" t="str">
        <f>HYPERLINK("http://www.ncbi.nlm.nih.gov/sutils/blink.cgi?pid=56417474","6E-006")</f>
        <v>6E-006</v>
      </c>
      <c r="T34" t="s">
        <v>670</v>
      </c>
      <c r="U34" s="4">
        <v>36</v>
      </c>
      <c r="V34" s="4">
        <v>110</v>
      </c>
      <c r="W34" t="s">
        <v>671</v>
      </c>
      <c r="X34" t="s">
        <v>614</v>
      </c>
      <c r="Y34" t="s">
        <v>672</v>
      </c>
      <c r="Z34" s="2" t="s">
        <v>673</v>
      </c>
      <c r="AA34">
        <f>HYPERLINK("http://exon.niaid.nih.gov/transcriptome/Tx_amboinensis_sialome/Table_1/links/GO\TX-contig_1-GO.txt",0.00003)</f>
        <v>0</v>
      </c>
      <c r="AB34" t="s">
        <v>836</v>
      </c>
      <c r="AC34" t="s">
        <v>837</v>
      </c>
      <c r="AD34" t="s">
        <v>838</v>
      </c>
      <c r="AE34" t="s">
        <v>839</v>
      </c>
      <c r="AF34">
        <v>0.001</v>
      </c>
      <c r="AG34" s="2" t="str">
        <f>HYPERLINK("http://exon.niaid.nih.gov/transcriptome/Tx_amboinensis_sialome/Table_1/links/KOG\TX-contig_1-KOG.txt","Zn2+ transporter")</f>
        <v>Zn2+ transporter</v>
      </c>
      <c r="AH34" t="str">
        <f>HYPERLINK("http://www.ncbi.nlm.nih.gov/COG/new/shokog.cgi?KOG1482","8E-004")</f>
        <v>8E-004</v>
      </c>
      <c r="AI34" t="s">
        <v>840</v>
      </c>
      <c r="AJ34" s="2" t="str">
        <f>HYPERLINK("http://exon.niaid.nih.gov/transcriptome/Tx_amboinensis_sialome/Table_1/links/CDD\TX-contig_1-CDD.txt","API5")</f>
        <v>API5</v>
      </c>
      <c r="AK34" t="str">
        <f>HYPERLINK("http://www.ncbi.nlm.nih.gov/Structure/cdd/cddsrv.cgi?uid=pfam05918&amp;version=v4.0","0.044")</f>
        <v>0.044</v>
      </c>
      <c r="AL34" t="s">
        <v>841</v>
      </c>
      <c r="AM34" s="2" t="str">
        <f>HYPERLINK("http://exon.niaid.nih.gov/transcriptome/Tx_amboinensis_sialome/Table_1/links/PFAM\TX-contig_1-PFAM.txt","CD2")</f>
        <v>CD2</v>
      </c>
      <c r="AN34" t="str">
        <f>HYPERLINK("http://pfam.wustl.edu/cgi-bin/getdesc?acc=PF05790","0.016")</f>
        <v>0.016</v>
      </c>
      <c r="AO34" s="2" t="str">
        <f>HYPERLINK("http://exon.niaid.nih.gov/transcriptome/Tx_amboinensis_sialome/Table_1/links/SMART\TX-contig_1-SMART.txt","PRP")</f>
        <v>PRP</v>
      </c>
      <c r="AP34" t="str">
        <f>HYPERLINK("http://smart.embl-heidelberg.de/smart/do_annotation.pl?DOMAIN=PRP&amp;BLAST=DUMMY","0.074")</f>
        <v>0.074</v>
      </c>
      <c r="AQ34" s="2" t="s">
        <v>324</v>
      </c>
      <c r="AR34" t="s">
        <v>324</v>
      </c>
      <c r="AS34" s="2" t="s">
        <v>324</v>
      </c>
      <c r="AT34" t="s">
        <v>324</v>
      </c>
    </row>
    <row r="35" spans="1:22" s="14" customFormat="1" ht="12" thickBot="1">
      <c r="A35" s="15" t="s">
        <v>920</v>
      </c>
      <c r="D35" s="13"/>
      <c r="L35" s="13"/>
      <c r="M35" s="13"/>
      <c r="N35" s="13"/>
      <c r="O35" s="13"/>
      <c r="P35" s="13"/>
      <c r="R35" s="13"/>
      <c r="S35" s="13"/>
      <c r="U35" s="13"/>
      <c r="V35" s="13"/>
    </row>
    <row r="36" spans="1:46" ht="11.25">
      <c r="A36" t="str">
        <f>HYPERLINK("http://exon.niaid.nih.gov/transcriptome/Tx_amboinensis_sialome/Table_1/links/TX-contig_7.txt","TX-contig_7")</f>
        <v>TX-contig_7</v>
      </c>
      <c r="B36" t="str">
        <f>HYPERLINK("http://exon.niaid.nih.gov/transcriptome/Tx_amboinensis_sialome/Table_1/links/TX-5-90-90-asb-7.txt","Contig-7")</f>
        <v>Contig-7</v>
      </c>
      <c r="C36" t="str">
        <f>HYPERLINK("http://exon.niaid.nih.gov/transcriptome/Tx_amboinensis_sialome/Table_1/links/TX-5-90-90-7-CLU.txt","Contig7")</f>
        <v>Contig7</v>
      </c>
      <c r="D36" s="4">
        <v>37</v>
      </c>
      <c r="E36">
        <v>511</v>
      </c>
      <c r="F36" t="s">
        <v>322</v>
      </c>
      <c r="G36">
        <v>54</v>
      </c>
      <c r="H36">
        <v>492</v>
      </c>
      <c r="I36">
        <v>7</v>
      </c>
      <c r="J36" t="s">
        <v>330</v>
      </c>
      <c r="K36">
        <v>221</v>
      </c>
      <c r="L36" s="3" t="s">
        <v>1034</v>
      </c>
      <c r="M36" s="4">
        <v>18</v>
      </c>
      <c r="N36" s="4">
        <v>19</v>
      </c>
      <c r="O36" s="4">
        <v>1</v>
      </c>
      <c r="P36" s="4">
        <v>0</v>
      </c>
      <c r="Q36" s="5" t="s">
        <v>1041</v>
      </c>
      <c r="R36" s="2" t="str">
        <f>HYPERLINK("http://exon.niaid.nih.gov/transcriptome/Tx_amboinensis_sialome/Table_1/links/NR\TX-contig_7-NR.txt","CG4013-PC, isoform C [Drosophila mela")</f>
        <v>CG4013-PC, isoform C [Drosophila mela</v>
      </c>
      <c r="S36" s="4" t="str">
        <f>HYPERLINK("http://www.ncbi.nlm.nih.gov/sutils/blink.cgi?pid=22832157","1E-007")</f>
        <v>1E-007</v>
      </c>
      <c r="T36" t="s">
        <v>693</v>
      </c>
      <c r="U36" s="4">
        <v>42</v>
      </c>
      <c r="V36" s="4">
        <v>2</v>
      </c>
      <c r="W36" t="s">
        <v>179</v>
      </c>
      <c r="X36" t="s">
        <v>694</v>
      </c>
      <c r="Y36" t="s">
        <v>180</v>
      </c>
      <c r="Z36" s="2" t="s">
        <v>181</v>
      </c>
      <c r="AA36">
        <f>HYPERLINK("http://exon.niaid.nih.gov/transcriptome/Tx_amboinensis_sialome/Table_1/links/GO\TX-contig_7-GO.txt",0.000000006)</f>
        <v>0</v>
      </c>
      <c r="AB36" t="s">
        <v>182</v>
      </c>
      <c r="AC36" t="s">
        <v>183</v>
      </c>
      <c r="AD36" t="s">
        <v>184</v>
      </c>
      <c r="AE36" t="s">
        <v>185</v>
      </c>
      <c r="AF36">
        <v>6E-09</v>
      </c>
      <c r="AG36" s="2" t="str">
        <f>HYPERLINK("http://exon.niaid.nih.gov/transcriptome/Tx_amboinensis_sialome/Table_1/links/KOG\TX-contig_7-KOG.txt","Ultrahigh sulfur keratin-associated protein")</f>
        <v>Ultrahigh sulfur keratin-associated protein</v>
      </c>
      <c r="AH36" t="str">
        <f>HYPERLINK("http://www.ncbi.nlm.nih.gov/COG/new/shokog.cgi?KOG4726","9E-007")</f>
        <v>9E-007</v>
      </c>
      <c r="AI36" t="s">
        <v>852</v>
      </c>
      <c r="AJ36" s="2" t="str">
        <f>HYPERLINK("http://exon.niaid.nih.gov/transcriptome/Tx_amboinensis_sialome/Table_1/links/CDD\TX-contig_7-CDD.txt","MSSP")</f>
        <v>MSSP</v>
      </c>
      <c r="AK36" t="str">
        <f>HYPERLINK("http://www.ncbi.nlm.nih.gov/Structure/cdd/cddsrv.cgi?uid=pfam03940&amp;version=v4.0","2E-004")</f>
        <v>2E-004</v>
      </c>
      <c r="AL36" t="s">
        <v>186</v>
      </c>
      <c r="AM36" s="2" t="str">
        <f>HYPERLINK("http://exon.niaid.nih.gov/transcriptome/Tx_amboinensis_sialome/Table_1/links/PFAM\TX-contig_7-PFAM.txt","Metallothio")</f>
        <v>Metallothio</v>
      </c>
      <c r="AN36" t="str">
        <f>HYPERLINK("http://pfam.wustl.edu/cgi-bin/getdesc?acc=PF00131","9E-006")</f>
        <v>9E-006</v>
      </c>
      <c r="AO36" s="2" t="str">
        <f>HYPERLINK("http://exon.niaid.nih.gov/transcriptome/Tx_amboinensis_sialome/Table_1/links/SMART\TX-contig_7-SMART.txt","LITAF")</f>
        <v>LITAF</v>
      </c>
      <c r="AP36" t="str">
        <f>HYPERLINK("http://smart.embl-heidelberg.de/smart/do_annotation.pl?DOMAIN=LITAF&amp;BLAST=DUMMY","3E-004")</f>
        <v>3E-004</v>
      </c>
      <c r="AQ36" s="2" t="s">
        <v>324</v>
      </c>
      <c r="AR36" t="s">
        <v>324</v>
      </c>
      <c r="AS36" s="2" t="s">
        <v>324</v>
      </c>
      <c r="AT36" t="s">
        <v>324</v>
      </c>
    </row>
    <row r="37" spans="1:46" ht="11.25">
      <c r="A37" t="str">
        <f>HYPERLINK("http://exon.niaid.nih.gov/transcriptome/Tx_amboinensis_sialome/Table_1/links/TX-contig_13.txt","TX-contig_13")</f>
        <v>TX-contig_13</v>
      </c>
      <c r="B37" t="str">
        <f>HYPERLINK("http://exon.niaid.nih.gov/transcriptome/Tx_amboinensis_sialome/Table_1/links/TX-5-90-90-asb-13.txt","Contig-13")</f>
        <v>Contig-13</v>
      </c>
      <c r="C37" t="str">
        <f>HYPERLINK("http://exon.niaid.nih.gov/transcriptome/Tx_amboinensis_sialome/Table_1/links/TX-5-90-90-13-CLU.txt","Contig13")</f>
        <v>Contig13</v>
      </c>
      <c r="D37" s="4">
        <v>11</v>
      </c>
      <c r="E37">
        <v>367</v>
      </c>
      <c r="F37" t="s">
        <v>322</v>
      </c>
      <c r="G37">
        <v>63.2</v>
      </c>
      <c r="H37">
        <v>348</v>
      </c>
      <c r="I37">
        <v>13</v>
      </c>
      <c r="J37" t="s">
        <v>336</v>
      </c>
      <c r="K37">
        <v>122</v>
      </c>
      <c r="L37" s="3" t="s">
        <v>1035</v>
      </c>
      <c r="M37" s="4">
        <v>1</v>
      </c>
      <c r="N37" s="4">
        <v>0</v>
      </c>
      <c r="O37" s="4">
        <v>14</v>
      </c>
      <c r="P37" s="4">
        <v>0</v>
      </c>
      <c r="Q37" s="5" t="s">
        <v>1102</v>
      </c>
      <c r="R37" s="2" t="str">
        <f>HYPERLINK("http://exon.niaid.nih.gov/transcriptome/Tx_amboinensis_sialome/Table_1/links/NR\TX-contig_13-NR.txt","P0489A05.6 [Oryza sativa (japonica ")</f>
        <v>P0489A05.6 [Oryza sativa (japonica </v>
      </c>
      <c r="S37" s="4" t="str">
        <f>HYPERLINK("http://www.ncbi.nlm.nih.gov/sutils/blink.cgi?pid=34903686","3.1")</f>
        <v>3.1</v>
      </c>
      <c r="T37" t="s">
        <v>1322</v>
      </c>
      <c r="U37" s="4">
        <v>38</v>
      </c>
      <c r="V37" s="4">
        <v>21</v>
      </c>
      <c r="W37" t="s">
        <v>1323</v>
      </c>
      <c r="X37" t="s">
        <v>695</v>
      </c>
      <c r="Y37" t="s">
        <v>1324</v>
      </c>
      <c r="Z37" s="2" t="s">
        <v>324</v>
      </c>
      <c r="AA37" t="s">
        <v>324</v>
      </c>
      <c r="AB37" t="s">
        <v>324</v>
      </c>
      <c r="AC37" t="s">
        <v>324</v>
      </c>
      <c r="AD37" t="s">
        <v>324</v>
      </c>
      <c r="AE37" t="s">
        <v>324</v>
      </c>
      <c r="AF37" t="s">
        <v>324</v>
      </c>
      <c r="AG37" s="2" t="str">
        <f>HYPERLINK("http://exon.niaid.nih.gov/transcriptome/Tx_amboinensis_sialome/Table_1/links/KOG\TX-contig_13-KOG.txt","Host cell transcription factor HCFC1")</f>
        <v>Host cell transcription factor HCFC1</v>
      </c>
      <c r="AH37" t="str">
        <f>HYPERLINK("http://www.ncbi.nlm.nih.gov/COG/new/shokog.cgi?KOG4152","0.33")</f>
        <v>0.33</v>
      </c>
      <c r="AI37" t="s">
        <v>1325</v>
      </c>
      <c r="AJ37" s="2" t="str">
        <f>HYPERLINK("http://exon.niaid.nih.gov/transcriptome/Tx_amboinensis_sialome/Table_1/links/CDD\TX-contig_13-CDD.txt","COG3965")</f>
        <v>COG3965</v>
      </c>
      <c r="AK37" t="str">
        <f>HYPERLINK("http://www.ncbi.nlm.nih.gov/Structure/cdd/cddsrv.cgi?uid=COG3965&amp;version=v4.0","0.43")</f>
        <v>0.43</v>
      </c>
      <c r="AL37" t="s">
        <v>1326</v>
      </c>
      <c r="AM37" s="2" t="str">
        <f>HYPERLINK("http://exon.niaid.nih.gov/transcriptome/Tx_amboinensis_sialome/Table_1/links/PFAM\TX-contig_13-PFAM.txt","TolA")</f>
        <v>TolA</v>
      </c>
      <c r="AN37" t="str">
        <f>HYPERLINK("http://pfam.wustl.edu/cgi-bin/getdesc?acc=PF06519","0.46")</f>
        <v>0.46</v>
      </c>
      <c r="AO37" s="2" t="str">
        <f>HYPERLINK("http://exon.niaid.nih.gov/transcriptome/Tx_amboinensis_sialome/Table_1/links/SMART\TX-contig_13-SMART.txt","DZF")</f>
        <v>DZF</v>
      </c>
      <c r="AP37" t="str">
        <f>HYPERLINK("http://smart.embl-heidelberg.de/smart/do_annotation.pl?DOMAIN=DZF&amp;BLAST=DUMMY","0.025")</f>
        <v>0.025</v>
      </c>
      <c r="AQ37" s="2" t="s">
        <v>324</v>
      </c>
      <c r="AR37" t="s">
        <v>324</v>
      </c>
      <c r="AS37" s="2" t="s">
        <v>324</v>
      </c>
      <c r="AT37" t="s">
        <v>324</v>
      </c>
    </row>
    <row r="38" spans="1:46" ht="12">
      <c r="A38" t="str">
        <f>HYPERLINK("http://exon.niaid.nih.gov/transcriptome/Tx_amboinensis_sialome/Table_1/links/TX-contig_14.txt","TX-contig_14")</f>
        <v>TX-contig_14</v>
      </c>
      <c r="B38" t="str">
        <f>HYPERLINK("http://exon.niaid.nih.gov/transcriptome/Tx_amboinensis_sialome/Table_1/links/TX-5-90-90-asb-14.txt","Contig-14")</f>
        <v>Contig-14</v>
      </c>
      <c r="C38" t="str">
        <f>HYPERLINK("http://exon.niaid.nih.gov/transcriptome/Tx_amboinensis_sialome/Table_1/links/TX-5-90-90-14-CLU.txt","Contig14")</f>
        <v>Contig14</v>
      </c>
      <c r="D38" s="4">
        <v>10</v>
      </c>
      <c r="E38">
        <v>504</v>
      </c>
      <c r="F38" t="s">
        <v>322</v>
      </c>
      <c r="G38">
        <v>57.7</v>
      </c>
      <c r="H38">
        <v>485</v>
      </c>
      <c r="I38">
        <v>14</v>
      </c>
      <c r="J38" t="s">
        <v>337</v>
      </c>
      <c r="K38">
        <v>243</v>
      </c>
      <c r="L38" s="3" t="s">
        <v>1034</v>
      </c>
      <c r="M38" s="4">
        <v>4</v>
      </c>
      <c r="N38" s="4">
        <v>0</v>
      </c>
      <c r="O38" s="4">
        <v>9</v>
      </c>
      <c r="P38" s="4">
        <v>0</v>
      </c>
      <c r="Q38" s="5" t="s">
        <v>274</v>
      </c>
      <c r="R38" s="2" t="str">
        <f>HYPERLINK("http://exon.niaid.nih.gov/transcriptome/Tx_amboinensis_sialome/Table_1/links/NR\TX-contig_14-NR.txt","30 kDa salivary gland allergen 30k-2 ")</f>
        <v>30 kDa salivary gland allergen 30k-2 </v>
      </c>
      <c r="S38" s="4" t="str">
        <f>HYPERLINK("http://www.ncbi.nlm.nih.gov/sutils/blink.cgi?pid=56417502","0.041")</f>
        <v>0.041</v>
      </c>
      <c r="T38" t="s">
        <v>1327</v>
      </c>
      <c r="U38" s="4">
        <v>29</v>
      </c>
      <c r="V38" s="4">
        <v>34</v>
      </c>
      <c r="W38" t="s">
        <v>671</v>
      </c>
      <c r="X38" t="s">
        <v>125</v>
      </c>
      <c r="Y38" t="s">
        <v>1328</v>
      </c>
      <c r="Z38" s="2" t="s">
        <v>324</v>
      </c>
      <c r="AA38" t="s">
        <v>324</v>
      </c>
      <c r="AB38" t="s">
        <v>324</v>
      </c>
      <c r="AC38" t="s">
        <v>324</v>
      </c>
      <c r="AD38" t="s">
        <v>324</v>
      </c>
      <c r="AE38" t="s">
        <v>324</v>
      </c>
      <c r="AF38" t="s">
        <v>324</v>
      </c>
      <c r="AG38" s="2" t="str">
        <f>HYPERLINK("http://exon.niaid.nih.gov/transcriptome/Tx_amboinensis_sialome/Table_1/links/KOG\TX-contig_14-KOG.txt","Glycosylphosphatidylinositol anchor synthesis protein")</f>
        <v>Glycosylphosphatidylinositol anchor synthesis protein</v>
      </c>
      <c r="AH38" t="str">
        <f>HYPERLINK("http://www.ncbi.nlm.nih.gov/COG/new/shokog.cgi?KOG2126","0.14")</f>
        <v>0.14</v>
      </c>
      <c r="AI38" t="s">
        <v>1320</v>
      </c>
      <c r="AJ38" s="2" t="str">
        <f>HYPERLINK("http://exon.niaid.nih.gov/transcriptome/Tx_amboinensis_sialome/Table_1/links/CDD\TX-contig_14-CDD.txt","TR_FER")</f>
        <v>TR_FER</v>
      </c>
      <c r="AK38" t="str">
        <f>HYPERLINK("http://www.ncbi.nlm.nih.gov/Structure/cdd/cddsrv.cgi?uid=smart00094&amp;version=v4.0","0.056")</f>
        <v>0.056</v>
      </c>
      <c r="AL38" t="s">
        <v>1329</v>
      </c>
      <c r="AM38" s="2" t="str">
        <f>HYPERLINK("http://exon.niaid.nih.gov/transcriptome/Tx_amboinensis_sialome/Table_1/links/PFAM\TX-contig_14-PFAM.txt","DMP1")</f>
        <v>DMP1</v>
      </c>
      <c r="AN38" t="str">
        <f>HYPERLINK("http://pfam.wustl.edu/cgi-bin/getdesc?acc=PF07263","0.19")</f>
        <v>0.19</v>
      </c>
      <c r="AO38" s="2" t="str">
        <f>HYPERLINK("http://exon.niaid.nih.gov/transcriptome/Tx_amboinensis_sialome/Table_1/links/SMART\TX-contig_14-SMART.txt","TR_FER")</f>
        <v>TR_FER</v>
      </c>
      <c r="AP38" t="str">
        <f>HYPERLINK("http://smart.embl-heidelberg.de/smart/do_annotation.pl?DOMAIN=TR_FER&amp;BLAST=DUMMY","0.002")</f>
        <v>0.002</v>
      </c>
      <c r="AQ38" s="2" t="s">
        <v>324</v>
      </c>
      <c r="AR38" t="s">
        <v>324</v>
      </c>
      <c r="AS38" s="2" t="s">
        <v>324</v>
      </c>
      <c r="AT38" t="s">
        <v>324</v>
      </c>
    </row>
    <row r="39" spans="1:46" ht="11.25">
      <c r="A39" t="str">
        <f>HYPERLINK("http://exon.niaid.nih.gov/transcriptome/Tx_amboinensis_sialome/Table_1/links/TX-contig_33.txt","TX-contig_33")</f>
        <v>TX-contig_33</v>
      </c>
      <c r="B39" t="str">
        <f>HYPERLINK("http://exon.niaid.nih.gov/transcriptome/Tx_amboinensis_sialome/Table_1/links/TX-5-90-90-asb-33.txt","Contig-33")</f>
        <v>Contig-33</v>
      </c>
      <c r="C39" t="str">
        <f>HYPERLINK("http://exon.niaid.nih.gov/transcriptome/Tx_amboinensis_sialome/Table_1/links/TX-5-90-90-33-CLU.txt","Contig33")</f>
        <v>Contig33</v>
      </c>
      <c r="D39" s="4">
        <v>2</v>
      </c>
      <c r="E39">
        <v>204</v>
      </c>
      <c r="F39">
        <v>1.5</v>
      </c>
      <c r="G39">
        <v>57.8</v>
      </c>
      <c r="H39">
        <v>185</v>
      </c>
      <c r="I39">
        <v>33</v>
      </c>
      <c r="J39" t="s">
        <v>356</v>
      </c>
      <c r="K39">
        <v>165</v>
      </c>
      <c r="L39" s="3" t="s">
        <v>1034</v>
      </c>
      <c r="M39" s="4">
        <v>1</v>
      </c>
      <c r="N39" s="4">
        <v>0</v>
      </c>
      <c r="O39" s="4">
        <v>1</v>
      </c>
      <c r="P39" s="4">
        <v>0</v>
      </c>
      <c r="Q39" s="5" t="s">
        <v>1099</v>
      </c>
      <c r="Y39" t="s">
        <v>324</v>
      </c>
      <c r="Z39" s="2" t="s">
        <v>324</v>
      </c>
      <c r="AA39" t="s">
        <v>324</v>
      </c>
      <c r="AB39" t="s">
        <v>324</v>
      </c>
      <c r="AC39" t="s">
        <v>324</v>
      </c>
      <c r="AD39" t="s">
        <v>324</v>
      </c>
      <c r="AE39" t="s">
        <v>324</v>
      </c>
      <c r="AF39" t="s">
        <v>324</v>
      </c>
      <c r="AG39" s="2" t="s">
        <v>324</v>
      </c>
      <c r="AH39" t="s">
        <v>324</v>
      </c>
      <c r="AI39" t="s">
        <v>324</v>
      </c>
      <c r="AJ39" s="2" t="s">
        <v>324</v>
      </c>
      <c r="AK39" t="s">
        <v>324</v>
      </c>
      <c r="AL39" t="s">
        <v>324</v>
      </c>
      <c r="AM39" s="2" t="str">
        <f>HYPERLINK("http://exon.niaid.nih.gov/transcriptome/Tx_amboinensis_sialome/Table_1/links/PFAM\TX-contig_33-PFAM.txt","Cobalamin_bind")</f>
        <v>Cobalamin_bind</v>
      </c>
      <c r="AN39" t="str">
        <f>HYPERLINK("http://pfam.wustl.edu/cgi-bin/getdesc?acc=PF01122","0.90")</f>
        <v>0.90</v>
      </c>
      <c r="AO39" s="2" t="str">
        <f>HYPERLINK("http://exon.niaid.nih.gov/transcriptome/Tx_amboinensis_sialome/Table_1/links/SMART\TX-contig_33-SMART.txt","DM9")</f>
        <v>DM9</v>
      </c>
      <c r="AP39" t="str">
        <f>HYPERLINK("http://smart.embl-heidelberg.de/smart/do_annotation.pl?DOMAIN=DM9&amp;BLAST=DUMMY","0.28")</f>
        <v>0.28</v>
      </c>
      <c r="AQ39" s="2" t="s">
        <v>324</v>
      </c>
      <c r="AR39" t="s">
        <v>324</v>
      </c>
      <c r="AS39" s="2" t="s">
        <v>324</v>
      </c>
      <c r="AT39" t="s">
        <v>324</v>
      </c>
    </row>
    <row r="40" spans="1:46" ht="11.25">
      <c r="A40" t="str">
        <f>HYPERLINK("http://exon.niaid.nih.gov/transcriptome/Tx_amboinensis_sialome/Table_1/links/TX-contig_167.txt","TX-contig_167")</f>
        <v>TX-contig_167</v>
      </c>
      <c r="B40" t="str">
        <f>HYPERLINK("http://exon.niaid.nih.gov/transcriptome/Tx_amboinensis_sialome/Table_1/links/TX-5-90-90-asb-167.txt","Contig-167")</f>
        <v>Contig-167</v>
      </c>
      <c r="C40" t="str">
        <f>HYPERLINK("http://exon.niaid.nih.gov/transcriptome/Tx_amboinensis_sialome/Table_1/links/TX-5-90-90-167-CLU.txt","Contig167")</f>
        <v>Contig167</v>
      </c>
      <c r="D40" s="4">
        <v>1</v>
      </c>
      <c r="E40">
        <v>333</v>
      </c>
      <c r="F40" t="s">
        <v>322</v>
      </c>
      <c r="G40">
        <v>57.7</v>
      </c>
      <c r="H40">
        <v>314</v>
      </c>
      <c r="I40">
        <v>167</v>
      </c>
      <c r="J40" t="s">
        <v>480</v>
      </c>
      <c r="K40">
        <v>314</v>
      </c>
      <c r="L40" s="3" t="s">
        <v>1034</v>
      </c>
      <c r="M40" s="4">
        <v>1</v>
      </c>
      <c r="N40" s="4">
        <v>0</v>
      </c>
      <c r="O40" s="4">
        <v>0</v>
      </c>
      <c r="P40" s="4">
        <v>0</v>
      </c>
      <c r="Q40" s="5" t="s">
        <v>1099</v>
      </c>
      <c r="R40" s="2" t="str">
        <f>HYPERLINK("http://exon.niaid.nih.gov/transcriptome/Tx_amboinensis_sialome/Table_1/links/NR\TX-contig_167-NR.txt","hypothetical protein Chro.80062 [Cr")</f>
        <v>hypothetical protein Chro.80062 [Cr</v>
      </c>
      <c r="S40" s="4" t="str">
        <f>HYPERLINK("http://www.ncbi.nlm.nih.gov/sutils/blink.cgi?pid=67608640","6.9")</f>
        <v>6.9</v>
      </c>
      <c r="T40" t="s">
        <v>681</v>
      </c>
      <c r="U40" s="4">
        <v>37</v>
      </c>
      <c r="V40" s="4">
        <v>6</v>
      </c>
      <c r="W40" t="s">
        <v>682</v>
      </c>
      <c r="X40" t="s">
        <v>696</v>
      </c>
      <c r="Y40" t="s">
        <v>683</v>
      </c>
      <c r="Z40" s="2" t="s">
        <v>324</v>
      </c>
      <c r="AA40" t="s">
        <v>324</v>
      </c>
      <c r="AB40" t="s">
        <v>324</v>
      </c>
      <c r="AC40" t="s">
        <v>324</v>
      </c>
      <c r="AD40" t="s">
        <v>324</v>
      </c>
      <c r="AE40" t="s">
        <v>324</v>
      </c>
      <c r="AF40" t="s">
        <v>324</v>
      </c>
      <c r="AG40" s="2" t="str">
        <f>HYPERLINK("http://exon.niaid.nih.gov/transcriptome/Tx_amboinensis_sialome/Table_1/links/KOG\TX-contig_167-KOG.txt","Oligoribonuclease (3'-&gt;5' exoribonuclease)")</f>
        <v>Oligoribonuclease (3'-&gt;5' exoribonuclease)</v>
      </c>
      <c r="AH40" t="str">
        <f>HYPERLINK("http://www.ncbi.nlm.nih.gov/COG/new/shokog.cgi?KOG3242","0.16")</f>
        <v>0.16</v>
      </c>
      <c r="AI40" t="s">
        <v>906</v>
      </c>
      <c r="AJ40" s="2" t="str">
        <f>HYPERLINK("http://exon.niaid.nih.gov/transcriptome/Tx_amboinensis_sialome/Table_1/links/CDD\TX-contig_167-CDD.txt","hATC")</f>
        <v>hATC</v>
      </c>
      <c r="AK40" t="str">
        <f>HYPERLINK("http://www.ncbi.nlm.nih.gov/Structure/cdd/cddsrv.cgi?uid=pfam05699&amp;version=v4.0","0.62")</f>
        <v>0.62</v>
      </c>
      <c r="AL40" t="s">
        <v>684</v>
      </c>
      <c r="AM40" s="2" t="str">
        <f>HYPERLINK("http://exon.niaid.nih.gov/transcriptome/Tx_amboinensis_sialome/Table_1/links/PFAM\TX-contig_167-PFAM.txt","hATC")</f>
        <v>hATC</v>
      </c>
      <c r="AN40" t="str">
        <f>HYPERLINK("http://pfam.wustl.edu/cgi-bin/getdesc?acc=PF05699","0.35")</f>
        <v>0.35</v>
      </c>
      <c r="AO40" s="2" t="str">
        <f>HYPERLINK("http://exon.niaid.nih.gov/transcriptome/Tx_amboinensis_sialome/Table_1/links/SMART\TX-contig_167-SMART.txt","HTH_MERR")</f>
        <v>HTH_MERR</v>
      </c>
      <c r="AP40" t="str">
        <f>HYPERLINK("http://smart.embl-heidelberg.de/smart/do_annotation.pl?DOMAIN=HTH_MERR&amp;BLAST=DUMMY","0.057")</f>
        <v>0.057</v>
      </c>
      <c r="AQ40" s="2" t="s">
        <v>324</v>
      </c>
      <c r="AR40" t="s">
        <v>324</v>
      </c>
      <c r="AS40" s="2" t="s">
        <v>324</v>
      </c>
      <c r="AT40" t="s">
        <v>324</v>
      </c>
    </row>
    <row r="41" spans="1:46" ht="11.25">
      <c r="A41" t="str">
        <f>HYPERLINK("http://exon.niaid.nih.gov/transcriptome/Tx_amboinensis_sialome/Table_1/links/TX-contig_353.txt","TX-contig_353")</f>
        <v>TX-contig_353</v>
      </c>
      <c r="B41" t="str">
        <f>HYPERLINK("http://exon.niaid.nih.gov/transcriptome/Tx_amboinensis_sialome/Table_1/links/TX-5-90-90-asb-353.txt","Contig-353")</f>
        <v>Contig-353</v>
      </c>
      <c r="C41" t="str">
        <f>HYPERLINK("http://exon.niaid.nih.gov/transcriptome/Tx_amboinensis_sialome/Table_1/links/TX-5-90-90-353-CLU.txt","Contig353")</f>
        <v>Contig353</v>
      </c>
      <c r="D41" s="4">
        <v>1</v>
      </c>
      <c r="E41">
        <v>165</v>
      </c>
      <c r="F41" t="s">
        <v>322</v>
      </c>
      <c r="G41">
        <v>61.8</v>
      </c>
      <c r="H41">
        <v>146</v>
      </c>
      <c r="I41">
        <v>353</v>
      </c>
      <c r="J41" t="s">
        <v>1207</v>
      </c>
      <c r="K41">
        <v>146</v>
      </c>
      <c r="L41" s="3" t="s">
        <v>1034</v>
      </c>
      <c r="M41" s="4">
        <v>1</v>
      </c>
      <c r="N41" s="4">
        <v>0</v>
      </c>
      <c r="O41" s="4">
        <v>0</v>
      </c>
      <c r="P41" s="4">
        <v>0</v>
      </c>
      <c r="Q41" s="5" t="s">
        <v>1099</v>
      </c>
      <c r="R41" s="2" t="str">
        <f>HYPERLINK("http://exon.niaid.nih.gov/transcriptome/Tx_amboinensis_sialome/Table_1/links/NR\TX-contig_353-NR.txt","hypothetical protein MT2586.1 [Mycoba")</f>
        <v>hypothetical protein MT2586.1 [Mycoba</v>
      </c>
      <c r="S41" s="4" t="str">
        <f>HYPERLINK("http://www.ncbi.nlm.nih.gov/sutils/blink.cgi?pid=13882318","12")</f>
        <v>12</v>
      </c>
      <c r="T41" t="s">
        <v>782</v>
      </c>
      <c r="U41" s="4">
        <v>38</v>
      </c>
      <c r="V41" s="4">
        <v>26</v>
      </c>
      <c r="W41" t="s">
        <v>783</v>
      </c>
      <c r="X41" t="s">
        <v>697</v>
      </c>
      <c r="Y41" t="s">
        <v>784</v>
      </c>
      <c r="Z41" s="2" t="s">
        <v>324</v>
      </c>
      <c r="AA41" t="s">
        <v>324</v>
      </c>
      <c r="AB41" t="s">
        <v>324</v>
      </c>
      <c r="AC41" t="s">
        <v>324</v>
      </c>
      <c r="AD41" t="s">
        <v>324</v>
      </c>
      <c r="AE41" t="s">
        <v>324</v>
      </c>
      <c r="AF41" t="s">
        <v>324</v>
      </c>
      <c r="AG41" s="2" t="s">
        <v>324</v>
      </c>
      <c r="AH41" t="s">
        <v>324</v>
      </c>
      <c r="AI41" t="s">
        <v>324</v>
      </c>
      <c r="AJ41" s="2" t="str">
        <f>HYPERLINK("http://exon.niaid.nih.gov/transcriptome/Tx_amboinensis_sialome/Table_1/links/CDD\TX-contig_353-CDD.txt","RNA_dep_RNApol2")</f>
        <v>RNA_dep_RNApol2</v>
      </c>
      <c r="AK41" t="str">
        <f>HYPERLINK("http://www.ncbi.nlm.nih.gov/Structure/cdd/cddsrv.cgi?uid=pfam00978&amp;version=v4.0","0.67")</f>
        <v>0.67</v>
      </c>
      <c r="AL41" t="s">
        <v>785</v>
      </c>
      <c r="AM41" s="2" t="str">
        <f>HYPERLINK("http://exon.niaid.nih.gov/transcriptome/Tx_amboinensis_sialome/Table_1/links/PFAM\TX-contig_353-PFAM.txt","RNA_dep_RNApol2")</f>
        <v>RNA_dep_RNApol2</v>
      </c>
      <c r="AN41" t="str">
        <f>HYPERLINK("http://pfam.wustl.edu/cgi-bin/getdesc?acc=PF00978","0.35")</f>
        <v>0.35</v>
      </c>
      <c r="AO41" s="2" t="str">
        <f>HYPERLINK("http://exon.niaid.nih.gov/transcriptome/Tx_amboinensis_sialome/Table_1/links/SMART\TX-contig_353-SMART.txt","TBOX")</f>
        <v>TBOX</v>
      </c>
      <c r="AP41" t="str">
        <f>HYPERLINK("http://smart.embl-heidelberg.de/smart/do_annotation.pl?DOMAIN=TBOX&amp;BLAST=DUMMY","0.25")</f>
        <v>0.25</v>
      </c>
      <c r="AQ41" s="2" t="s">
        <v>324</v>
      </c>
      <c r="AR41" t="s">
        <v>324</v>
      </c>
      <c r="AS41" s="2" t="s">
        <v>324</v>
      </c>
      <c r="AT41" t="s">
        <v>324</v>
      </c>
    </row>
    <row r="42" spans="1:46" ht="11.25">
      <c r="A42" t="str">
        <f>HYPERLINK("http://exon.niaid.nih.gov/transcriptome/Tx_amboinensis_sialome/Table_1/links/TX-contig_330.txt","TX-contig_330")</f>
        <v>TX-contig_330</v>
      </c>
      <c r="B42" t="str">
        <f>HYPERLINK("http://exon.niaid.nih.gov/transcriptome/Tx_amboinensis_sialome/Table_1/links/TX-5-90-90-asb-330.txt","Contig-330")</f>
        <v>Contig-330</v>
      </c>
      <c r="C42" t="str">
        <f>HYPERLINK("http://exon.niaid.nih.gov/transcriptome/Tx_amboinensis_sialome/Table_1/links/TX-5-90-90-330-CLU.txt","Contig330")</f>
        <v>Contig330</v>
      </c>
      <c r="D42" s="4">
        <v>1</v>
      </c>
      <c r="E42">
        <v>237</v>
      </c>
      <c r="F42" t="s">
        <v>322</v>
      </c>
      <c r="G42">
        <v>60.8</v>
      </c>
      <c r="H42">
        <v>218</v>
      </c>
      <c r="I42">
        <v>330</v>
      </c>
      <c r="J42" t="s">
        <v>1184</v>
      </c>
      <c r="K42">
        <v>218</v>
      </c>
      <c r="L42" s="3" t="s">
        <v>1034</v>
      </c>
      <c r="M42" s="4">
        <v>1</v>
      </c>
      <c r="N42" s="4">
        <v>0</v>
      </c>
      <c r="O42" s="4">
        <v>2</v>
      </c>
      <c r="P42" s="4">
        <v>0</v>
      </c>
      <c r="Q42" s="5" t="s">
        <v>1099</v>
      </c>
      <c r="Y42" t="s">
        <v>324</v>
      </c>
      <c r="Z42" s="2" t="s">
        <v>324</v>
      </c>
      <c r="AA42" t="s">
        <v>324</v>
      </c>
      <c r="AB42" t="s">
        <v>324</v>
      </c>
      <c r="AC42" t="s">
        <v>324</v>
      </c>
      <c r="AD42" t="s">
        <v>324</v>
      </c>
      <c r="AE42" t="s">
        <v>324</v>
      </c>
      <c r="AF42" t="s">
        <v>324</v>
      </c>
      <c r="AG42" s="2" t="str">
        <f>HYPERLINK("http://exon.niaid.nih.gov/transcriptome/Tx_amboinensis_sialome/Table_1/links/KOG\TX-contig_330-KOG.txt","Inhibitor of type V adenylyl cyclases/Neuronal presynaptic protein Highwire/PAM/RPM-1")</f>
        <v>Inhibitor of type V adenylyl cyclases/Neuronal presynaptic protein Highwire/PAM/RPM-1</v>
      </c>
      <c r="AH42" t="str">
        <f>HYPERLINK("http://www.ncbi.nlm.nih.gov/COG/new/shokog.cgi?KOG1428","0.41")</f>
        <v>0.41</v>
      </c>
      <c r="AI42" t="s">
        <v>1320</v>
      </c>
      <c r="AJ42" s="2" t="str">
        <f>HYPERLINK("http://exon.niaid.nih.gov/transcriptome/Tx_amboinensis_sialome/Table_1/links/CDD\TX-contig_330-CDD.txt","RecG")</f>
        <v>RecG</v>
      </c>
      <c r="AK42" t="str">
        <f>HYPERLINK("http://www.ncbi.nlm.nih.gov/Structure/cdd/cddsrv.cgi?uid=COG1200&amp;version=v4.0","0.13")</f>
        <v>0.13</v>
      </c>
      <c r="AL42" t="s">
        <v>755</v>
      </c>
      <c r="AM42" s="2" t="str">
        <f>HYPERLINK("http://exon.niaid.nih.gov/transcriptome/Tx_amboinensis_sialome/Table_1/links/PFAM\TX-contig_330-PFAM.txt","MPPN")</f>
        <v>MPPN</v>
      </c>
      <c r="AN42" t="str">
        <f>HYPERLINK("http://pfam.wustl.edu/cgi-bin/getdesc?acc=PF05172","0.075")</f>
        <v>0.075</v>
      </c>
      <c r="AO42" s="2" t="str">
        <f>HYPERLINK("http://exon.niaid.nih.gov/transcriptome/Tx_amboinensis_sialome/Table_1/links/SMART\TX-contig_330-SMART.txt","RasGEF")</f>
        <v>RasGEF</v>
      </c>
      <c r="AP42" t="str">
        <f>HYPERLINK("http://smart.embl-heidelberg.de/smart/do_annotation.pl?DOMAIN=RasGEF&amp;BLAST=DUMMY","0.077")</f>
        <v>0.077</v>
      </c>
      <c r="AQ42" s="2" t="s">
        <v>324</v>
      </c>
      <c r="AR42" t="s">
        <v>324</v>
      </c>
      <c r="AS42" s="2" t="s">
        <v>324</v>
      </c>
      <c r="AT42" t="s">
        <v>324</v>
      </c>
    </row>
    <row r="43" spans="1:46" ht="11.25">
      <c r="A43" t="str">
        <f>HYPERLINK("http://exon.niaid.nih.gov/transcriptome/Tx_amboinensis_sialome/Table_1/links/TX-contig_235.txt","TX-contig_235")</f>
        <v>TX-contig_235</v>
      </c>
      <c r="B43" t="str">
        <f>HYPERLINK("http://exon.niaid.nih.gov/transcriptome/Tx_amboinensis_sialome/Table_1/links/TX-5-90-90-asb-235.txt","Contig-235")</f>
        <v>Contig-235</v>
      </c>
      <c r="C43" t="str">
        <f>HYPERLINK("http://exon.niaid.nih.gov/transcriptome/Tx_amboinensis_sialome/Table_1/links/TX-5-90-90-235-CLU.txt","Contig235")</f>
        <v>Contig235</v>
      </c>
      <c r="D43" s="4">
        <v>1</v>
      </c>
      <c r="E43">
        <v>210</v>
      </c>
      <c r="F43">
        <v>2.4</v>
      </c>
      <c r="G43">
        <v>52.4</v>
      </c>
      <c r="H43">
        <v>191</v>
      </c>
      <c r="I43">
        <v>235</v>
      </c>
      <c r="J43" t="s">
        <v>548</v>
      </c>
      <c r="K43">
        <v>191</v>
      </c>
      <c r="L43" s="3" t="s">
        <v>1034</v>
      </c>
      <c r="M43" s="4">
        <v>1</v>
      </c>
      <c r="N43" s="4">
        <v>0</v>
      </c>
      <c r="O43" s="4">
        <v>1</v>
      </c>
      <c r="P43" s="4">
        <v>0</v>
      </c>
      <c r="Q43" s="5" t="s">
        <v>1099</v>
      </c>
      <c r="R43" s="2" t="str">
        <f>HYPERLINK("http://exon.niaid.nih.gov/transcriptome/Tx_amboinensis_sialome/Table_1/links/NR\TX-contig_235-NR.txt","flagellar biosynthetic protein [V")</f>
        <v>flagellar biosynthetic protein [V</v>
      </c>
      <c r="S43" s="4" t="str">
        <f>HYPERLINK("http://www.ncbi.nlm.nih.gov/sutils/blink.cgi?pid=90577372","4.0")</f>
        <v>4.0</v>
      </c>
      <c r="T43" t="s">
        <v>698</v>
      </c>
      <c r="U43" s="4">
        <v>35</v>
      </c>
      <c r="V43" s="4">
        <v>11</v>
      </c>
      <c r="W43" t="s">
        <v>699</v>
      </c>
      <c r="X43" t="s">
        <v>700</v>
      </c>
      <c r="Y43" t="s">
        <v>324</v>
      </c>
      <c r="Z43" s="2" t="s">
        <v>324</v>
      </c>
      <c r="AA43" t="s">
        <v>324</v>
      </c>
      <c r="AB43" t="s">
        <v>324</v>
      </c>
      <c r="AC43" t="s">
        <v>324</v>
      </c>
      <c r="AD43" t="s">
        <v>324</v>
      </c>
      <c r="AE43" t="s">
        <v>324</v>
      </c>
      <c r="AF43" t="s">
        <v>324</v>
      </c>
      <c r="AG43" s="2" t="str">
        <f>HYPERLINK("http://exon.niaid.nih.gov/transcriptome/Tx_amboinensis_sialome/Table_1/links/KOG\TX-contig_235-KOG.txt","Glycosylphosphatidylinositol anchor synthesis protein")</f>
        <v>Glycosylphosphatidylinositol anchor synthesis protein</v>
      </c>
      <c r="AH43" t="str">
        <f>HYPERLINK("http://www.ncbi.nlm.nih.gov/COG/new/shokog.cgi?KOG2124","0.47")</f>
        <v>0.47</v>
      </c>
      <c r="AI43" t="s">
        <v>1320</v>
      </c>
      <c r="AJ43" s="2" t="s">
        <v>324</v>
      </c>
      <c r="AK43" t="s">
        <v>324</v>
      </c>
      <c r="AL43" t="s">
        <v>324</v>
      </c>
      <c r="AM43" s="2" t="s">
        <v>324</v>
      </c>
      <c r="AN43" t="s">
        <v>324</v>
      </c>
      <c r="AO43" s="2" t="str">
        <f>HYPERLINK("http://exon.niaid.nih.gov/transcriptome/Tx_amboinensis_sialome/Table_1/links/SMART\TX-contig_235-SMART.txt","PLP")</f>
        <v>PLP</v>
      </c>
      <c r="AP43" t="str">
        <f>HYPERLINK("http://smart.embl-heidelberg.de/smart/do_annotation.pl?DOMAIN=PLP&amp;BLAST=DUMMY","0.33")</f>
        <v>0.33</v>
      </c>
      <c r="AQ43" s="2" t="s">
        <v>324</v>
      </c>
      <c r="AR43" t="s">
        <v>324</v>
      </c>
      <c r="AS43" s="2" t="s">
        <v>324</v>
      </c>
      <c r="AT43" t="s">
        <v>324</v>
      </c>
    </row>
    <row r="44" spans="1:46" ht="11.25">
      <c r="A44" t="str">
        <f>HYPERLINK("http://exon.niaid.nih.gov/transcriptome/Tx_amboinensis_sialome/Table_1/links/TX-contig_150.txt","TX-contig_150")</f>
        <v>TX-contig_150</v>
      </c>
      <c r="B44" t="str">
        <f>HYPERLINK("http://exon.niaid.nih.gov/transcriptome/Tx_amboinensis_sialome/Table_1/links/TX-5-90-90-asb-150.txt","Contig-150")</f>
        <v>Contig-150</v>
      </c>
      <c r="C44" t="str">
        <f>HYPERLINK("http://exon.niaid.nih.gov/transcriptome/Tx_amboinensis_sialome/Table_1/links/TX-5-90-90-150-CLU.txt","Contig150")</f>
        <v>Contig150</v>
      </c>
      <c r="D44" s="4">
        <v>1</v>
      </c>
      <c r="E44">
        <v>141</v>
      </c>
      <c r="F44">
        <v>0.7</v>
      </c>
      <c r="G44">
        <v>56</v>
      </c>
      <c r="H44">
        <v>122</v>
      </c>
      <c r="I44">
        <v>150</v>
      </c>
      <c r="J44" t="s">
        <v>464</v>
      </c>
      <c r="K44">
        <v>122</v>
      </c>
      <c r="L44" s="3" t="s">
        <v>1034</v>
      </c>
      <c r="M44" s="4">
        <v>1</v>
      </c>
      <c r="N44" s="4">
        <v>0</v>
      </c>
      <c r="O44" s="4">
        <v>0</v>
      </c>
      <c r="P44" s="4">
        <v>0</v>
      </c>
      <c r="Q44" s="5" t="s">
        <v>1099</v>
      </c>
      <c r="Y44" t="s">
        <v>324</v>
      </c>
      <c r="Z44" s="2" t="s">
        <v>324</v>
      </c>
      <c r="AA44" t="s">
        <v>324</v>
      </c>
      <c r="AB44" t="s">
        <v>324</v>
      </c>
      <c r="AC44" t="s">
        <v>324</v>
      </c>
      <c r="AD44" t="s">
        <v>324</v>
      </c>
      <c r="AE44" t="s">
        <v>324</v>
      </c>
      <c r="AF44" t="s">
        <v>324</v>
      </c>
      <c r="AG44" s="2" t="s">
        <v>324</v>
      </c>
      <c r="AH44" t="s">
        <v>324</v>
      </c>
      <c r="AI44" t="s">
        <v>324</v>
      </c>
      <c r="AJ44" s="2" t="s">
        <v>324</v>
      </c>
      <c r="AK44" t="s">
        <v>324</v>
      </c>
      <c r="AL44" t="s">
        <v>324</v>
      </c>
      <c r="AM44" s="2" t="s">
        <v>324</v>
      </c>
      <c r="AN44" t="s">
        <v>324</v>
      </c>
      <c r="AO44" s="2" t="s">
        <v>324</v>
      </c>
      <c r="AP44" t="s">
        <v>324</v>
      </c>
      <c r="AQ44" s="2" t="s">
        <v>324</v>
      </c>
      <c r="AR44" t="s">
        <v>324</v>
      </c>
      <c r="AS44" s="2" t="s">
        <v>324</v>
      </c>
      <c r="AT44" t="s">
        <v>324</v>
      </c>
    </row>
    <row r="45" spans="1:46" ht="11.25">
      <c r="A45" t="str">
        <f>HYPERLINK("http://exon.niaid.nih.gov/transcriptome/Tx_amboinensis_sialome/Table_1/links/TX-contig_260.txt","TX-contig_260")</f>
        <v>TX-contig_260</v>
      </c>
      <c r="B45" t="str">
        <f>HYPERLINK("http://exon.niaid.nih.gov/transcriptome/Tx_amboinensis_sialome/Table_1/links/TX-5-90-90-asb-260.txt","Contig-260")</f>
        <v>Contig-260</v>
      </c>
      <c r="C45" t="str">
        <f>HYPERLINK("http://exon.niaid.nih.gov/transcriptome/Tx_amboinensis_sialome/Table_1/links/TX-5-90-90-260-CLU.txt","Contig260")</f>
        <v>Contig260</v>
      </c>
      <c r="D45" s="4">
        <v>1</v>
      </c>
      <c r="E45">
        <v>195</v>
      </c>
      <c r="F45" t="s">
        <v>322</v>
      </c>
      <c r="G45">
        <v>63.1</v>
      </c>
      <c r="H45">
        <v>176</v>
      </c>
      <c r="I45">
        <v>260</v>
      </c>
      <c r="J45" t="s">
        <v>573</v>
      </c>
      <c r="K45">
        <v>176</v>
      </c>
      <c r="L45" s="3" t="s">
        <v>1034</v>
      </c>
      <c r="M45" s="4">
        <v>1</v>
      </c>
      <c r="N45" s="4">
        <v>0</v>
      </c>
      <c r="O45" s="4">
        <v>0</v>
      </c>
      <c r="P45" s="4">
        <v>0</v>
      </c>
      <c r="Q45" s="5" t="s">
        <v>1099</v>
      </c>
      <c r="R45" s="2" t="str">
        <f>HYPERLINK("http://exon.niaid.nih.gov/transcriptome/Tx_amboinensis_sialome/Table_1/links/NR\TX-contig_260-NR.txt","Odorant-binding protein 58c, putativ")</f>
        <v>Odorant-binding protein 58c, putativ</v>
      </c>
      <c r="S45" s="4" t="str">
        <f>HYPERLINK("http://www.ncbi.nlm.nih.gov/sutils/blink.cgi?pid=108873112","0.026")</f>
        <v>0.026</v>
      </c>
      <c r="T45" t="s">
        <v>701</v>
      </c>
      <c r="U45" s="4">
        <v>78</v>
      </c>
      <c r="V45" s="4">
        <v>12</v>
      </c>
      <c r="W45" t="s">
        <v>901</v>
      </c>
      <c r="X45" t="s">
        <v>702</v>
      </c>
      <c r="Y45" t="s">
        <v>324</v>
      </c>
      <c r="Z45" s="2" t="s">
        <v>324</v>
      </c>
      <c r="AA45" t="s">
        <v>324</v>
      </c>
      <c r="AB45" t="s">
        <v>324</v>
      </c>
      <c r="AC45" t="s">
        <v>324</v>
      </c>
      <c r="AD45" t="s">
        <v>324</v>
      </c>
      <c r="AE45" t="s">
        <v>324</v>
      </c>
      <c r="AF45" t="s">
        <v>324</v>
      </c>
      <c r="AG45" s="2" t="s">
        <v>324</v>
      </c>
      <c r="AH45" t="s">
        <v>324</v>
      </c>
      <c r="AI45" t="s">
        <v>324</v>
      </c>
      <c r="AJ45" s="2" t="str">
        <f>HYPERLINK("http://exon.niaid.nih.gov/transcriptome/Tx_amboinensis_sialome/Table_1/links/CDD\TX-contig_260-CDD.txt","COG3965")</f>
        <v>COG3965</v>
      </c>
      <c r="AK45" t="str">
        <f>HYPERLINK("http://www.ncbi.nlm.nih.gov/Structure/cdd/cddsrv.cgi?uid=COG3965&amp;version=v4.0","0.90")</f>
        <v>0.90</v>
      </c>
      <c r="AL45" t="s">
        <v>966</v>
      </c>
      <c r="AM45" s="2" t="str">
        <f>HYPERLINK("http://exon.niaid.nih.gov/transcriptome/Tx_amboinensis_sialome/Table_1/links/PFAM\TX-contig_260-PFAM.txt","BSRF1")</f>
        <v>BSRF1</v>
      </c>
      <c r="AN45" t="str">
        <f>HYPERLINK("http://pfam.wustl.edu/cgi-bin/getdesc?acc=PF04743","0.32")</f>
        <v>0.32</v>
      </c>
      <c r="AO45" s="2" t="str">
        <f>HYPERLINK("http://exon.niaid.nih.gov/transcriptome/Tx_amboinensis_sialome/Table_1/links/SMART\TX-contig_260-SMART.txt","MADS")</f>
        <v>MADS</v>
      </c>
      <c r="AP45" t="str">
        <f>HYPERLINK("http://smart.embl-heidelberg.de/smart/do_annotation.pl?DOMAIN=MADS&amp;BLAST=DUMMY","0.30")</f>
        <v>0.30</v>
      </c>
      <c r="AQ45" s="2" t="s">
        <v>324</v>
      </c>
      <c r="AR45" t="s">
        <v>324</v>
      </c>
      <c r="AS45" s="2" t="s">
        <v>324</v>
      </c>
      <c r="AT45" t="s">
        <v>324</v>
      </c>
    </row>
    <row r="46" spans="1:46" ht="11.25" thickBot="1">
      <c r="A46" t="str">
        <f>HYPERLINK("http://exon.niaid.nih.gov/transcriptome/Tx_amboinensis_sialome/Table_1/links/TX-contig_178.txt","TX-contig_178")</f>
        <v>TX-contig_178</v>
      </c>
      <c r="B46" t="str">
        <f>HYPERLINK("http://exon.niaid.nih.gov/transcriptome/Tx_amboinensis_sialome/Table_1/links/TX-5-90-90-asb-178.txt","Contig-178")</f>
        <v>Contig-178</v>
      </c>
      <c r="C46" t="str">
        <f>HYPERLINK("http://exon.niaid.nih.gov/transcriptome/Tx_amboinensis_sialome/Table_1/links/TX-5-90-90-178-CLU.txt","Contig178")</f>
        <v>Contig178</v>
      </c>
      <c r="D46" s="4">
        <v>1</v>
      </c>
      <c r="E46">
        <v>334</v>
      </c>
      <c r="F46" t="s">
        <v>322</v>
      </c>
      <c r="G46">
        <v>57.5</v>
      </c>
      <c r="H46">
        <v>315</v>
      </c>
      <c r="I46">
        <v>178</v>
      </c>
      <c r="J46" t="s">
        <v>491</v>
      </c>
      <c r="K46">
        <v>315</v>
      </c>
      <c r="L46" s="3" t="s">
        <v>1034</v>
      </c>
      <c r="M46" s="4">
        <v>1</v>
      </c>
      <c r="N46" s="4">
        <v>0</v>
      </c>
      <c r="O46" s="4">
        <v>0</v>
      </c>
      <c r="P46" s="4">
        <v>0</v>
      </c>
      <c r="Q46" s="5" t="s">
        <v>1099</v>
      </c>
      <c r="R46" s="2" t="str">
        <f>HYPERLINK("http://exon.niaid.nih.gov/transcriptome/Tx_amboinensis_sialome/Table_1/links/NR\TX-contig_178-NR.txt","ABC transporter ATP-binding protein [")</f>
        <v>ABC transporter ATP-binding protein [</v>
      </c>
      <c r="S46" s="4" t="str">
        <f>HYPERLINK("http://www.ncbi.nlm.nih.gov/sutils/blink.cgi?pid=58002393","1.4")</f>
        <v>1.4</v>
      </c>
      <c r="T46" t="s">
        <v>1317</v>
      </c>
      <c r="U46" s="4">
        <v>33</v>
      </c>
      <c r="V46" s="4">
        <v>29</v>
      </c>
      <c r="W46" t="s">
        <v>1318</v>
      </c>
      <c r="X46" t="s">
        <v>703</v>
      </c>
      <c r="Y46" t="s">
        <v>858</v>
      </c>
      <c r="Z46" s="2" t="s">
        <v>324</v>
      </c>
      <c r="AA46" t="s">
        <v>324</v>
      </c>
      <c r="AB46" t="s">
        <v>324</v>
      </c>
      <c r="AC46" t="s">
        <v>324</v>
      </c>
      <c r="AD46" t="s">
        <v>324</v>
      </c>
      <c r="AE46" t="s">
        <v>324</v>
      </c>
      <c r="AF46" t="s">
        <v>324</v>
      </c>
      <c r="AG46" s="2" t="str">
        <f>HYPERLINK("http://exon.niaid.nih.gov/transcriptome/Tx_amboinensis_sialome/Table_1/links/KOG\TX-contig_178-KOG.txt","Poly(ADP-ribose) glycohydrolase")</f>
        <v>Poly(ADP-ribose) glycohydrolase</v>
      </c>
      <c r="AH46" t="str">
        <f>HYPERLINK("http://www.ncbi.nlm.nih.gov/COG/new/shokog.cgi?KOG2064","0.62")</f>
        <v>0.62</v>
      </c>
      <c r="AI46" t="s">
        <v>1320</v>
      </c>
      <c r="AJ46" s="2" t="str">
        <f>HYPERLINK("http://exon.niaid.nih.gov/transcriptome/Tx_amboinensis_sialome/Table_1/links/CDD\TX-contig_178-CDD.txt","FucU")</f>
        <v>FucU</v>
      </c>
      <c r="AK46" t="str">
        <f>HYPERLINK("http://www.ncbi.nlm.nih.gov/Structure/cdd/cddsrv.cgi?uid=COG4154&amp;version=v4.0","0.52")</f>
        <v>0.52</v>
      </c>
      <c r="AL46" t="s">
        <v>859</v>
      </c>
      <c r="AM46" s="2" t="str">
        <f>HYPERLINK("http://exon.niaid.nih.gov/transcriptome/Tx_amboinensis_sialome/Table_1/links/PFAM\TX-contig_178-PFAM.txt","MiaE")</f>
        <v>MiaE</v>
      </c>
      <c r="AN46" t="str">
        <f>HYPERLINK("http://pfam.wustl.edu/cgi-bin/getdesc?acc=PF06175","0.35")</f>
        <v>0.35</v>
      </c>
      <c r="AO46" s="2" t="str">
        <f>HYPERLINK("http://exon.niaid.nih.gov/transcriptome/Tx_amboinensis_sialome/Table_1/links/SMART\TX-contig_178-SMART.txt","LIGANc")</f>
        <v>LIGANc</v>
      </c>
      <c r="AP46" t="str">
        <f>HYPERLINK("http://smart.embl-heidelberg.de/smart/do_annotation.pl?DOMAIN=LIGANc&amp;BLAST=DUMMY","0.20")</f>
        <v>0.20</v>
      </c>
      <c r="AQ46" s="2" t="s">
        <v>324</v>
      </c>
      <c r="AR46" t="s">
        <v>324</v>
      </c>
      <c r="AS46" s="2" t="s">
        <v>324</v>
      </c>
      <c r="AT46" t="s">
        <v>324</v>
      </c>
    </row>
    <row r="47" spans="1:22" s="11" customFormat="1" ht="12" thickBot="1">
      <c r="A47" s="12" t="s">
        <v>931</v>
      </c>
      <c r="D47" s="10"/>
      <c r="L47" s="10"/>
      <c r="M47" s="10"/>
      <c r="N47" s="10"/>
      <c r="O47" s="10"/>
      <c r="P47" s="10"/>
      <c r="R47" s="10"/>
      <c r="S47" s="10"/>
      <c r="U47" s="10"/>
      <c r="V47" s="10"/>
    </row>
    <row r="48" spans="1:22" s="14" customFormat="1" ht="12" thickBot="1">
      <c r="A48" s="15" t="s">
        <v>932</v>
      </c>
      <c r="D48" s="13"/>
      <c r="L48" s="13"/>
      <c r="M48" s="13"/>
      <c r="N48" s="13"/>
      <c r="O48" s="13"/>
      <c r="P48" s="13"/>
      <c r="R48" s="13"/>
      <c r="S48" s="13"/>
      <c r="U48" s="13"/>
      <c r="V48" s="13"/>
    </row>
    <row r="49" spans="1:46" ht="12" thickBot="1">
      <c r="A49" t="str">
        <f>HYPERLINK("http://exon.niaid.nih.gov/transcriptome/Tx_amboinensis_sialome/Table_1/links/TX-contig_35.txt","TX-contig_35")</f>
        <v>TX-contig_35</v>
      </c>
      <c r="B49" t="str">
        <f>HYPERLINK("http://exon.niaid.nih.gov/transcriptome/Tx_amboinensis_sialome/Table_1/links/TX-5-90-90-asb-35.txt","Contig-35")</f>
        <v>Contig-35</v>
      </c>
      <c r="C49" t="str">
        <f>HYPERLINK("http://exon.niaid.nih.gov/transcriptome/Tx_amboinensis_sialome/Table_1/links/TX-5-90-90-35-CLU.txt","Contig35")</f>
        <v>Contig35</v>
      </c>
      <c r="D49" s="4">
        <v>2</v>
      </c>
      <c r="E49">
        <v>335</v>
      </c>
      <c r="F49" t="s">
        <v>322</v>
      </c>
      <c r="G49">
        <v>53.1</v>
      </c>
      <c r="H49">
        <v>316</v>
      </c>
      <c r="I49">
        <v>35</v>
      </c>
      <c r="J49" t="s">
        <v>358</v>
      </c>
      <c r="K49">
        <v>316</v>
      </c>
      <c r="L49" s="3" t="s">
        <v>1036</v>
      </c>
      <c r="M49" s="4">
        <v>0</v>
      </c>
      <c r="N49" s="4">
        <v>0</v>
      </c>
      <c r="O49" s="4">
        <v>0</v>
      </c>
      <c r="P49" s="4">
        <v>0</v>
      </c>
      <c r="Q49" s="5" t="s">
        <v>1080</v>
      </c>
      <c r="R49" s="2" t="str">
        <f>HYPERLINK("http://exon.niaid.nih.gov/transcriptome/Tx_amboinensis_sialome/Table_1/links/NR\TX-contig_35-NR.txt","hexamerin 2 beta [Aedes aegypti]          107   1e-025")</f>
        <v>hexamerin 2 beta [Aedes aegypti]          107   1e-025</v>
      </c>
      <c r="S49" s="4" t="str">
        <f>HYPERLINK("http://www.ncbi.nlm.nih.gov/sutils/blink.cgi?pid=108869754","1E-025")</f>
        <v>1E-025</v>
      </c>
      <c r="T49" t="s">
        <v>129</v>
      </c>
      <c r="U49" s="4">
        <v>83</v>
      </c>
      <c r="V49" s="4">
        <v>8</v>
      </c>
      <c r="W49" t="s">
        <v>901</v>
      </c>
      <c r="X49" t="s">
        <v>130</v>
      </c>
      <c r="Y49" t="s">
        <v>265</v>
      </c>
      <c r="Z49" s="2" t="s">
        <v>266</v>
      </c>
      <c r="AA49">
        <f>HYPERLINK("http://exon.niaid.nih.gov/transcriptome/Tx_amboinensis_sialome/Table_1/links/GO\TX-contig_35-GO.txt",0.0000000000001)</f>
        <v>0</v>
      </c>
      <c r="AB49" t="s">
        <v>267</v>
      </c>
      <c r="AC49" t="s">
        <v>267</v>
      </c>
      <c r="AE49" t="s">
        <v>268</v>
      </c>
      <c r="AF49">
        <v>1E-13</v>
      </c>
      <c r="AG49" s="2" t="str">
        <f>HYPERLINK("http://exon.niaid.nih.gov/transcriptome/Tx_amboinensis_sialome/Table_1/links/KOG\TX-contig_35-KOG.txt","Checkpoint RAD17-RFC complex, RAD17/RAD24 component")</f>
        <v>Checkpoint RAD17-RFC complex, RAD17/RAD24 component</v>
      </c>
      <c r="AH49" t="str">
        <f>HYPERLINK("http://www.ncbi.nlm.nih.gov/COG/new/shokog.cgi?KOG1970","0.094")</f>
        <v>0.094</v>
      </c>
      <c r="AI49" t="s">
        <v>269</v>
      </c>
      <c r="AJ49" s="2" t="str">
        <f>HYPERLINK("http://exon.niaid.nih.gov/transcriptome/Tx_amboinensis_sialome/Table_1/links/CDD\TX-contig_35-CDD.txt","Hemocyanin_C")</f>
        <v>Hemocyanin_C</v>
      </c>
      <c r="AK49" t="str">
        <f>HYPERLINK("http://www.ncbi.nlm.nih.gov/Structure/cdd/cddsrv.cgi?uid=pfam03723&amp;version=v4.0","1E-010")</f>
        <v>1E-010</v>
      </c>
      <c r="AL49" t="s">
        <v>270</v>
      </c>
      <c r="AM49" s="2" t="str">
        <f>HYPERLINK("http://exon.niaid.nih.gov/transcriptome/Tx_amboinensis_sialome/Table_1/links/PFAM\TX-contig_35-PFAM.txt","Hemocyanin_C")</f>
        <v>Hemocyanin_C</v>
      </c>
      <c r="AN49" t="str">
        <f>HYPERLINK("http://pfam.wustl.edu/cgi-bin/getdesc?acc=PF03723","7E-011")</f>
        <v>7E-011</v>
      </c>
      <c r="AO49" s="2" t="s">
        <v>324</v>
      </c>
      <c r="AP49" t="s">
        <v>324</v>
      </c>
      <c r="AQ49" s="2" t="s">
        <v>324</v>
      </c>
      <c r="AR49" t="s">
        <v>324</v>
      </c>
      <c r="AS49" s="2" t="s">
        <v>324</v>
      </c>
      <c r="AT49" t="s">
        <v>324</v>
      </c>
    </row>
    <row r="50" spans="1:22" s="14" customFormat="1" ht="12" thickBot="1">
      <c r="A50" s="15" t="s">
        <v>933</v>
      </c>
      <c r="D50" s="13"/>
      <c r="L50" s="13"/>
      <c r="M50" s="13"/>
      <c r="N50" s="13"/>
      <c r="O50" s="13"/>
      <c r="P50" s="13"/>
      <c r="R50" s="13"/>
      <c r="S50" s="13"/>
      <c r="U50" s="13"/>
      <c r="V50" s="13"/>
    </row>
    <row r="51" spans="1:46" ht="12" thickBot="1">
      <c r="A51" t="str">
        <f>HYPERLINK("http://exon.niaid.nih.gov/transcriptome/Tx_amboinensis_sialome/Table_1/links/TX-contig_124.txt","TX-contig_124")</f>
        <v>TX-contig_124</v>
      </c>
      <c r="B51" t="str">
        <f>HYPERLINK("http://exon.niaid.nih.gov/transcriptome/Tx_amboinensis_sialome/Table_1/links/TX-5-90-90-asb-124.txt","Contig-124")</f>
        <v>Contig-124</v>
      </c>
      <c r="C51" t="str">
        <f>HYPERLINK("http://exon.niaid.nih.gov/transcriptome/Tx_amboinensis_sialome/Table_1/links/TX-5-90-90-124-CLU.txt","Contig124")</f>
        <v>Contig124</v>
      </c>
      <c r="D51" s="4">
        <v>1</v>
      </c>
      <c r="E51">
        <v>252</v>
      </c>
      <c r="F51">
        <v>0.8</v>
      </c>
      <c r="G51">
        <v>61.5</v>
      </c>
      <c r="H51" t="s">
        <v>324</v>
      </c>
      <c r="I51">
        <v>124</v>
      </c>
      <c r="J51" t="s">
        <v>440</v>
      </c>
      <c r="K51" t="s">
        <v>324</v>
      </c>
      <c r="L51" s="3" t="s">
        <v>1036</v>
      </c>
      <c r="M51" s="4">
        <v>0</v>
      </c>
      <c r="N51" s="4">
        <v>0</v>
      </c>
      <c r="O51" s="4">
        <v>0</v>
      </c>
      <c r="P51" s="4">
        <v>0</v>
      </c>
      <c r="Q51" s="5" t="s">
        <v>1091</v>
      </c>
      <c r="R51" s="2" t="str">
        <f>HYPERLINK("http://exon.niaid.nih.gov/transcriptome/Tx_amboinensis_sialome/Table_1/links/NR\TX-contig_124-NR.txt","PHD Zn finger-containing protei")</f>
        <v>PHD Zn finger-containing protei</v>
      </c>
      <c r="S51" s="4" t="str">
        <f>HYPERLINK("http://www.ncbi.nlm.nih.gov/sutils/blink.cgi?pid=111218572","7E-007")</f>
        <v>7E-007</v>
      </c>
      <c r="T51" t="s">
        <v>131</v>
      </c>
      <c r="U51" s="4">
        <v>40</v>
      </c>
      <c r="V51" s="4">
        <v>4</v>
      </c>
      <c r="W51" t="s">
        <v>132</v>
      </c>
      <c r="X51" t="s">
        <v>133</v>
      </c>
      <c r="Y51" t="s">
        <v>1109</v>
      </c>
      <c r="Z51" s="2" t="s">
        <v>1110</v>
      </c>
      <c r="AA51">
        <f>HYPERLINK("http://exon.niaid.nih.gov/transcriptome/Tx_amboinensis_sialome/Table_1/links/GO\TX-contig_124-GO.txt",0.000003)</f>
        <v>0</v>
      </c>
      <c r="AB51" t="s">
        <v>836</v>
      </c>
      <c r="AC51" t="s">
        <v>837</v>
      </c>
      <c r="AD51" t="s">
        <v>838</v>
      </c>
      <c r="AE51" t="s">
        <v>839</v>
      </c>
      <c r="AF51">
        <v>3E-06</v>
      </c>
      <c r="AG51" s="2" t="str">
        <f>HYPERLINK("http://exon.niaid.nih.gov/transcriptome/Tx_amboinensis_sialome/Table_1/links/KOG\TX-contig_124-KOG.txt","U4/U6-associated splicing factor PRP4")</f>
        <v>U4/U6-associated splicing factor PRP4</v>
      </c>
      <c r="AH51" t="str">
        <f>HYPERLINK("http://www.ncbi.nlm.nih.gov/COG/new/shokog.cgi?KOG0670","7E-007")</f>
        <v>7E-007</v>
      </c>
      <c r="AI51" t="s">
        <v>906</v>
      </c>
      <c r="AJ51" s="2" t="str">
        <f>HYPERLINK("http://exon.niaid.nih.gov/transcriptome/Tx_amboinensis_sialome/Table_1/links/CDD\TX-contig_124-CDD.txt","Competence")</f>
        <v>Competence</v>
      </c>
      <c r="AK51" t="str">
        <f>HYPERLINK("http://www.ncbi.nlm.nih.gov/Structure/cdd/cddsrv.cgi?uid=pfam03772&amp;version=v4.0","2E-004")</f>
        <v>2E-004</v>
      </c>
      <c r="AL51" t="s">
        <v>1111</v>
      </c>
      <c r="AM51" s="2" t="str">
        <f>HYPERLINK("http://exon.niaid.nih.gov/transcriptome/Tx_amboinensis_sialome/Table_1/links/PFAM\TX-contig_124-PFAM.txt","Competence")</f>
        <v>Competence</v>
      </c>
      <c r="AN51" t="str">
        <f>HYPERLINK("http://pfam.wustl.edu/cgi-bin/getdesc?acc=PF03772","1E-004")</f>
        <v>1E-004</v>
      </c>
      <c r="AO51" s="2" t="str">
        <f>HYPERLINK("http://exon.niaid.nih.gov/transcriptome/Tx_amboinensis_sialome/Table_1/links/SMART\TX-contig_124-SMART.txt","TLC")</f>
        <v>TLC</v>
      </c>
      <c r="AP51" t="str">
        <f>HYPERLINK("http://smart.embl-heidelberg.de/smart/do_annotation.pl?DOMAIN=TLC&amp;BLAST=DUMMY","0.002")</f>
        <v>0.002</v>
      </c>
      <c r="AQ51" s="2" t="s">
        <v>324</v>
      </c>
      <c r="AR51" t="s">
        <v>324</v>
      </c>
      <c r="AS51" s="2" t="s">
        <v>324</v>
      </c>
      <c r="AT51" t="s">
        <v>324</v>
      </c>
    </row>
    <row r="52" spans="1:22" s="14" customFormat="1" ht="12" thickBot="1">
      <c r="A52" s="15" t="s">
        <v>934</v>
      </c>
      <c r="D52" s="13"/>
      <c r="L52" s="13"/>
      <c r="M52" s="13"/>
      <c r="N52" s="13"/>
      <c r="O52" s="13"/>
      <c r="P52" s="13"/>
      <c r="R52" s="13"/>
      <c r="S52" s="13"/>
      <c r="U52" s="13"/>
      <c r="V52" s="13"/>
    </row>
    <row r="53" spans="1:46" ht="12" thickBot="1">
      <c r="A53" t="str">
        <f>HYPERLINK("http://exon.niaid.nih.gov/transcriptome/Tx_amboinensis_sialome/Table_1/links/TX-contig_343.txt","TX-contig_343")</f>
        <v>TX-contig_343</v>
      </c>
      <c r="B53" t="str">
        <f>HYPERLINK("http://exon.niaid.nih.gov/transcriptome/Tx_amboinensis_sialome/Table_1/links/TX-5-90-90-asb-343.txt","Contig-343")</f>
        <v>Contig-343</v>
      </c>
      <c r="C53" t="str">
        <f>HYPERLINK("http://exon.niaid.nih.gov/transcriptome/Tx_amboinensis_sialome/Table_1/links/TX-5-90-90-343-CLU.txt","Contig343")</f>
        <v>Contig343</v>
      </c>
      <c r="D53" s="4">
        <v>1</v>
      </c>
      <c r="E53">
        <v>196</v>
      </c>
      <c r="F53" t="s">
        <v>322</v>
      </c>
      <c r="G53">
        <v>63.8</v>
      </c>
      <c r="H53">
        <v>177</v>
      </c>
      <c r="I53">
        <v>343</v>
      </c>
      <c r="J53" t="s">
        <v>1197</v>
      </c>
      <c r="K53">
        <v>177</v>
      </c>
      <c r="L53" s="3" t="s">
        <v>1035</v>
      </c>
      <c r="M53" s="4">
        <v>0</v>
      </c>
      <c r="N53" s="4">
        <v>0</v>
      </c>
      <c r="O53" s="4">
        <v>1</v>
      </c>
      <c r="P53" s="4">
        <v>0</v>
      </c>
      <c r="Q53" s="5" t="s">
        <v>1101</v>
      </c>
      <c r="R53" s="2" t="str">
        <f>HYPERLINK("http://exon.niaid.nih.gov/transcriptome/Tx_amboinensis_sialome/Table_1/links/NR\TX-contig_343-NR.txt","Phosphoinositide-3-kinase, class 2, ")</f>
        <v>Phosphoinositide-3-kinase, class 2, </v>
      </c>
      <c r="S53" s="4" t="str">
        <f>HYPERLINK("http://www.ncbi.nlm.nih.gov/sutils/blink.cgi?pid=109731357","1.8")</f>
        <v>1.8</v>
      </c>
      <c r="T53" t="s">
        <v>134</v>
      </c>
      <c r="U53" s="4">
        <v>42</v>
      </c>
      <c r="V53" s="4">
        <v>2</v>
      </c>
      <c r="W53" t="s">
        <v>769</v>
      </c>
      <c r="X53" t="s">
        <v>135</v>
      </c>
      <c r="Y53" t="s">
        <v>770</v>
      </c>
      <c r="Z53" s="2" t="s">
        <v>771</v>
      </c>
      <c r="AA53">
        <f>HYPERLINK("http://exon.niaid.nih.gov/transcriptome/Tx_amboinensis_sialome/Table_1/links/GO\TX-contig_343-GO.txt",0.051)</f>
        <v>0</v>
      </c>
      <c r="AB53" t="s">
        <v>772</v>
      </c>
      <c r="AC53" t="s">
        <v>174</v>
      </c>
      <c r="AD53" t="s">
        <v>773</v>
      </c>
      <c r="AE53" t="s">
        <v>774</v>
      </c>
      <c r="AF53">
        <v>0.051</v>
      </c>
      <c r="AG53" s="2" t="s">
        <v>324</v>
      </c>
      <c r="AH53" t="s">
        <v>324</v>
      </c>
      <c r="AI53" t="s">
        <v>324</v>
      </c>
      <c r="AJ53" s="2" t="str">
        <f>HYPERLINK("http://exon.niaid.nih.gov/transcriptome/Tx_amboinensis_sialome/Table_1/links/CDD\TX-contig_343-CDD.txt","DUF227")</f>
        <v>DUF227</v>
      </c>
      <c r="AK53" t="str">
        <f>HYPERLINK("http://www.ncbi.nlm.nih.gov/Structure/cdd/cddsrv.cgi?uid=pfam02958&amp;version=v4.0","0.11")</f>
        <v>0.11</v>
      </c>
      <c r="AL53" t="s">
        <v>775</v>
      </c>
      <c r="AM53" s="2" t="str">
        <f>HYPERLINK("http://exon.niaid.nih.gov/transcriptome/Tx_amboinensis_sialome/Table_1/links/PFAM\TX-contig_343-PFAM.txt","DUF227")</f>
        <v>DUF227</v>
      </c>
      <c r="AN53" t="str">
        <f>HYPERLINK("http://pfam.wustl.edu/cgi-bin/getdesc?acc=PF02958","0.057")</f>
        <v>0.057</v>
      </c>
      <c r="AO53" s="2" t="str">
        <f>HYPERLINK("http://exon.niaid.nih.gov/transcriptome/Tx_amboinensis_sialome/Table_1/links/SMART\TX-contig_343-SMART.txt","CHK")</f>
        <v>CHK</v>
      </c>
      <c r="AP53" t="str">
        <f>HYPERLINK("http://smart.embl-heidelberg.de/smart/do_annotation.pl?DOMAIN=CHK&amp;BLAST=DUMMY","0.010")</f>
        <v>0.010</v>
      </c>
      <c r="AQ53" s="2" t="s">
        <v>324</v>
      </c>
      <c r="AR53" t="s">
        <v>324</v>
      </c>
      <c r="AS53" s="2" t="s">
        <v>324</v>
      </c>
      <c r="AT53" t="s">
        <v>324</v>
      </c>
    </row>
    <row r="54" spans="1:22" s="14" customFormat="1" ht="12" thickBot="1">
      <c r="A54" s="15" t="s">
        <v>935</v>
      </c>
      <c r="D54" s="13"/>
      <c r="L54" s="13"/>
      <c r="M54" s="13"/>
      <c r="N54" s="13"/>
      <c r="O54" s="13"/>
      <c r="P54" s="13"/>
      <c r="R54" s="13"/>
      <c r="S54" s="13"/>
      <c r="U54" s="13"/>
      <c r="V54" s="13"/>
    </row>
    <row r="55" spans="1:46" ht="11.25">
      <c r="A55" t="str">
        <f>HYPERLINK("http://exon.niaid.nih.gov/transcriptome/Tx_amboinensis_sialome/Table_1/links/TX-contig_104.txt","TX-contig_104")</f>
        <v>TX-contig_104</v>
      </c>
      <c r="B55" t="str">
        <f>HYPERLINK("http://exon.niaid.nih.gov/transcriptome/Tx_amboinensis_sialome/Table_1/links/TX-5-90-90-asb-104.txt","Contig-104")</f>
        <v>Contig-104</v>
      </c>
      <c r="C55" t="str">
        <f>HYPERLINK("http://exon.niaid.nih.gov/transcriptome/Tx_amboinensis_sialome/Table_1/links/TX-5-90-90-104-CLU.txt","Contig104")</f>
        <v>Contig104</v>
      </c>
      <c r="D55" s="4">
        <v>1</v>
      </c>
      <c r="E55">
        <v>284</v>
      </c>
      <c r="F55" t="s">
        <v>322</v>
      </c>
      <c r="G55">
        <v>61.6</v>
      </c>
      <c r="H55">
        <v>265</v>
      </c>
      <c r="I55">
        <v>104</v>
      </c>
      <c r="J55" t="s">
        <v>421</v>
      </c>
      <c r="K55">
        <v>265</v>
      </c>
      <c r="L55" s="3" t="s">
        <v>1036</v>
      </c>
      <c r="M55" s="4">
        <v>0</v>
      </c>
      <c r="N55" s="4">
        <v>0</v>
      </c>
      <c r="O55" s="4">
        <v>0</v>
      </c>
      <c r="P55" s="4">
        <v>0</v>
      </c>
      <c r="Q55" s="5" t="s">
        <v>1066</v>
      </c>
      <c r="R55" s="2" t="str">
        <f>HYPERLINK("http://exon.niaid.nih.gov/transcriptome/Tx_amboinensis_sialome/Table_1/links/NR\TX-contig_104-NR.txt","40S ribosomal protein S12 [Aedes aegy")</f>
        <v>40S ribosomal protein S12 [Aedes aegy</v>
      </c>
      <c r="S55" s="4" t="str">
        <f>HYPERLINK("http://www.ncbi.nlm.nih.gov/sutils/blink.cgi?pid=94468510","2E-034")</f>
        <v>2E-034</v>
      </c>
      <c r="T55" t="s">
        <v>136</v>
      </c>
      <c r="U55" s="4">
        <v>98</v>
      </c>
      <c r="V55" s="4">
        <v>51</v>
      </c>
      <c r="W55" t="s">
        <v>901</v>
      </c>
      <c r="X55" t="s">
        <v>137</v>
      </c>
      <c r="Y55" t="s">
        <v>285</v>
      </c>
      <c r="Z55" s="2" t="s">
        <v>286</v>
      </c>
      <c r="AA55">
        <f>HYPERLINK("http://exon.niaid.nih.gov/transcriptome/Tx_amboinensis_sialome/Table_1/links/GO\TX-contig_104-GO.txt",3E-27)</f>
        <v>0</v>
      </c>
      <c r="AB55" t="s">
        <v>722</v>
      </c>
      <c r="AC55" t="s">
        <v>911</v>
      </c>
      <c r="AD55" t="s">
        <v>723</v>
      </c>
      <c r="AE55" t="s">
        <v>724</v>
      </c>
      <c r="AF55" s="1">
        <v>3E-27</v>
      </c>
      <c r="AG55" s="2" t="str">
        <f>HYPERLINK("http://exon.niaid.nih.gov/transcriptome/Tx_amboinensis_sialome/Table_1/links/KOG\TX-contig_104-KOG.txt","40S ribosomal protein S12")</f>
        <v>40S ribosomal protein S12</v>
      </c>
      <c r="AH55" t="str">
        <f>HYPERLINK("http://www.ncbi.nlm.nih.gov/COG/new/shokog.cgi?KOG3406","2E-024")</f>
        <v>2E-024</v>
      </c>
      <c r="AI55" t="s">
        <v>725</v>
      </c>
      <c r="AJ55" s="2" t="str">
        <f>HYPERLINK("http://exon.niaid.nih.gov/transcriptome/Tx_amboinensis_sialome/Table_1/links/CDD\TX-contig_104-CDD.txt","Ribosomal_L7Ae")</f>
        <v>Ribosomal_L7Ae</v>
      </c>
      <c r="AK55" t="str">
        <f>HYPERLINK("http://www.ncbi.nlm.nih.gov/Structure/cdd/cddsrv.cgi?uid=pfam01248&amp;version=v4.0","2E-008")</f>
        <v>2E-008</v>
      </c>
      <c r="AL55" t="s">
        <v>287</v>
      </c>
      <c r="AM55" s="2" t="str">
        <f>HYPERLINK("http://exon.niaid.nih.gov/transcriptome/Tx_amboinensis_sialome/Table_1/links/PFAM\TX-contig_104-PFAM.txt","Ribosomal_L7Ae")</f>
        <v>Ribosomal_L7Ae</v>
      </c>
      <c r="AN55" t="str">
        <f>HYPERLINK("http://pfam.wustl.edu/cgi-bin/getdesc?acc=PF01248","8E-009")</f>
        <v>8E-009</v>
      </c>
      <c r="AO55" s="2" t="str">
        <f>HYPERLINK("http://exon.niaid.nih.gov/transcriptome/Tx_amboinensis_sialome/Table_1/links/SMART\TX-contig_104-SMART.txt","ANATO")</f>
        <v>ANATO</v>
      </c>
      <c r="AP55" t="str">
        <f>HYPERLINK("http://smart.embl-heidelberg.de/smart/do_annotation.pl?DOMAIN=ANATO&amp;BLAST=DUMMY","0.30")</f>
        <v>0.30</v>
      </c>
      <c r="AQ55" s="2" t="s">
        <v>324</v>
      </c>
      <c r="AR55" t="s">
        <v>324</v>
      </c>
      <c r="AS55" s="2" t="s">
        <v>324</v>
      </c>
      <c r="AT55" t="s">
        <v>324</v>
      </c>
    </row>
    <row r="56" spans="1:46" ht="11.25">
      <c r="A56" t="str">
        <f>HYPERLINK("http://exon.niaid.nih.gov/transcriptome/Tx_amboinensis_sialome/Table_1/links/TX-contig_444.txt","TX-contig_444")</f>
        <v>TX-contig_444</v>
      </c>
      <c r="B56" t="str">
        <f>HYPERLINK("http://exon.niaid.nih.gov/transcriptome/Tx_amboinensis_sialome/Table_1/links/TX-5-90-90-asb-444.txt","Contig-444")</f>
        <v>Contig-444</v>
      </c>
      <c r="C56" t="str">
        <f>HYPERLINK("http://exon.niaid.nih.gov/transcriptome/Tx_amboinensis_sialome/Table_1/links/TX-5-90-90-444-CLU.txt","Contig444")</f>
        <v>Contig444</v>
      </c>
      <c r="D56" s="4">
        <v>1</v>
      </c>
      <c r="E56">
        <v>332</v>
      </c>
      <c r="F56">
        <v>0.6</v>
      </c>
      <c r="G56">
        <v>55.4</v>
      </c>
      <c r="H56">
        <v>313</v>
      </c>
      <c r="I56">
        <v>444</v>
      </c>
      <c r="J56" t="s">
        <v>1298</v>
      </c>
      <c r="K56">
        <v>313</v>
      </c>
      <c r="L56" s="3" t="s">
        <v>1036</v>
      </c>
      <c r="M56" s="4">
        <v>0</v>
      </c>
      <c r="N56" s="4">
        <v>0</v>
      </c>
      <c r="O56" s="4">
        <v>0</v>
      </c>
      <c r="P56" s="4">
        <v>0</v>
      </c>
      <c r="Q56" s="5" t="s">
        <v>1058</v>
      </c>
      <c r="R56" s="2" t="str">
        <f>HYPERLINK("http://exon.niaid.nih.gov/transcriptome/Tx_amboinensis_sialome/Table_1/links/NR\TX-contig_444-NR.txt","ENSANGP00000010842 [Anopheles gambiae")</f>
        <v>ENSANGP00000010842 [Anopheles gambiae</v>
      </c>
      <c r="S56" s="4" t="str">
        <f>HYPERLINK("http://www.ncbi.nlm.nih.gov/sutils/blink.cgi?pid=30175857","3E-035")</f>
        <v>3E-035</v>
      </c>
      <c r="T56" t="s">
        <v>138</v>
      </c>
      <c r="U56" s="4">
        <v>93</v>
      </c>
      <c r="V56" s="4">
        <v>53</v>
      </c>
      <c r="W56" t="s">
        <v>719</v>
      </c>
      <c r="X56" t="s">
        <v>139</v>
      </c>
      <c r="Y56" t="s">
        <v>1006</v>
      </c>
      <c r="Z56" s="2" t="s">
        <v>1007</v>
      </c>
      <c r="AA56">
        <f>HYPERLINK("http://exon.niaid.nih.gov/transcriptome/Tx_amboinensis_sialome/Table_1/links/GO\TX-contig_444-GO.txt",2E-33)</f>
        <v>0</v>
      </c>
      <c r="AB56" t="s">
        <v>722</v>
      </c>
      <c r="AC56" t="s">
        <v>911</v>
      </c>
      <c r="AD56" t="s">
        <v>723</v>
      </c>
      <c r="AE56" t="s">
        <v>724</v>
      </c>
      <c r="AF56" s="1">
        <v>2E-33</v>
      </c>
      <c r="AG56" s="2" t="str">
        <f>HYPERLINK("http://exon.niaid.nih.gov/transcriptome/Tx_amboinensis_sialome/Table_1/links/KOG\TX-contig_444-KOG.txt","40S ribosomal protein S13")</f>
        <v>40S ribosomal protein S13</v>
      </c>
      <c r="AH56" t="str">
        <f>HYPERLINK("http://www.ncbi.nlm.nih.gov/COG/new/shokog.cgi?KOG0400","3E-037")</f>
        <v>3E-037</v>
      </c>
      <c r="AI56" t="s">
        <v>725</v>
      </c>
      <c r="AJ56" s="2" t="str">
        <f>HYPERLINK("http://exon.niaid.nih.gov/transcriptome/Tx_amboinensis_sialome/Table_1/links/CDD\TX-contig_444-CDD.txt","Ribosomal_S15")</f>
        <v>Ribosomal_S15</v>
      </c>
      <c r="AK56" t="str">
        <f>HYPERLINK("http://www.ncbi.nlm.nih.gov/Structure/cdd/cddsrv.cgi?uid=pfam00312&amp;version=v4.0","6E-016")</f>
        <v>6E-016</v>
      </c>
      <c r="AL56" t="s">
        <v>1008</v>
      </c>
      <c r="AM56" s="2" t="str">
        <f>HYPERLINK("http://exon.niaid.nih.gov/transcriptome/Tx_amboinensis_sialome/Table_1/links/PFAM\TX-contig_444-PFAM.txt","Ribosomal_S15")</f>
        <v>Ribosomal_S15</v>
      </c>
      <c r="AN56" t="str">
        <f>HYPERLINK("http://pfam.wustl.edu/cgi-bin/getdesc?acc=PF00312","3E-016")</f>
        <v>3E-016</v>
      </c>
      <c r="AO56" s="2" t="str">
        <f>HYPERLINK("http://exon.niaid.nih.gov/transcriptome/Tx_amboinensis_sialome/Table_1/links/SMART\TX-contig_444-SMART.txt","cNMP")</f>
        <v>cNMP</v>
      </c>
      <c r="AP56" t="str">
        <f>HYPERLINK("http://smart.embl-heidelberg.de/smart/do_annotation.pl?DOMAIN=cNMP&amp;BLAST=DUMMY","0.12")</f>
        <v>0.12</v>
      </c>
      <c r="AQ56" s="2" t="s">
        <v>324</v>
      </c>
      <c r="AR56" t="s">
        <v>324</v>
      </c>
      <c r="AS56" s="2" t="s">
        <v>324</v>
      </c>
      <c r="AT56" t="s">
        <v>324</v>
      </c>
    </row>
    <row r="57" spans="1:46" ht="11.25">
      <c r="A57" t="str">
        <f>HYPERLINK("http://exon.niaid.nih.gov/transcriptome/Tx_amboinensis_sialome/Table_1/links/TX-contig_170.txt","TX-contig_170")</f>
        <v>TX-contig_170</v>
      </c>
      <c r="B57" t="str">
        <f>HYPERLINK("http://exon.niaid.nih.gov/transcriptome/Tx_amboinensis_sialome/Table_1/links/TX-5-90-90-asb-170.txt","Contig-170")</f>
        <v>Contig-170</v>
      </c>
      <c r="C57" t="str">
        <f>HYPERLINK("http://exon.niaid.nih.gov/transcriptome/Tx_amboinensis_sialome/Table_1/links/TX-5-90-90-170-CLU.txt","Contig170")</f>
        <v>Contig170</v>
      </c>
      <c r="D57" s="4">
        <v>1</v>
      </c>
      <c r="E57">
        <v>381</v>
      </c>
      <c r="F57">
        <v>0.3</v>
      </c>
      <c r="G57">
        <v>52.8</v>
      </c>
      <c r="H57">
        <v>362</v>
      </c>
      <c r="I57">
        <v>170</v>
      </c>
      <c r="J57" t="s">
        <v>483</v>
      </c>
      <c r="K57">
        <v>362</v>
      </c>
      <c r="L57" s="3" t="s">
        <v>1035</v>
      </c>
      <c r="M57" s="4">
        <v>0</v>
      </c>
      <c r="N57" s="4">
        <v>0</v>
      </c>
      <c r="O57" s="4">
        <v>1</v>
      </c>
      <c r="P57" s="4">
        <v>0</v>
      </c>
      <c r="Q57" s="5" t="s">
        <v>1072</v>
      </c>
      <c r="R57" s="2" t="str">
        <f>HYPERLINK("http://exon.niaid.nih.gov/transcriptome/Tx_amboinensis_sialome/Table_1/links/NR\TX-contig_170-NR.txt","ribosomal protein S27 [Aedes albopict")</f>
        <v>ribosomal protein S27 [Aedes albopict</v>
      </c>
      <c r="S57" s="4" t="str">
        <f>HYPERLINK("http://www.ncbi.nlm.nih.gov/sutils/blink.cgi?pid=56417556","8E-017")</f>
        <v>8E-017</v>
      </c>
      <c r="T57" t="s">
        <v>685</v>
      </c>
      <c r="U57" s="4">
        <v>100</v>
      </c>
      <c r="V57" s="4">
        <v>48</v>
      </c>
      <c r="W57" t="s">
        <v>901</v>
      </c>
      <c r="X57" t="s">
        <v>140</v>
      </c>
      <c r="Y57" t="s">
        <v>686</v>
      </c>
      <c r="Z57" s="2" t="s">
        <v>1303</v>
      </c>
      <c r="AA57">
        <f>HYPERLINK("http://exon.niaid.nih.gov/transcriptome/Tx_amboinensis_sialome/Table_1/links/GO\TX-contig_170-GO.txt",0.000000000000004)</f>
        <v>0</v>
      </c>
      <c r="AB57" t="s">
        <v>722</v>
      </c>
      <c r="AC57" t="s">
        <v>911</v>
      </c>
      <c r="AD57" t="s">
        <v>723</v>
      </c>
      <c r="AE57" t="s">
        <v>724</v>
      </c>
      <c r="AF57">
        <v>4E-15</v>
      </c>
      <c r="AG57" s="2" t="str">
        <f>HYPERLINK("http://exon.niaid.nih.gov/transcriptome/Tx_amboinensis_sialome/Table_1/links/KOG\TX-contig_170-KOG.txt","40s ribosomal protein S27")</f>
        <v>40s ribosomal protein S27</v>
      </c>
      <c r="AH57" t="str">
        <f>HYPERLINK("http://www.ncbi.nlm.nih.gov/COG/new/shokog.cgi?KOG1779","8E-016")</f>
        <v>8E-016</v>
      </c>
      <c r="AI57" t="s">
        <v>725</v>
      </c>
      <c r="AJ57" s="2" t="str">
        <f>HYPERLINK("http://exon.niaid.nih.gov/transcriptome/Tx_amboinensis_sialome/Table_1/links/CDD\TX-contig_170-CDD.txt","Ribosomal_S27e")</f>
        <v>Ribosomal_S27e</v>
      </c>
      <c r="AK57" t="str">
        <f>HYPERLINK("http://www.ncbi.nlm.nih.gov/Structure/cdd/cddsrv.cgi?uid=pfam01667&amp;version=v4.0","3E-013")</f>
        <v>3E-013</v>
      </c>
      <c r="AL57" t="s">
        <v>1304</v>
      </c>
      <c r="AM57" s="2" t="str">
        <f>HYPERLINK("http://exon.niaid.nih.gov/transcriptome/Tx_amboinensis_sialome/Table_1/links/PFAM\TX-contig_170-PFAM.txt","Ribosomal_S27e")</f>
        <v>Ribosomal_S27e</v>
      </c>
      <c r="AN57" t="str">
        <f>HYPERLINK("http://pfam.wustl.edu/cgi-bin/getdesc?acc=PF01667","2E-013")</f>
        <v>2E-013</v>
      </c>
      <c r="AO57" s="2" t="str">
        <f>HYPERLINK("http://exon.niaid.nih.gov/transcriptome/Tx_amboinensis_sialome/Table_1/links/SMART\TX-contig_170-SMART.txt","BPI2")</f>
        <v>BPI2</v>
      </c>
      <c r="AP57" t="str">
        <f>HYPERLINK("http://smart.embl-heidelberg.de/smart/do_annotation.pl?DOMAIN=BPI2&amp;BLAST=DUMMY","0.038")</f>
        <v>0.038</v>
      </c>
      <c r="AQ57" s="2" t="s">
        <v>324</v>
      </c>
      <c r="AR57" t="s">
        <v>324</v>
      </c>
      <c r="AS57" s="2" t="s">
        <v>324</v>
      </c>
      <c r="AT57" t="s">
        <v>324</v>
      </c>
    </row>
    <row r="58" spans="1:46" ht="11.25">
      <c r="A58" t="str">
        <f>HYPERLINK("http://exon.niaid.nih.gov/transcriptome/Tx_amboinensis_sialome/Table_1/links/TX-contig_94.txt","TX-contig_94")</f>
        <v>TX-contig_94</v>
      </c>
      <c r="B58" t="str">
        <f>HYPERLINK("http://exon.niaid.nih.gov/transcriptome/Tx_amboinensis_sialome/Table_1/links/TX-5-90-90-asb-94.txt","Contig-94")</f>
        <v>Contig-94</v>
      </c>
      <c r="C58" t="str">
        <f>HYPERLINK("http://exon.niaid.nih.gov/transcriptome/Tx_amboinensis_sialome/Table_1/links/TX-5-90-90-94-CLU.txt","Contig94")</f>
        <v>Contig94</v>
      </c>
      <c r="D58" s="4">
        <v>1</v>
      </c>
      <c r="E58">
        <v>362</v>
      </c>
      <c r="F58" t="s">
        <v>322</v>
      </c>
      <c r="G58">
        <v>51.1</v>
      </c>
      <c r="H58">
        <v>343</v>
      </c>
      <c r="I58">
        <v>94</v>
      </c>
      <c r="J58" t="s">
        <v>412</v>
      </c>
      <c r="K58">
        <v>343</v>
      </c>
      <c r="L58" s="3" t="s">
        <v>1035</v>
      </c>
      <c r="M58" s="4">
        <v>0</v>
      </c>
      <c r="N58" s="4">
        <v>0</v>
      </c>
      <c r="O58" s="4">
        <v>3</v>
      </c>
      <c r="P58" s="4">
        <v>0</v>
      </c>
      <c r="Q58" s="5" t="s">
        <v>1060</v>
      </c>
      <c r="R58" s="2" t="str">
        <f>HYPERLINK("http://exon.niaid.nih.gov/transcriptome/Tx_amboinensis_sialome/Table_1/links/NR\TX-contig_94-NR.txt","ribosomal protein S3 [Aedes albopictus]    173   2e-042")</f>
        <v>ribosomal protein S3 [Aedes albopictus]    173   2e-042</v>
      </c>
      <c r="S58" s="4" t="str">
        <f>HYPERLINK("http://www.ncbi.nlm.nih.gov/sutils/blink.cgi?pid=70906311","2E-042")</f>
        <v>2E-042</v>
      </c>
      <c r="T58" t="s">
        <v>991</v>
      </c>
      <c r="U58" s="4">
        <v>91</v>
      </c>
      <c r="V58" s="4">
        <v>38</v>
      </c>
      <c r="W58" t="s">
        <v>671</v>
      </c>
      <c r="X58" t="s">
        <v>141</v>
      </c>
      <c r="Y58" t="s">
        <v>992</v>
      </c>
      <c r="Z58" s="2" t="s">
        <v>993</v>
      </c>
      <c r="AA58">
        <f>HYPERLINK("http://exon.niaid.nih.gov/transcriptome/Tx_amboinensis_sialome/Table_1/links/GO\TX-contig_94-GO.txt",6E-33)</f>
        <v>0</v>
      </c>
      <c r="AB58" t="s">
        <v>722</v>
      </c>
      <c r="AC58" t="s">
        <v>911</v>
      </c>
      <c r="AD58" t="s">
        <v>723</v>
      </c>
      <c r="AE58" t="s">
        <v>724</v>
      </c>
      <c r="AF58" s="1">
        <v>6E-33</v>
      </c>
      <c r="AG58" s="2" t="str">
        <f>HYPERLINK("http://exon.niaid.nih.gov/transcriptome/Tx_amboinensis_sialome/Table_1/links/KOG\TX-contig_94-KOG.txt","40S ribosomal protein S3")</f>
        <v>40S ribosomal protein S3</v>
      </c>
      <c r="AH58" t="str">
        <f>HYPERLINK("http://www.ncbi.nlm.nih.gov/COG/new/shokog.cgi?KOG3181","2E-033")</f>
        <v>2E-033</v>
      </c>
      <c r="AI58" t="s">
        <v>725</v>
      </c>
      <c r="AJ58" s="2" t="str">
        <f>HYPERLINK("http://exon.niaid.nih.gov/transcriptome/Tx_amboinensis_sialome/Table_1/links/CDD\TX-contig_94-CDD.txt","RpsC")</f>
        <v>RpsC</v>
      </c>
      <c r="AK58" t="str">
        <f>HYPERLINK("http://www.ncbi.nlm.nih.gov/Structure/cdd/cddsrv.cgi?uid=COG0092&amp;version=v4.0","2E-007")</f>
        <v>2E-007</v>
      </c>
      <c r="AL58" t="s">
        <v>994</v>
      </c>
      <c r="AM58" s="2" t="str">
        <f>HYPERLINK("http://exon.niaid.nih.gov/transcriptome/Tx_amboinensis_sialome/Table_1/links/PFAM\TX-contig_94-PFAM.txt","Ribosomal_S3_C")</f>
        <v>Ribosomal_S3_C</v>
      </c>
      <c r="AN58" t="str">
        <f>HYPERLINK("http://pfam.wustl.edu/cgi-bin/getdesc?acc=PF00189","5E-005")</f>
        <v>5E-005</v>
      </c>
      <c r="AO58" s="2" t="str">
        <f>HYPERLINK("http://exon.niaid.nih.gov/transcriptome/Tx_amboinensis_sialome/Table_1/links/SMART\TX-contig_94-SMART.txt","LamG")</f>
        <v>LamG</v>
      </c>
      <c r="AP58" t="str">
        <f>HYPERLINK("http://smart.embl-heidelberg.de/smart/do_annotation.pl?DOMAIN=LamG&amp;BLAST=DUMMY","0.010")</f>
        <v>0.010</v>
      </c>
      <c r="AQ58" s="2" t="s">
        <v>324</v>
      </c>
      <c r="AR58" t="s">
        <v>324</v>
      </c>
      <c r="AS58" s="2" t="s">
        <v>324</v>
      </c>
      <c r="AT58" t="s">
        <v>324</v>
      </c>
    </row>
    <row r="59" spans="1:46" ht="11.25">
      <c r="A59" t="str">
        <f>HYPERLINK("http://exon.niaid.nih.gov/transcriptome/Tx_amboinensis_sialome/Table_1/links/TX-contig_29.txt","TX-contig_29")</f>
        <v>TX-contig_29</v>
      </c>
      <c r="B59" t="str">
        <f>HYPERLINK("http://exon.niaid.nih.gov/transcriptome/Tx_amboinensis_sialome/Table_1/links/TX-5-90-90-asb-29.txt","Contig-29")</f>
        <v>Contig-29</v>
      </c>
      <c r="C59" t="str">
        <f>HYPERLINK("http://exon.niaid.nih.gov/transcriptome/Tx_amboinensis_sialome/Table_1/links/TX-5-90-90-29-CLU.txt","Contig29")</f>
        <v>Contig29</v>
      </c>
      <c r="D59" s="4">
        <v>2</v>
      </c>
      <c r="E59">
        <v>740</v>
      </c>
      <c r="F59">
        <v>1.9</v>
      </c>
      <c r="G59">
        <v>47.2</v>
      </c>
      <c r="H59" t="s">
        <v>324</v>
      </c>
      <c r="I59">
        <v>29</v>
      </c>
      <c r="J59" t="s">
        <v>352</v>
      </c>
      <c r="K59" t="s">
        <v>324</v>
      </c>
      <c r="L59" s="3" t="s">
        <v>1035</v>
      </c>
      <c r="M59" s="4">
        <v>0</v>
      </c>
      <c r="N59" s="4">
        <v>0</v>
      </c>
      <c r="O59" s="4">
        <v>2</v>
      </c>
      <c r="P59" s="4">
        <v>0</v>
      </c>
      <c r="Q59" s="5" t="s">
        <v>1064</v>
      </c>
      <c r="R59" s="2" t="str">
        <f>HYPERLINK("http://exon.niaid.nih.gov/transcriptome/Tx_amboinensis_sialome/Table_1/links/NR\TX-contig_29-NR.txt","ribosomal protein S6 [Aedes albopictus")</f>
        <v>ribosomal protein S6 [Aedes albopictus</v>
      </c>
      <c r="S59" s="4" t="str">
        <f>HYPERLINK("http://www.ncbi.nlm.nih.gov/sutils/blink.cgi?pid=6166340","2E-064")</f>
        <v>2E-064</v>
      </c>
      <c r="T59" t="s">
        <v>249</v>
      </c>
      <c r="U59" s="4">
        <v>75</v>
      </c>
      <c r="V59" s="4">
        <v>53</v>
      </c>
      <c r="W59" t="s">
        <v>671</v>
      </c>
      <c r="X59" t="s">
        <v>142</v>
      </c>
      <c r="Y59" t="s">
        <v>250</v>
      </c>
      <c r="Z59" s="2" t="s">
        <v>251</v>
      </c>
      <c r="AA59">
        <f>HYPERLINK("http://exon.niaid.nih.gov/transcriptome/Tx_amboinensis_sialome/Table_1/links/GO\TX-contig_29-GO.txt",4E-30)</f>
        <v>0</v>
      </c>
      <c r="AB59" t="s">
        <v>722</v>
      </c>
      <c r="AC59" t="s">
        <v>911</v>
      </c>
      <c r="AD59" t="s">
        <v>723</v>
      </c>
      <c r="AE59" t="s">
        <v>724</v>
      </c>
      <c r="AF59" s="1">
        <v>4E-30</v>
      </c>
      <c r="AG59" s="2" t="str">
        <f>HYPERLINK("http://exon.niaid.nih.gov/transcriptome/Tx_amboinensis_sialome/Table_1/links/KOG\TX-contig_29-KOG.txt","40S ribosomal protein S6")</f>
        <v>40S ribosomal protein S6</v>
      </c>
      <c r="AH59" t="str">
        <f>HYPERLINK("http://www.ncbi.nlm.nih.gov/COG/new/shokog.cgi?KOG1646","1E-028")</f>
        <v>1E-028</v>
      </c>
      <c r="AI59" t="s">
        <v>725</v>
      </c>
      <c r="AJ59" s="2" t="str">
        <f>HYPERLINK("http://exon.niaid.nih.gov/transcriptome/Tx_amboinensis_sialome/Table_1/links/CDD\TX-contig_29-CDD.txt","TolA")</f>
        <v>TolA</v>
      </c>
      <c r="AK59" t="str">
        <f>HYPERLINK("http://www.ncbi.nlm.nih.gov/Structure/cdd/cddsrv.cgi?uid=COG3064&amp;version=v4.0","3E-007")</f>
        <v>3E-007</v>
      </c>
      <c r="AL59" t="s">
        <v>252</v>
      </c>
      <c r="AM59" s="2" t="str">
        <f>HYPERLINK("http://exon.niaid.nih.gov/transcriptome/Tx_amboinensis_sialome/Table_1/links/PFAM\TX-contig_29-PFAM.txt","Caldesmon")</f>
        <v>Caldesmon</v>
      </c>
      <c r="AN59" t="str">
        <f>HYPERLINK("http://pfam.wustl.edu/cgi-bin/getdesc?acc=PF02029","2E-005")</f>
        <v>2E-005</v>
      </c>
      <c r="AO59" s="2" t="str">
        <f>HYPERLINK("http://exon.niaid.nih.gov/transcriptome/Tx_amboinensis_sialome/Table_1/links/SMART\TX-contig_29-SMART.txt","HMG17")</f>
        <v>HMG17</v>
      </c>
      <c r="AP59" t="str">
        <f>HYPERLINK("http://smart.embl-heidelberg.de/smart/do_annotation.pl?DOMAIN=HMG17&amp;BLAST=DUMMY","0.004")</f>
        <v>0.004</v>
      </c>
      <c r="AQ59" s="2" t="s">
        <v>324</v>
      </c>
      <c r="AR59" t="s">
        <v>324</v>
      </c>
      <c r="AS59" s="2" t="s">
        <v>324</v>
      </c>
      <c r="AT59" t="s">
        <v>324</v>
      </c>
    </row>
    <row r="60" spans="1:46" ht="11.25">
      <c r="A60" t="str">
        <f>HYPERLINK("http://exon.niaid.nih.gov/transcriptome/Tx_amboinensis_sialome/Table_1/links/TX-contig_254.txt","TX-contig_254")</f>
        <v>TX-contig_254</v>
      </c>
      <c r="B60" t="str">
        <f>HYPERLINK("http://exon.niaid.nih.gov/transcriptome/Tx_amboinensis_sialome/Table_1/links/TX-5-90-90-asb-254.txt","Contig-254")</f>
        <v>Contig-254</v>
      </c>
      <c r="C60" t="str">
        <f>HYPERLINK("http://exon.niaid.nih.gov/transcriptome/Tx_amboinensis_sialome/Table_1/links/TX-5-90-90-254-CLU.txt","Contig254")</f>
        <v>Contig254</v>
      </c>
      <c r="D60" s="4">
        <v>1</v>
      </c>
      <c r="E60">
        <v>274</v>
      </c>
      <c r="F60" t="s">
        <v>322</v>
      </c>
      <c r="G60">
        <v>61.3</v>
      </c>
      <c r="H60">
        <v>255</v>
      </c>
      <c r="I60">
        <v>254</v>
      </c>
      <c r="J60" t="s">
        <v>567</v>
      </c>
      <c r="K60">
        <v>255</v>
      </c>
      <c r="L60" s="3" t="s">
        <v>1036</v>
      </c>
      <c r="M60" s="4">
        <v>0</v>
      </c>
      <c r="N60" s="4">
        <v>0</v>
      </c>
      <c r="O60" s="4">
        <v>0</v>
      </c>
      <c r="P60" s="4">
        <v>0</v>
      </c>
      <c r="Q60" s="5" t="s">
        <v>1073</v>
      </c>
      <c r="R60" s="2" t="str">
        <f>HYPERLINK("http://exon.niaid.nih.gov/transcriptome/Tx_amboinensis_sialome/Table_1/links/NR\TX-contig_254-NR.txt","S7 ribosomal protein [Aedes aegypti]        91   2e-017")</f>
        <v>S7 ribosomal protein [Aedes aegypti]        91   2e-017</v>
      </c>
      <c r="S60" s="4" t="str">
        <f>HYPERLINK("http://www.ncbi.nlm.nih.gov/sutils/blink.cgi?pid=37181036","2E-017")</f>
        <v>2E-017</v>
      </c>
      <c r="T60" t="s">
        <v>894</v>
      </c>
      <c r="U60" s="4">
        <v>97</v>
      </c>
      <c r="V60" s="4">
        <v>22</v>
      </c>
      <c r="W60" t="s">
        <v>901</v>
      </c>
      <c r="X60" t="s">
        <v>143</v>
      </c>
      <c r="Y60" t="s">
        <v>895</v>
      </c>
      <c r="Z60" s="2" t="s">
        <v>896</v>
      </c>
      <c r="AA60">
        <f>HYPERLINK("http://exon.niaid.nih.gov/transcriptome/Tx_amboinensis_sialome/Table_1/links/GO\TX-contig_254-GO.txt",0.00000000000000002)</f>
        <v>0</v>
      </c>
      <c r="AB60" t="s">
        <v>722</v>
      </c>
      <c r="AC60" t="s">
        <v>911</v>
      </c>
      <c r="AD60" t="s">
        <v>723</v>
      </c>
      <c r="AE60" t="s">
        <v>724</v>
      </c>
      <c r="AF60" s="1">
        <v>2E-17</v>
      </c>
      <c r="AG60" s="2" t="str">
        <f>HYPERLINK("http://exon.niaid.nih.gov/transcriptome/Tx_amboinensis_sialome/Table_1/links/KOG\TX-contig_254-KOG.txt","40S ribosomal protein S7")</f>
        <v>40S ribosomal protein S7</v>
      </c>
      <c r="AH60" t="str">
        <f>HYPERLINK("http://www.ncbi.nlm.nih.gov/COG/new/shokog.cgi?KOG3320","3E-015")</f>
        <v>3E-015</v>
      </c>
      <c r="AI60" t="s">
        <v>725</v>
      </c>
      <c r="AJ60" s="2" t="str">
        <f>HYPERLINK("http://exon.niaid.nih.gov/transcriptome/Tx_amboinensis_sialome/Table_1/links/CDD\TX-contig_254-CDD.txt","Ribosomal_S7e")</f>
        <v>Ribosomal_S7e</v>
      </c>
      <c r="AK60" t="str">
        <f>HYPERLINK("http://www.ncbi.nlm.nih.gov/Structure/cdd/cddsrv.cgi?uid=pfam01251&amp;version=v4.0","4E-018")</f>
        <v>4E-018</v>
      </c>
      <c r="AL60" t="s">
        <v>897</v>
      </c>
      <c r="AM60" s="2" t="str">
        <f>HYPERLINK("http://exon.niaid.nih.gov/transcriptome/Tx_amboinensis_sialome/Table_1/links/PFAM\TX-contig_254-PFAM.txt","Ribosomal_S7e")</f>
        <v>Ribosomal_S7e</v>
      </c>
      <c r="AN60" t="str">
        <f>HYPERLINK("http://pfam.wustl.edu/cgi-bin/getdesc?acc=PF01251","2E-018")</f>
        <v>2E-018</v>
      </c>
      <c r="AO60" s="2" t="str">
        <f>HYPERLINK("http://exon.niaid.nih.gov/transcriptome/Tx_amboinensis_sialome/Table_1/links/SMART\TX-contig_254-SMART.txt","PSI")</f>
        <v>PSI</v>
      </c>
      <c r="AP60" t="str">
        <f>HYPERLINK("http://smart.embl-heidelberg.de/smart/do_annotation.pl?DOMAIN=PSI&amp;BLAST=DUMMY","0.11")</f>
        <v>0.11</v>
      </c>
      <c r="AQ60" s="2" t="s">
        <v>324</v>
      </c>
      <c r="AR60" t="s">
        <v>324</v>
      </c>
      <c r="AS60" s="2" t="s">
        <v>324</v>
      </c>
      <c r="AT60" t="s">
        <v>324</v>
      </c>
    </row>
    <row r="61" spans="1:46" ht="11.25">
      <c r="A61" t="str">
        <f>HYPERLINK("http://exon.niaid.nih.gov/transcriptome/Tx_amboinensis_sialome/Table_1/links/TX-contig_133.txt","TX-contig_133")</f>
        <v>TX-contig_133</v>
      </c>
      <c r="B61" t="str">
        <f>HYPERLINK("http://exon.niaid.nih.gov/transcriptome/Tx_amboinensis_sialome/Table_1/links/TX-5-90-90-asb-133.txt","Contig-133")</f>
        <v>Contig-133</v>
      </c>
      <c r="C61" t="str">
        <f>HYPERLINK("http://exon.niaid.nih.gov/transcriptome/Tx_amboinensis_sialome/Table_1/links/TX-5-90-90-133-CLU.txt","Contig133")</f>
        <v>Contig133</v>
      </c>
      <c r="D61" s="4">
        <v>1</v>
      </c>
      <c r="E61">
        <v>668</v>
      </c>
      <c r="F61">
        <v>0.1</v>
      </c>
      <c r="G61">
        <v>47.3</v>
      </c>
      <c r="H61" t="s">
        <v>324</v>
      </c>
      <c r="I61">
        <v>133</v>
      </c>
      <c r="J61" t="s">
        <v>449</v>
      </c>
      <c r="K61" t="s">
        <v>324</v>
      </c>
      <c r="L61" s="3" t="s">
        <v>1035</v>
      </c>
      <c r="M61" s="4">
        <v>0</v>
      </c>
      <c r="N61" s="4">
        <v>0</v>
      </c>
      <c r="O61" s="4">
        <v>1</v>
      </c>
      <c r="P61" s="4">
        <v>0</v>
      </c>
      <c r="Q61" s="5" t="s">
        <v>1067</v>
      </c>
      <c r="R61" s="2" t="str">
        <f>HYPERLINK("http://exon.niaid.nih.gov/transcriptome/Tx_amboinensis_sialome/Table_1/links/NR\TX-contig_133-NR.txt","ribosomal protein P0 [Aedes albopictus]    252   8e-066")</f>
        <v>ribosomal protein P0 [Aedes albopictus]    252   8e-066</v>
      </c>
      <c r="S61" s="4" t="str">
        <f>HYPERLINK("http://www.ncbi.nlm.nih.gov/sutils/blink.cgi?pid=22651854","8E-066")</f>
        <v>8E-066</v>
      </c>
      <c r="T61" t="s">
        <v>1130</v>
      </c>
      <c r="U61" s="4">
        <v>94</v>
      </c>
      <c r="V61" s="4">
        <v>43</v>
      </c>
      <c r="W61" t="s">
        <v>671</v>
      </c>
      <c r="X61" t="s">
        <v>144</v>
      </c>
      <c r="Y61" t="s">
        <v>1131</v>
      </c>
      <c r="Z61" s="2" t="s">
        <v>1132</v>
      </c>
      <c r="AA61">
        <f>HYPERLINK("http://exon.niaid.nih.gov/transcriptome/Tx_amboinensis_sialome/Table_1/links/GO\TX-contig_133-GO.txt",2E-53)</f>
        <v>0</v>
      </c>
      <c r="AB61" t="s">
        <v>722</v>
      </c>
      <c r="AC61" t="s">
        <v>911</v>
      </c>
      <c r="AD61" t="s">
        <v>723</v>
      </c>
      <c r="AE61" t="s">
        <v>724</v>
      </c>
      <c r="AF61" s="1">
        <v>2E-53</v>
      </c>
      <c r="AG61" s="2" t="str">
        <f>HYPERLINK("http://exon.niaid.nih.gov/transcriptome/Tx_amboinensis_sialome/Table_1/links/KOG\TX-contig_133-KOG.txt","60S acidic ribosomal protein P0")</f>
        <v>60S acidic ribosomal protein P0</v>
      </c>
      <c r="AH61" t="str">
        <f>HYPERLINK("http://www.ncbi.nlm.nih.gov/COG/new/shokog.cgi?KOG0815","8E-024")</f>
        <v>8E-024</v>
      </c>
      <c r="AI61" t="s">
        <v>725</v>
      </c>
      <c r="AJ61" s="2" t="str">
        <f>HYPERLINK("http://exon.niaid.nih.gov/transcriptome/Tx_amboinensis_sialome/Table_1/links/CDD\TX-contig_133-CDD.txt","Ribosomal_60s")</f>
        <v>Ribosomal_60s</v>
      </c>
      <c r="AK61" t="str">
        <f>HYPERLINK("http://www.ncbi.nlm.nih.gov/Structure/cdd/cddsrv.cgi?uid=pfam00428&amp;version=v4.0","6E-017")</f>
        <v>6E-017</v>
      </c>
      <c r="AL61" t="s">
        <v>1133</v>
      </c>
      <c r="AM61" s="2" t="str">
        <f>HYPERLINK("http://exon.niaid.nih.gov/transcriptome/Tx_amboinensis_sialome/Table_1/links/PFAM\TX-contig_133-PFAM.txt","Ribosomal_60s")</f>
        <v>Ribosomal_60s</v>
      </c>
      <c r="AN61" t="str">
        <f>HYPERLINK("http://pfam.wustl.edu/cgi-bin/getdesc?acc=PF00428","3E-017")</f>
        <v>3E-017</v>
      </c>
      <c r="AO61" s="2" t="str">
        <f>HYPERLINK("http://exon.niaid.nih.gov/transcriptome/Tx_amboinensis_sialome/Table_1/links/SMART\TX-contig_133-SMART.txt","RPOLD")</f>
        <v>RPOLD</v>
      </c>
      <c r="AP61" t="str">
        <f>HYPERLINK("http://smart.embl-heidelberg.de/smart/do_annotation.pl?DOMAIN=RPOLD&amp;BLAST=DUMMY","0.11")</f>
        <v>0.11</v>
      </c>
      <c r="AQ61" s="2" t="s">
        <v>324</v>
      </c>
      <c r="AR61" t="s">
        <v>324</v>
      </c>
      <c r="AS61" s="2" t="s">
        <v>324</v>
      </c>
      <c r="AT61" t="s">
        <v>324</v>
      </c>
    </row>
    <row r="62" spans="1:46" ht="11.25">
      <c r="A62" t="str">
        <f>HYPERLINK("http://exon.niaid.nih.gov/transcriptome/Tx_amboinensis_sialome/Table_1/links/TX-contig_173.txt","TX-contig_173")</f>
        <v>TX-contig_173</v>
      </c>
      <c r="B62" t="str">
        <f>HYPERLINK("http://exon.niaid.nih.gov/transcriptome/Tx_amboinensis_sialome/Table_1/links/TX-5-90-90-asb-173.txt","Contig-173")</f>
        <v>Contig-173</v>
      </c>
      <c r="C62" t="str">
        <f>HYPERLINK("http://exon.niaid.nih.gov/transcriptome/Tx_amboinensis_sialome/Table_1/links/TX-5-90-90-173-CLU.txt","Contig173")</f>
        <v>Contig173</v>
      </c>
      <c r="D62" s="4">
        <v>1</v>
      </c>
      <c r="E62">
        <v>411</v>
      </c>
      <c r="F62">
        <v>0.5</v>
      </c>
      <c r="G62">
        <v>48.9</v>
      </c>
      <c r="H62">
        <v>392</v>
      </c>
      <c r="I62">
        <v>173</v>
      </c>
      <c r="J62" t="s">
        <v>486</v>
      </c>
      <c r="K62">
        <v>392</v>
      </c>
      <c r="L62" s="3" t="s">
        <v>1036</v>
      </c>
      <c r="M62" s="4">
        <v>0</v>
      </c>
      <c r="N62" s="4">
        <v>0</v>
      </c>
      <c r="O62" s="4">
        <v>0</v>
      </c>
      <c r="P62" s="4">
        <v>0</v>
      </c>
      <c r="Q62" s="5" t="s">
        <v>1068</v>
      </c>
      <c r="R62" s="2" t="str">
        <f>HYPERLINK("http://exon.niaid.nih.gov/transcriptome/Tx_amboinensis_sialome/Table_1/links/NR\TX-contig_173-NR.txt","60S acidic ribosomal protein P1 [Aede")</f>
        <v>60S acidic ribosomal protein P1 [Aede</v>
      </c>
      <c r="S62" s="4" t="str">
        <f>HYPERLINK("http://www.ncbi.nlm.nih.gov/sutils/blink.cgi?pid=94468462","2E-028")</f>
        <v>2E-028</v>
      </c>
      <c r="T62" t="s">
        <v>145</v>
      </c>
      <c r="U62" s="4">
        <v>89</v>
      </c>
      <c r="V62" s="4">
        <v>66</v>
      </c>
      <c r="W62" t="s">
        <v>901</v>
      </c>
      <c r="X62" t="s">
        <v>146</v>
      </c>
      <c r="Y62" t="s">
        <v>1312</v>
      </c>
      <c r="Z62" s="2" t="s">
        <v>1313</v>
      </c>
      <c r="AA62">
        <f>HYPERLINK("http://exon.niaid.nih.gov/transcriptome/Tx_amboinensis_sialome/Table_1/links/GO\TX-contig_173-GO.txt",2E-24)</f>
        <v>0</v>
      </c>
      <c r="AB62" t="s">
        <v>722</v>
      </c>
      <c r="AC62" t="s">
        <v>911</v>
      </c>
      <c r="AD62" t="s">
        <v>723</v>
      </c>
      <c r="AE62" t="s">
        <v>724</v>
      </c>
      <c r="AF62" s="1">
        <v>2E-24</v>
      </c>
      <c r="AG62" s="2" t="str">
        <f>HYPERLINK("http://exon.niaid.nih.gov/transcriptome/Tx_amboinensis_sialome/Table_1/links/KOG\TX-contig_173-KOG.txt","60s acidic ribosomal protein P1")</f>
        <v>60s acidic ribosomal protein P1</v>
      </c>
      <c r="AH62" t="str">
        <f>HYPERLINK("http://www.ncbi.nlm.nih.gov/COG/new/shokog.cgi?KOG1762","2E-023")</f>
        <v>2E-023</v>
      </c>
      <c r="AI62" t="s">
        <v>725</v>
      </c>
      <c r="AJ62" s="2" t="str">
        <f>HYPERLINK("http://exon.niaid.nih.gov/transcriptome/Tx_amboinensis_sialome/Table_1/links/CDD\TX-contig_173-CDD.txt","Ribosomal_60s")</f>
        <v>Ribosomal_60s</v>
      </c>
      <c r="AK62" t="str">
        <f>HYPERLINK("http://www.ncbi.nlm.nih.gov/Structure/cdd/cddsrv.cgi?uid=pfam00428&amp;version=v4.0","2E-019")</f>
        <v>2E-019</v>
      </c>
      <c r="AL62" t="s">
        <v>1314</v>
      </c>
      <c r="AM62" s="2" t="str">
        <f>HYPERLINK("http://exon.niaid.nih.gov/transcriptome/Tx_amboinensis_sialome/Table_1/links/PFAM\TX-contig_173-PFAM.txt","Ribosomal_60s")</f>
        <v>Ribosomal_60s</v>
      </c>
      <c r="AN62" t="str">
        <f>HYPERLINK("http://pfam.wustl.edu/cgi-bin/getdesc?acc=PF00428","1E-019")</f>
        <v>1E-019</v>
      </c>
      <c r="AO62" s="2" t="str">
        <f>HYPERLINK("http://exon.niaid.nih.gov/transcriptome/Tx_amboinensis_sialome/Table_1/links/SMART\TX-contig_173-SMART.txt","DM6")</f>
        <v>DM6</v>
      </c>
      <c r="AP62" t="str">
        <f>HYPERLINK("http://smart.embl-heidelberg.de/smart/do_annotation.pl?DOMAIN=DM6&amp;BLAST=DUMMY","0.057")</f>
        <v>0.057</v>
      </c>
      <c r="AQ62" s="2" t="s">
        <v>324</v>
      </c>
      <c r="AR62" t="s">
        <v>324</v>
      </c>
      <c r="AS62" s="2" t="s">
        <v>324</v>
      </c>
      <c r="AT62" t="s">
        <v>324</v>
      </c>
    </row>
    <row r="63" spans="1:46" ht="11.25">
      <c r="A63" t="str">
        <f>HYPERLINK("http://exon.niaid.nih.gov/transcriptome/Tx_amboinensis_sialome/Table_1/links/TX-contig_21.txt","TX-contig_21")</f>
        <v>TX-contig_21</v>
      </c>
      <c r="B63" t="str">
        <f>HYPERLINK("http://exon.niaid.nih.gov/transcriptome/Tx_amboinensis_sialome/Table_1/links/TX-5-90-90-asb-21.txt","Contig-21")</f>
        <v>Contig-21</v>
      </c>
      <c r="C63" t="str">
        <f>HYPERLINK("http://exon.niaid.nih.gov/transcriptome/Tx_amboinensis_sialome/Table_1/links/TX-5-90-90-21-CLU.txt","Contig21")</f>
        <v>Contig21</v>
      </c>
      <c r="D63" s="4">
        <v>4</v>
      </c>
      <c r="E63">
        <v>638</v>
      </c>
      <c r="F63" t="s">
        <v>322</v>
      </c>
      <c r="G63">
        <v>45.3</v>
      </c>
      <c r="H63">
        <v>619</v>
      </c>
      <c r="I63">
        <v>21</v>
      </c>
      <c r="J63" t="s">
        <v>344</v>
      </c>
      <c r="K63">
        <v>541</v>
      </c>
      <c r="L63" s="3" t="s">
        <v>1035</v>
      </c>
      <c r="M63" s="4">
        <v>0</v>
      </c>
      <c r="N63" s="4">
        <v>0</v>
      </c>
      <c r="O63" s="4">
        <v>5</v>
      </c>
      <c r="P63" s="4">
        <v>0</v>
      </c>
      <c r="Q63" s="5" t="s">
        <v>1051</v>
      </c>
      <c r="R63" s="2" t="str">
        <f>HYPERLINK("http://exon.niaid.nih.gov/transcriptome/Tx_amboinensis_sialome/Table_1/links/NR\TX-contig_21-NR.txt","ENSANGP00000021358 [Anopheles gambiae")</f>
        <v>ENSANGP00000021358 [Anopheles gambiae</v>
      </c>
      <c r="S63" s="4" t="str">
        <f>HYPERLINK("http://www.ncbi.nlm.nih.gov/sutils/blink.cgi?pid=55239621","1E-078")</f>
        <v>1E-078</v>
      </c>
      <c r="T63" t="s">
        <v>718</v>
      </c>
      <c r="U63" s="4">
        <v>79</v>
      </c>
      <c r="V63" s="4">
        <v>90</v>
      </c>
      <c r="W63" t="s">
        <v>719</v>
      </c>
      <c r="X63" t="s">
        <v>147</v>
      </c>
      <c r="Y63" t="s">
        <v>720</v>
      </c>
      <c r="Z63" s="2" t="s">
        <v>721</v>
      </c>
      <c r="AA63">
        <f>HYPERLINK("http://exon.niaid.nih.gov/transcriptome/Tx_amboinensis_sialome/Table_1/links/GO\TX-contig_21-GO.txt",7E-73)</f>
        <v>0</v>
      </c>
      <c r="AB63" t="s">
        <v>722</v>
      </c>
      <c r="AC63" t="s">
        <v>911</v>
      </c>
      <c r="AD63" t="s">
        <v>723</v>
      </c>
      <c r="AE63" t="s">
        <v>724</v>
      </c>
      <c r="AF63" s="1">
        <v>7E-73</v>
      </c>
      <c r="AG63" s="2" t="str">
        <f>HYPERLINK("http://exon.niaid.nih.gov/transcriptome/Tx_amboinensis_sialome/Table_1/links/KOG\TX-contig_21-KOG.txt","60s ribosomal protein L15")</f>
        <v>60s ribosomal protein L15</v>
      </c>
      <c r="AH63" t="str">
        <f>HYPERLINK("http://www.ncbi.nlm.nih.gov/COG/new/shokog.cgi?KOG1678","4E-077")</f>
        <v>4E-077</v>
      </c>
      <c r="AI63" t="s">
        <v>725</v>
      </c>
      <c r="AJ63" s="2" t="str">
        <f>HYPERLINK("http://exon.niaid.nih.gov/transcriptome/Tx_amboinensis_sialome/Table_1/links/CDD\TX-contig_21-CDD.txt","Ribosomal_L15e")</f>
        <v>Ribosomal_L15e</v>
      </c>
      <c r="AK63" t="str">
        <f>HYPERLINK("http://www.ncbi.nlm.nih.gov/Structure/cdd/cddsrv.cgi?uid=pfam00827&amp;version=v4.0","2E-060")</f>
        <v>2E-060</v>
      </c>
      <c r="AL63" t="s">
        <v>219</v>
      </c>
      <c r="AM63" s="2" t="str">
        <f>HYPERLINK("http://exon.niaid.nih.gov/transcriptome/Tx_amboinensis_sialome/Table_1/links/PFAM\TX-contig_21-PFAM.txt","Ribosomal_L15e")</f>
        <v>Ribosomal_L15e</v>
      </c>
      <c r="AN63" t="str">
        <f>HYPERLINK("http://pfam.wustl.edu/cgi-bin/getdesc?acc=PF00827","9E-061")</f>
        <v>9E-061</v>
      </c>
      <c r="AO63" s="2" t="str">
        <f>HYPERLINK("http://exon.niaid.nih.gov/transcriptome/Tx_amboinensis_sialome/Table_1/links/SMART\TX-contig_21-SMART.txt","A4_EXTRA")</f>
        <v>A4_EXTRA</v>
      </c>
      <c r="AP63" t="str">
        <f>HYPERLINK("http://smart.embl-heidelberg.de/smart/do_annotation.pl?DOMAIN=A4_EXTRA&amp;BLAST=DUMMY","0.40")</f>
        <v>0.40</v>
      </c>
      <c r="AQ63" s="2" t="s">
        <v>324</v>
      </c>
      <c r="AR63" t="s">
        <v>324</v>
      </c>
      <c r="AS63" s="2" t="s">
        <v>324</v>
      </c>
      <c r="AT63" t="s">
        <v>324</v>
      </c>
    </row>
    <row r="64" spans="1:46" ht="11.25">
      <c r="A64" t="str">
        <f>HYPERLINK("http://exon.niaid.nih.gov/transcriptome/Tx_amboinensis_sialome/Table_1/links/TX-contig_26.txt","TX-contig_26")</f>
        <v>TX-contig_26</v>
      </c>
      <c r="B64" t="str">
        <f>HYPERLINK("http://exon.niaid.nih.gov/transcriptome/Tx_amboinensis_sialome/Table_1/links/TX-5-90-90-asb-26.txt","Contig-26")</f>
        <v>Contig-26</v>
      </c>
      <c r="C64" t="str">
        <f>HYPERLINK("http://exon.niaid.nih.gov/transcriptome/Tx_amboinensis_sialome/Table_1/links/TX-5-90-90-26-CLU.txt","Contig26")</f>
        <v>Contig26</v>
      </c>
      <c r="D64" s="4">
        <v>2</v>
      </c>
      <c r="E64">
        <v>507</v>
      </c>
      <c r="F64">
        <v>0.2</v>
      </c>
      <c r="G64">
        <v>54.8</v>
      </c>
      <c r="H64">
        <v>488</v>
      </c>
      <c r="I64">
        <v>26</v>
      </c>
      <c r="J64" t="s">
        <v>349</v>
      </c>
      <c r="K64">
        <v>460</v>
      </c>
      <c r="L64" s="3" t="s">
        <v>1035</v>
      </c>
      <c r="M64" s="4">
        <v>0</v>
      </c>
      <c r="N64" s="4">
        <v>0</v>
      </c>
      <c r="O64" s="4">
        <v>4</v>
      </c>
      <c r="P64" s="4">
        <v>0</v>
      </c>
      <c r="Q64" s="5" t="s">
        <v>1057</v>
      </c>
      <c r="R64" s="2" t="str">
        <f>HYPERLINK("http://exon.niaid.nih.gov/transcriptome/Tx_amboinensis_sialome/Table_1/links/NR\TX-contig_26-NR.txt","ribosomal protein L19 [Aedes aegypti]      185   8e-046")</f>
        <v>ribosomal protein L19 [Aedes aegypti]      185   8e-046</v>
      </c>
      <c r="S64" s="4" t="str">
        <f>HYPERLINK("http://www.ncbi.nlm.nih.gov/sutils/blink.cgi?pid=94468808","8E-046")</f>
        <v>8E-046</v>
      </c>
      <c r="T64" t="s">
        <v>148</v>
      </c>
      <c r="U64" s="4">
        <v>93</v>
      </c>
      <c r="V64" s="4">
        <v>49</v>
      </c>
      <c r="W64" t="s">
        <v>901</v>
      </c>
      <c r="X64" t="s">
        <v>149</v>
      </c>
      <c r="Y64" t="s">
        <v>234</v>
      </c>
      <c r="Z64" s="2" t="s">
        <v>235</v>
      </c>
      <c r="AA64">
        <f>HYPERLINK("http://exon.niaid.nih.gov/transcriptome/Tx_amboinensis_sialome/Table_1/links/GO\TX-contig_26-GO.txt",1E-35)</f>
        <v>0</v>
      </c>
      <c r="AB64" t="s">
        <v>722</v>
      </c>
      <c r="AC64" t="s">
        <v>911</v>
      </c>
      <c r="AD64" t="s">
        <v>723</v>
      </c>
      <c r="AE64" t="s">
        <v>724</v>
      </c>
      <c r="AF64" s="1">
        <v>1E-35</v>
      </c>
      <c r="AG64" s="2" t="str">
        <f>HYPERLINK("http://exon.niaid.nih.gov/transcriptome/Tx_amboinensis_sialome/Table_1/links/KOG\TX-contig_26-KOG.txt","60s ribosomal protein L19")</f>
        <v>60s ribosomal protein L19</v>
      </c>
      <c r="AH64" t="str">
        <f>HYPERLINK("http://www.ncbi.nlm.nih.gov/COG/new/shokog.cgi?KOG1696","1E-037")</f>
        <v>1E-037</v>
      </c>
      <c r="AI64" t="s">
        <v>725</v>
      </c>
      <c r="AJ64" s="2" t="str">
        <f>HYPERLINK("http://exon.niaid.nih.gov/transcriptome/Tx_amboinensis_sialome/Table_1/links/CDD\TX-contig_26-CDD.txt","Ribosomal_L19e_")</f>
        <v>Ribosomal_L19e_</v>
      </c>
      <c r="AK64" t="str">
        <f>HYPERLINK("http://www.ncbi.nlm.nih.gov/Structure/cdd/cddsrv.cgi?uid=cd01417&amp;version=v4.0","1E-028")</f>
        <v>1E-028</v>
      </c>
      <c r="AL64" t="s">
        <v>236</v>
      </c>
      <c r="AM64" s="2" t="str">
        <f>HYPERLINK("http://exon.niaid.nih.gov/transcriptome/Tx_amboinensis_sialome/Table_1/links/PFAM\TX-contig_26-PFAM.txt","Ribosomal_L19e")</f>
        <v>Ribosomal_L19e</v>
      </c>
      <c r="AN64" t="str">
        <f>HYPERLINK("http://pfam.wustl.edu/cgi-bin/getdesc?acc=PF01280","6E-017")</f>
        <v>6E-017</v>
      </c>
      <c r="AO64" s="2" t="str">
        <f>HYPERLINK("http://exon.niaid.nih.gov/transcriptome/Tx_amboinensis_sialome/Table_1/links/SMART\TX-contig_26-SMART.txt","HDc")</f>
        <v>HDc</v>
      </c>
      <c r="AP64" t="str">
        <f>HYPERLINK("http://smart.embl-heidelberg.de/smart/do_annotation.pl?DOMAIN=HDc&amp;BLAST=DUMMY","0.018")</f>
        <v>0.018</v>
      </c>
      <c r="AQ64" s="2" t="s">
        <v>324</v>
      </c>
      <c r="AR64" t="s">
        <v>324</v>
      </c>
      <c r="AS64" s="2" t="s">
        <v>324</v>
      </c>
      <c r="AT64" t="s">
        <v>324</v>
      </c>
    </row>
    <row r="65" spans="1:46" ht="11.25">
      <c r="A65" t="str">
        <f>HYPERLINK("http://exon.niaid.nih.gov/transcriptome/Tx_amboinensis_sialome/Table_1/links/TX-contig_130.txt","TX-contig_130")</f>
        <v>TX-contig_130</v>
      </c>
      <c r="B65" t="str">
        <f>HYPERLINK("http://exon.niaid.nih.gov/transcriptome/Tx_amboinensis_sialome/Table_1/links/TX-5-90-90-asb-130.txt","Contig-130")</f>
        <v>Contig-130</v>
      </c>
      <c r="C65" t="str">
        <f>HYPERLINK("http://exon.niaid.nih.gov/transcriptome/Tx_amboinensis_sialome/Table_1/links/TX-5-90-90-130-CLU.txt","Contig130")</f>
        <v>Contig130</v>
      </c>
      <c r="D65" s="4">
        <v>1</v>
      </c>
      <c r="E65">
        <v>500</v>
      </c>
      <c r="F65">
        <v>0.8</v>
      </c>
      <c r="G65">
        <v>51.2</v>
      </c>
      <c r="H65">
        <v>481</v>
      </c>
      <c r="I65">
        <v>130</v>
      </c>
      <c r="J65" t="s">
        <v>446</v>
      </c>
      <c r="K65">
        <v>481</v>
      </c>
      <c r="L65" s="3" t="s">
        <v>1035</v>
      </c>
      <c r="M65" s="4">
        <v>0</v>
      </c>
      <c r="N65" s="4">
        <v>0</v>
      </c>
      <c r="O65" s="4">
        <v>2</v>
      </c>
      <c r="P65" s="4">
        <v>0</v>
      </c>
      <c r="Q65" s="5" t="s">
        <v>1056</v>
      </c>
      <c r="R65" s="2" t="str">
        <f>HYPERLINK("http://exon.niaid.nih.gov/transcriptome/Tx_amboinensis_sialome/Table_1/links/NR\TX-contig_130-NR.txt","60S ribosomal protein L21 [Aedes aegy")</f>
        <v>60S ribosomal protein L21 [Aedes aegy</v>
      </c>
      <c r="S65" s="4" t="str">
        <f>HYPERLINK("http://www.ncbi.nlm.nih.gov/sutils/blink.cgi?pid=94468488","1E-062")</f>
        <v>1E-062</v>
      </c>
      <c r="T65" t="s">
        <v>150</v>
      </c>
      <c r="U65" s="4">
        <v>89</v>
      </c>
      <c r="V65" s="4">
        <v>82</v>
      </c>
      <c r="W65" t="s">
        <v>901</v>
      </c>
      <c r="X65" t="s">
        <v>151</v>
      </c>
      <c r="Y65" t="s">
        <v>1117</v>
      </c>
      <c r="Z65" s="2" t="s">
        <v>1118</v>
      </c>
      <c r="AA65">
        <f>HYPERLINK("http://exon.niaid.nih.gov/transcriptome/Tx_amboinensis_sialome/Table_1/links/GO\TX-contig_130-GO.txt",5E-41)</f>
        <v>0</v>
      </c>
      <c r="AB65" t="s">
        <v>262</v>
      </c>
      <c r="AC65" t="s">
        <v>837</v>
      </c>
      <c r="AD65" t="s">
        <v>838</v>
      </c>
      <c r="AE65" t="s">
        <v>263</v>
      </c>
      <c r="AF65" s="1">
        <v>1E-38</v>
      </c>
      <c r="AG65" s="2" t="str">
        <f>HYPERLINK("http://exon.niaid.nih.gov/transcriptome/Tx_amboinensis_sialome/Table_1/links/KOG\TX-contig_130-KOG.txt","60S ribosomal protein L21")</f>
        <v>60S ribosomal protein L21</v>
      </c>
      <c r="AH65" t="str">
        <f>HYPERLINK("http://www.ncbi.nlm.nih.gov/COG/new/shokog.cgi?KOG1732","9E-040")</f>
        <v>9E-040</v>
      </c>
      <c r="AI65" t="s">
        <v>725</v>
      </c>
      <c r="AJ65" s="2" t="str">
        <f>HYPERLINK("http://exon.niaid.nih.gov/transcriptome/Tx_amboinensis_sialome/Table_1/links/CDD\TX-contig_130-CDD.txt","Ribosomal_L21e")</f>
        <v>Ribosomal_L21e</v>
      </c>
      <c r="AK65" t="str">
        <f>HYPERLINK("http://www.ncbi.nlm.nih.gov/Structure/cdd/cddsrv.cgi?uid=pfam01157&amp;version=v4.0","1E-023")</f>
        <v>1E-023</v>
      </c>
      <c r="AL65" t="s">
        <v>1119</v>
      </c>
      <c r="AM65" s="2" t="str">
        <f>HYPERLINK("http://exon.niaid.nih.gov/transcriptome/Tx_amboinensis_sialome/Table_1/links/PFAM\TX-contig_130-PFAM.txt","Ribosomal_L21e")</f>
        <v>Ribosomal_L21e</v>
      </c>
      <c r="AN65" t="str">
        <f>HYPERLINK("http://pfam.wustl.edu/cgi-bin/getdesc?acc=PF01157","8E-024")</f>
        <v>8E-024</v>
      </c>
      <c r="AO65" s="2" t="str">
        <f>HYPERLINK("http://exon.niaid.nih.gov/transcriptome/Tx_amboinensis_sialome/Table_1/links/SMART\TX-contig_130-SMART.txt","BROMO")</f>
        <v>BROMO</v>
      </c>
      <c r="AP65" t="str">
        <f>HYPERLINK("http://smart.embl-heidelberg.de/smart/do_annotation.pl?DOMAIN=BROMO&amp;BLAST=DUMMY","0.62")</f>
        <v>0.62</v>
      </c>
      <c r="AQ65" s="2" t="s">
        <v>324</v>
      </c>
      <c r="AR65" t="s">
        <v>324</v>
      </c>
      <c r="AS65" s="2" t="s">
        <v>324</v>
      </c>
      <c r="AT65" t="s">
        <v>324</v>
      </c>
    </row>
    <row r="66" spans="1:46" ht="11.25">
      <c r="A66" t="str">
        <f>HYPERLINK("http://exon.niaid.nih.gov/transcriptome/Tx_amboinensis_sialome/Table_1/links/TX-contig_131.txt","TX-contig_131")</f>
        <v>TX-contig_131</v>
      </c>
      <c r="B66" t="str">
        <f>HYPERLINK("http://exon.niaid.nih.gov/transcriptome/Tx_amboinensis_sialome/Table_1/links/TX-5-90-90-asb-131.txt","Contig-131")</f>
        <v>Contig-131</v>
      </c>
      <c r="C66" t="str">
        <f>HYPERLINK("http://exon.niaid.nih.gov/transcriptome/Tx_amboinensis_sialome/Table_1/links/TX-5-90-90-131-CLU.txt","Contig131")</f>
        <v>Contig131</v>
      </c>
      <c r="D66" s="4">
        <v>1</v>
      </c>
      <c r="E66">
        <v>577</v>
      </c>
      <c r="F66">
        <v>0.5</v>
      </c>
      <c r="G66">
        <v>49.2</v>
      </c>
      <c r="H66" t="s">
        <v>324</v>
      </c>
      <c r="I66">
        <v>131</v>
      </c>
      <c r="J66" t="s">
        <v>447</v>
      </c>
      <c r="K66" t="s">
        <v>324</v>
      </c>
      <c r="L66" s="3" t="s">
        <v>1035</v>
      </c>
      <c r="M66" s="4">
        <v>0</v>
      </c>
      <c r="N66" s="4">
        <v>0</v>
      </c>
      <c r="O66" s="4">
        <v>1</v>
      </c>
      <c r="P66" s="4">
        <v>0</v>
      </c>
      <c r="Q66" s="5" t="s">
        <v>1054</v>
      </c>
      <c r="R66" s="2" t="str">
        <f>HYPERLINK("http://exon.niaid.nih.gov/transcriptome/Tx_amboinensis_sialome/Table_1/links/NR\TX-contig_131-NR.txt","ribosomal protein L23a [Aedes albopic")</f>
        <v>ribosomal protein L23a [Aedes albopic</v>
      </c>
      <c r="S66" s="4" t="str">
        <f>HYPERLINK("http://www.ncbi.nlm.nih.gov/sutils/blink.cgi?pid=64446672","5E-064")</f>
        <v>5E-064</v>
      </c>
      <c r="T66" t="s">
        <v>1120</v>
      </c>
      <c r="U66" s="4">
        <v>98</v>
      </c>
      <c r="V66" s="4">
        <v>33</v>
      </c>
      <c r="W66" t="s">
        <v>671</v>
      </c>
      <c r="X66" t="s">
        <v>152</v>
      </c>
      <c r="Y66" t="s">
        <v>1121</v>
      </c>
      <c r="Z66" s="2" t="s">
        <v>1122</v>
      </c>
      <c r="AA66">
        <f>HYPERLINK("http://exon.niaid.nih.gov/transcriptome/Tx_amboinensis_sialome/Table_1/links/GO\TX-contig_131-GO.txt",7E-57)</f>
        <v>0</v>
      </c>
      <c r="AB66" t="s">
        <v>722</v>
      </c>
      <c r="AC66" t="s">
        <v>911</v>
      </c>
      <c r="AD66" t="s">
        <v>723</v>
      </c>
      <c r="AE66" t="s">
        <v>724</v>
      </c>
      <c r="AF66" s="1">
        <v>7E-57</v>
      </c>
      <c r="AG66" s="2" t="str">
        <f>HYPERLINK("http://exon.niaid.nih.gov/transcriptome/Tx_amboinensis_sialome/Table_1/links/KOG\TX-contig_131-KOG.txt","60s ribosomal protein L23")</f>
        <v>60s ribosomal protein L23</v>
      </c>
      <c r="AH66" t="str">
        <f>HYPERLINK("http://www.ncbi.nlm.nih.gov/COG/new/shokog.cgi?KOG1751","2E-046")</f>
        <v>2E-046</v>
      </c>
      <c r="AI66" t="s">
        <v>725</v>
      </c>
      <c r="AJ66" s="2" t="str">
        <f>HYPERLINK("http://exon.niaid.nih.gov/transcriptome/Tx_amboinensis_sialome/Table_1/links/CDD\TX-contig_131-CDD.txt","RplW")</f>
        <v>RplW</v>
      </c>
      <c r="AK66" t="str">
        <f>HYPERLINK("http://www.ncbi.nlm.nih.gov/Structure/cdd/cddsrv.cgi?uid=COG0089&amp;version=v4.0","8E-022")</f>
        <v>8E-022</v>
      </c>
      <c r="AL66" t="s">
        <v>1123</v>
      </c>
      <c r="AM66" s="2" t="str">
        <f>HYPERLINK("http://exon.niaid.nih.gov/transcriptome/Tx_amboinensis_sialome/Table_1/links/PFAM\TX-contig_131-PFAM.txt","Ribosomal_L23")</f>
        <v>Ribosomal_L23</v>
      </c>
      <c r="AN66" t="str">
        <f>HYPERLINK("http://pfam.wustl.edu/cgi-bin/getdesc?acc=PF00276","1E-014")</f>
        <v>1E-014</v>
      </c>
      <c r="AO66" s="2" t="str">
        <f>HYPERLINK("http://exon.niaid.nih.gov/transcriptome/Tx_amboinensis_sialome/Table_1/links/SMART\TX-contig_131-SMART.txt","BROMO")</f>
        <v>BROMO</v>
      </c>
      <c r="AP66" t="str">
        <f>HYPERLINK("http://smart.embl-heidelberg.de/smart/do_annotation.pl?DOMAIN=BROMO&amp;BLAST=DUMMY","0.13")</f>
        <v>0.13</v>
      </c>
      <c r="AQ66" s="2" t="s">
        <v>324</v>
      </c>
      <c r="AR66" t="s">
        <v>324</v>
      </c>
      <c r="AS66" s="2" t="s">
        <v>324</v>
      </c>
      <c r="AT66" t="s">
        <v>324</v>
      </c>
    </row>
    <row r="67" spans="1:46" ht="11.25">
      <c r="A67" t="str">
        <f>HYPERLINK("http://exon.niaid.nih.gov/transcriptome/Tx_amboinensis_sialome/Table_1/links/TX-contig_109.txt","TX-contig_109")</f>
        <v>TX-contig_109</v>
      </c>
      <c r="B67" t="str">
        <f>HYPERLINK("http://exon.niaid.nih.gov/transcriptome/Tx_amboinensis_sialome/Table_1/links/TX-5-90-90-asb-109.txt","Contig-109")</f>
        <v>Contig-109</v>
      </c>
      <c r="C67" t="str">
        <f>HYPERLINK("http://exon.niaid.nih.gov/transcriptome/Tx_amboinensis_sialome/Table_1/links/TX-5-90-90-109-CLU.txt","Contig109")</f>
        <v>Contig109</v>
      </c>
      <c r="D67" s="4">
        <v>1</v>
      </c>
      <c r="E67">
        <v>353</v>
      </c>
      <c r="F67" t="s">
        <v>322</v>
      </c>
      <c r="G67">
        <v>58.4</v>
      </c>
      <c r="H67">
        <v>334</v>
      </c>
      <c r="I67">
        <v>109</v>
      </c>
      <c r="J67" t="s">
        <v>426</v>
      </c>
      <c r="K67">
        <v>334</v>
      </c>
      <c r="L67" s="3" t="s">
        <v>1035</v>
      </c>
      <c r="M67" s="4">
        <v>0</v>
      </c>
      <c r="N67" s="4">
        <v>0</v>
      </c>
      <c r="O67" s="4">
        <v>2</v>
      </c>
      <c r="P67" s="4">
        <v>0</v>
      </c>
      <c r="Q67" s="5" t="s">
        <v>1092</v>
      </c>
      <c r="R67" s="2" t="str">
        <f>HYPERLINK("http://exon.niaid.nih.gov/transcriptome/Tx_amboinensis_sialome/Table_1/links/NR\TX-contig_109-NR.txt","ribosomal protein L4 [Aedes aegypti] ")</f>
        <v>ribosomal protein L4 [Aedes aegypti] </v>
      </c>
      <c r="S67" s="4" t="str">
        <f>HYPERLINK("http://www.ncbi.nlm.nih.gov/sutils/blink.cgi?pid=94469276","5E-013")</f>
        <v>5E-013</v>
      </c>
      <c r="T67" t="s">
        <v>153</v>
      </c>
      <c r="U67" s="4">
        <v>52</v>
      </c>
      <c r="V67" s="4">
        <v>19</v>
      </c>
      <c r="W67" t="s">
        <v>901</v>
      </c>
      <c r="X67" t="s">
        <v>154</v>
      </c>
      <c r="Y67" t="s">
        <v>290</v>
      </c>
      <c r="Z67" s="2" t="s">
        <v>291</v>
      </c>
      <c r="AA67">
        <f>HYPERLINK("http://exon.niaid.nih.gov/transcriptome/Tx_amboinensis_sialome/Table_1/links/GO\TX-contig_109-GO.txt",0.0002)</f>
        <v>0</v>
      </c>
      <c r="AB67" t="s">
        <v>722</v>
      </c>
      <c r="AC67" t="s">
        <v>911</v>
      </c>
      <c r="AD67" t="s">
        <v>723</v>
      </c>
      <c r="AE67" t="s">
        <v>724</v>
      </c>
      <c r="AF67">
        <v>0.0002</v>
      </c>
      <c r="AG67" s="2" t="str">
        <f>HYPERLINK("http://exon.niaid.nih.gov/transcriptome/Tx_amboinensis_sialome/Table_1/links/KOG\TX-contig_109-KOG.txt","60s ribosomal protein L24")</f>
        <v>60s ribosomal protein L24</v>
      </c>
      <c r="AH67" t="str">
        <f>HYPERLINK("http://www.ncbi.nlm.nih.gov/COG/new/shokog.cgi?KOG1722","0.031")</f>
        <v>0.031</v>
      </c>
      <c r="AI67" t="s">
        <v>725</v>
      </c>
      <c r="AJ67" s="2" t="str">
        <f>HYPERLINK("http://exon.niaid.nih.gov/transcriptome/Tx_amboinensis_sialome/Table_1/links/CDD\TX-contig_109-CDD.txt","TolA")</f>
        <v>TolA</v>
      </c>
      <c r="AK67" t="str">
        <f>HYPERLINK("http://www.ncbi.nlm.nih.gov/Structure/cdd/cddsrv.cgi?uid=COG3064&amp;version=v4.0","0.008")</f>
        <v>0.008</v>
      </c>
      <c r="AL67" t="s">
        <v>292</v>
      </c>
      <c r="AM67" s="2" t="str">
        <f>HYPERLINK("http://exon.niaid.nih.gov/transcriptome/Tx_amboinensis_sialome/Table_1/links/PFAM\TX-contig_109-PFAM.txt","DUF947")</f>
        <v>DUF947</v>
      </c>
      <c r="AN67" t="str">
        <f>HYPERLINK("http://pfam.wustl.edu/cgi-bin/getdesc?acc=PF06102","0.010")</f>
        <v>0.010</v>
      </c>
      <c r="AO67" s="2" t="str">
        <f>HYPERLINK("http://exon.niaid.nih.gov/transcriptome/Tx_amboinensis_sialome/Table_1/links/SMART\TX-contig_109-SMART.txt","SAR")</f>
        <v>SAR</v>
      </c>
      <c r="AP67" t="str">
        <f>HYPERLINK("http://smart.embl-heidelberg.de/smart/do_annotation.pl?DOMAIN=SAR&amp;BLAST=DUMMY","0.047")</f>
        <v>0.047</v>
      </c>
      <c r="AQ67" s="2" t="s">
        <v>324</v>
      </c>
      <c r="AR67" t="s">
        <v>324</v>
      </c>
      <c r="AS67" s="2" t="s">
        <v>324</v>
      </c>
      <c r="AT67" t="s">
        <v>324</v>
      </c>
    </row>
    <row r="68" spans="1:46" ht="11.25">
      <c r="A68" t="str">
        <f>HYPERLINK("http://exon.niaid.nih.gov/transcriptome/Tx_amboinensis_sialome/Table_1/links/TX-contig_34.txt","TX-contig_34")</f>
        <v>TX-contig_34</v>
      </c>
      <c r="B68" t="str">
        <f>HYPERLINK("http://exon.niaid.nih.gov/transcriptome/Tx_amboinensis_sialome/Table_1/links/TX-5-90-90-asb-34.txt","Contig-34")</f>
        <v>Contig-34</v>
      </c>
      <c r="C68" t="str">
        <f>HYPERLINK("http://exon.niaid.nih.gov/transcriptome/Tx_amboinensis_sialome/Table_1/links/TX-5-90-90-34-CLU.txt","Contig34")</f>
        <v>Contig34</v>
      </c>
      <c r="D68" s="4">
        <v>2</v>
      </c>
      <c r="E68">
        <v>148</v>
      </c>
      <c r="F68" t="s">
        <v>322</v>
      </c>
      <c r="G68">
        <v>64.9</v>
      </c>
      <c r="H68">
        <v>129</v>
      </c>
      <c r="I68">
        <v>34</v>
      </c>
      <c r="J68" t="s">
        <v>357</v>
      </c>
      <c r="K68">
        <v>118</v>
      </c>
      <c r="L68" s="3" t="s">
        <v>1035</v>
      </c>
      <c r="M68" s="4">
        <v>0</v>
      </c>
      <c r="N68" s="4">
        <v>0</v>
      </c>
      <c r="O68" s="4">
        <v>4</v>
      </c>
      <c r="P68" s="4">
        <v>0</v>
      </c>
      <c r="Q68" s="5" t="s">
        <v>1093</v>
      </c>
      <c r="R68" s="2" t="str">
        <f>HYPERLINK("http://exon.niaid.nih.gov/transcriptome/Tx_amboinensis_sialome/Table_1/links/NR\TX-contig_34-NR.txt","60S ribosomal protein L27a [Aedes alb")</f>
        <v>60S ribosomal protein L27a [Aedes alb</v>
      </c>
      <c r="S68" s="4" t="str">
        <f>HYPERLINK("http://www.ncbi.nlm.nih.gov/sutils/blink.cgi?pid=56417552","1E-005")</f>
        <v>1E-005</v>
      </c>
      <c r="T68" t="s">
        <v>259</v>
      </c>
      <c r="U68" s="4">
        <v>92</v>
      </c>
      <c r="V68" s="4">
        <v>18</v>
      </c>
      <c r="W68" t="s">
        <v>901</v>
      </c>
      <c r="X68" t="s">
        <v>155</v>
      </c>
      <c r="Y68" t="s">
        <v>260</v>
      </c>
      <c r="Z68" s="2" t="s">
        <v>261</v>
      </c>
      <c r="AA68">
        <f>HYPERLINK("http://exon.niaid.nih.gov/transcriptome/Tx_amboinensis_sialome/Table_1/links/GO\TX-contig_34-GO.txt",0.00006)</f>
        <v>0</v>
      </c>
      <c r="AB68" t="s">
        <v>262</v>
      </c>
      <c r="AC68" t="s">
        <v>837</v>
      </c>
      <c r="AD68" t="s">
        <v>838</v>
      </c>
      <c r="AE68" t="s">
        <v>263</v>
      </c>
      <c r="AF68">
        <v>6E-05</v>
      </c>
      <c r="AG68" s="2" t="str">
        <f>HYPERLINK("http://exon.niaid.nih.gov/transcriptome/Tx_amboinensis_sialome/Table_1/links/KOG\TX-contig_34-KOG.txt","60s ribosomal protein L15/L27")</f>
        <v>60s ribosomal protein L15/L27</v>
      </c>
      <c r="AH68" t="str">
        <f>HYPERLINK("http://www.ncbi.nlm.nih.gov/COG/new/shokog.cgi?KOG1742","2E-006")</f>
        <v>2E-006</v>
      </c>
      <c r="AI68" t="s">
        <v>725</v>
      </c>
      <c r="AJ68" s="2" t="str">
        <f>HYPERLINK("http://exon.niaid.nih.gov/transcriptome/Tx_amboinensis_sialome/Table_1/links/CDD\TX-contig_34-CDD.txt","L15")</f>
        <v>L15</v>
      </c>
      <c r="AK68" t="str">
        <f>HYPERLINK("http://www.ncbi.nlm.nih.gov/Structure/cdd/cddsrv.cgi?uid=pfam00256&amp;version=v4.0","0.002")</f>
        <v>0.002</v>
      </c>
      <c r="AL68" t="s">
        <v>264</v>
      </c>
      <c r="AM68" s="2" t="str">
        <f>HYPERLINK("http://exon.niaid.nih.gov/transcriptome/Tx_amboinensis_sialome/Table_1/links/PFAM\TX-contig_34-PFAM.txt","L15")</f>
        <v>L15</v>
      </c>
      <c r="AN68" t="str">
        <f>HYPERLINK("http://pfam.wustl.edu/cgi-bin/getdesc?acc=PF00256","0.001")</f>
        <v>0.001</v>
      </c>
      <c r="AO68" s="2" t="str">
        <f>HYPERLINK("http://exon.niaid.nih.gov/transcriptome/Tx_amboinensis_sialome/Table_1/links/SMART\TX-contig_34-SMART.txt","START")</f>
        <v>START</v>
      </c>
      <c r="AP68" t="str">
        <f>HYPERLINK("http://smart.embl-heidelberg.de/smart/do_annotation.pl?DOMAIN=START&amp;BLAST=DUMMY","0.70")</f>
        <v>0.70</v>
      </c>
      <c r="AQ68" s="2" t="s">
        <v>324</v>
      </c>
      <c r="AR68" t="s">
        <v>324</v>
      </c>
      <c r="AS68" s="2" t="s">
        <v>324</v>
      </c>
      <c r="AT68" t="s">
        <v>324</v>
      </c>
    </row>
    <row r="69" spans="1:46" ht="11.25">
      <c r="A69" t="str">
        <f>HYPERLINK("http://exon.niaid.nih.gov/transcriptome/Tx_amboinensis_sialome/Table_1/links/TX-contig_43.txt","TX-contig_43")</f>
        <v>TX-contig_43</v>
      </c>
      <c r="B69" t="str">
        <f>HYPERLINK("http://exon.niaid.nih.gov/transcriptome/Tx_amboinensis_sialome/Table_1/links/TX-5-90-90-asb-43.txt","Contig-43")</f>
        <v>Contig-43</v>
      </c>
      <c r="C69" t="str">
        <f>HYPERLINK("http://exon.niaid.nih.gov/transcriptome/Tx_amboinensis_sialome/Table_1/links/TX-5-90-90-43-CLU.txt","Contig43")</f>
        <v>Contig43</v>
      </c>
      <c r="D69" s="4">
        <v>1</v>
      </c>
      <c r="E69">
        <v>493</v>
      </c>
      <c r="F69" t="s">
        <v>322</v>
      </c>
      <c r="G69">
        <v>51.1</v>
      </c>
      <c r="H69">
        <v>474</v>
      </c>
      <c r="I69">
        <v>43</v>
      </c>
      <c r="J69" t="s">
        <v>365</v>
      </c>
      <c r="K69">
        <v>474</v>
      </c>
      <c r="L69" s="3" t="s">
        <v>1035</v>
      </c>
      <c r="M69" s="4">
        <v>0</v>
      </c>
      <c r="N69" s="4">
        <v>0</v>
      </c>
      <c r="O69" s="4">
        <v>1</v>
      </c>
      <c r="P69" s="4">
        <v>0</v>
      </c>
      <c r="Q69" s="5" t="s">
        <v>1074</v>
      </c>
      <c r="R69" s="2" t="str">
        <f>HYPERLINK("http://exon.niaid.nih.gov/transcriptome/Tx_amboinensis_sialome/Table_1/links/NR\TX-contig_43-NR.txt","ribosomal protein L28 [Aedes aegypti]")</f>
        <v>ribosomal protein L28 [Aedes aegypti]</v>
      </c>
      <c r="S69" s="4" t="str">
        <f>HYPERLINK("http://www.ncbi.nlm.nih.gov/sutils/blink.cgi?pid=94468574","2E-027")</f>
        <v>2E-027</v>
      </c>
      <c r="T69" t="s">
        <v>156</v>
      </c>
      <c r="U69" s="4">
        <v>63</v>
      </c>
      <c r="V69" s="4">
        <v>72</v>
      </c>
      <c r="W69" t="s">
        <v>901</v>
      </c>
      <c r="X69" t="s">
        <v>157</v>
      </c>
      <c r="Y69" t="s">
        <v>805</v>
      </c>
      <c r="Z69" s="2" t="s">
        <v>806</v>
      </c>
      <c r="AA69">
        <f>HYPERLINK("http://exon.niaid.nih.gov/transcriptome/Tx_amboinensis_sialome/Table_1/links/GO\TX-contig_43-GO.txt",0.0000000000002)</f>
        <v>0</v>
      </c>
      <c r="AB69" t="s">
        <v>722</v>
      </c>
      <c r="AC69" t="s">
        <v>911</v>
      </c>
      <c r="AD69" t="s">
        <v>723</v>
      </c>
      <c r="AE69" t="s">
        <v>724</v>
      </c>
      <c r="AF69">
        <v>2E-13</v>
      </c>
      <c r="AG69" s="2" t="str">
        <f>HYPERLINK("http://exon.niaid.nih.gov/transcriptome/Tx_amboinensis_sialome/Table_1/links/KOG\TX-contig_43-KOG.txt","60S ribosomal protein L28")</f>
        <v>60S ribosomal protein L28</v>
      </c>
      <c r="AH69" t="str">
        <f>HYPERLINK("http://www.ncbi.nlm.nih.gov/COG/new/shokog.cgi?KOG3412","9E-014")</f>
        <v>9E-014</v>
      </c>
      <c r="AI69" t="s">
        <v>725</v>
      </c>
      <c r="AJ69" s="2" t="str">
        <f>HYPERLINK("http://exon.niaid.nih.gov/transcriptome/Tx_amboinensis_sialome/Table_1/links/CDD\TX-contig_43-CDD.txt","Ribosomal_L28e")</f>
        <v>Ribosomal_L28e</v>
      </c>
      <c r="AK69" t="str">
        <f>HYPERLINK("http://www.ncbi.nlm.nih.gov/Structure/cdd/cddsrv.cgi?uid=pfam01778&amp;version=v4.0","2E-011")</f>
        <v>2E-011</v>
      </c>
      <c r="AL69" t="s">
        <v>807</v>
      </c>
      <c r="AM69" s="2" t="str">
        <f>HYPERLINK("http://exon.niaid.nih.gov/transcriptome/Tx_amboinensis_sialome/Table_1/links/PFAM\TX-contig_43-PFAM.txt","Ribosomal_L28e")</f>
        <v>Ribosomal_L28e</v>
      </c>
      <c r="AN69" t="str">
        <f>HYPERLINK("http://pfam.wustl.edu/cgi-bin/getdesc?acc=PF01778","1E-011")</f>
        <v>1E-011</v>
      </c>
      <c r="AO69" s="2" t="str">
        <f>HYPERLINK("http://exon.niaid.nih.gov/transcriptome/Tx_amboinensis_sialome/Table_1/links/SMART\TX-contig_43-SMART.txt","KISc")</f>
        <v>KISc</v>
      </c>
      <c r="AP69" t="str">
        <f>HYPERLINK("http://smart.embl-heidelberg.de/smart/do_annotation.pl?DOMAIN=KISc&amp;BLAST=DUMMY","0.17")</f>
        <v>0.17</v>
      </c>
      <c r="AQ69" s="2" t="s">
        <v>324</v>
      </c>
      <c r="AR69" t="s">
        <v>324</v>
      </c>
      <c r="AS69" s="2" t="s">
        <v>324</v>
      </c>
      <c r="AT69" t="s">
        <v>324</v>
      </c>
    </row>
    <row r="70" spans="1:46" ht="11.25">
      <c r="A70" t="str">
        <f>HYPERLINK("http://exon.niaid.nih.gov/transcriptome/Tx_amboinensis_sialome/Table_1/links/TX-contig_24.txt","TX-contig_24")</f>
        <v>TX-contig_24</v>
      </c>
      <c r="B70" t="str">
        <f>HYPERLINK("http://exon.niaid.nih.gov/transcriptome/Tx_amboinensis_sialome/Table_1/links/TX-5-90-90-asb-24.txt","Contig-24")</f>
        <v>Contig-24</v>
      </c>
      <c r="C70" t="str">
        <f>HYPERLINK("http://exon.niaid.nih.gov/transcriptome/Tx_amboinensis_sialome/Table_1/links/TX-5-90-90-24-CLU.txt","Contig24")</f>
        <v>Contig24</v>
      </c>
      <c r="D70" s="4">
        <v>3</v>
      </c>
      <c r="E70">
        <v>451</v>
      </c>
      <c r="F70" t="s">
        <v>322</v>
      </c>
      <c r="G70">
        <v>49.7</v>
      </c>
      <c r="H70">
        <v>432</v>
      </c>
      <c r="I70">
        <v>24</v>
      </c>
      <c r="J70" t="s">
        <v>347</v>
      </c>
      <c r="K70">
        <v>433</v>
      </c>
      <c r="L70" s="3" t="s">
        <v>1035</v>
      </c>
      <c r="M70" s="4">
        <v>0</v>
      </c>
      <c r="N70" s="4">
        <v>0</v>
      </c>
      <c r="O70" s="4">
        <v>5</v>
      </c>
      <c r="P70" s="4">
        <v>0</v>
      </c>
      <c r="Q70" s="5" t="s">
        <v>1052</v>
      </c>
      <c r="R70" s="2" t="str">
        <f>HYPERLINK("http://exon.niaid.nih.gov/transcriptome/Tx_amboinensis_sialome/Table_1/links/NR\TX-contig_24-NR.txt","60S ribosomal protein L32 [Aedes aegy")</f>
        <v>60S ribosomal protein L32 [Aedes aegy</v>
      </c>
      <c r="S70" s="4" t="str">
        <f>HYPERLINK("http://www.ncbi.nlm.nih.gov/sutils/blink.cgi?pid=94468888","8E-057")</f>
        <v>8E-057</v>
      </c>
      <c r="T70" t="s">
        <v>158</v>
      </c>
      <c r="U70" s="4">
        <v>93</v>
      </c>
      <c r="V70" s="4">
        <v>85</v>
      </c>
      <c r="W70" t="s">
        <v>901</v>
      </c>
      <c r="X70" t="s">
        <v>159</v>
      </c>
      <c r="Y70" t="s">
        <v>227</v>
      </c>
      <c r="Z70" s="2" t="s">
        <v>228</v>
      </c>
      <c r="AA70">
        <f>HYPERLINK("http://exon.niaid.nih.gov/transcriptome/Tx_amboinensis_sialome/Table_1/links/GO\TX-contig_24-GO.txt",3E-55)</f>
        <v>0</v>
      </c>
      <c r="AB70" t="s">
        <v>722</v>
      </c>
      <c r="AC70" t="s">
        <v>911</v>
      </c>
      <c r="AD70" t="s">
        <v>723</v>
      </c>
      <c r="AE70" t="s">
        <v>724</v>
      </c>
      <c r="AF70" s="1">
        <v>3E-55</v>
      </c>
      <c r="AG70" s="2" t="str">
        <f>HYPERLINK("http://exon.niaid.nih.gov/transcriptome/Tx_amboinensis_sialome/Table_1/links/KOG\TX-contig_24-KOG.txt","60S ribosomal protein L32")</f>
        <v>60S ribosomal protein L32</v>
      </c>
      <c r="AH70" t="str">
        <f>HYPERLINK("http://www.ncbi.nlm.nih.gov/COG/new/shokog.cgi?KOG0878","3E-053")</f>
        <v>3E-053</v>
      </c>
      <c r="AI70" t="s">
        <v>725</v>
      </c>
      <c r="AJ70" s="2" t="str">
        <f>HYPERLINK("http://exon.niaid.nih.gov/transcriptome/Tx_amboinensis_sialome/Table_1/links/CDD\TX-contig_24-CDD.txt","Ribosomal_L32e")</f>
        <v>Ribosomal_L32e</v>
      </c>
      <c r="AK70" t="str">
        <f>HYPERLINK("http://www.ncbi.nlm.nih.gov/Structure/cdd/cddsrv.cgi?uid=pfam01655&amp;version=v4.0","3E-046")</f>
        <v>3E-046</v>
      </c>
      <c r="AL70" t="s">
        <v>229</v>
      </c>
      <c r="AM70" s="2" t="str">
        <f>HYPERLINK("http://exon.niaid.nih.gov/transcriptome/Tx_amboinensis_sialome/Table_1/links/PFAM\TX-contig_24-PFAM.txt","Ribosomal_L32e")</f>
        <v>Ribosomal_L32e</v>
      </c>
      <c r="AN70" t="str">
        <f>HYPERLINK("http://pfam.wustl.edu/cgi-bin/getdesc?acc=PF01655","2E-046")</f>
        <v>2E-046</v>
      </c>
      <c r="AO70" s="2" t="str">
        <f>HYPERLINK("http://exon.niaid.nih.gov/transcriptome/Tx_amboinensis_sialome/Table_1/links/SMART\TX-contig_24-SMART.txt","TR_FER")</f>
        <v>TR_FER</v>
      </c>
      <c r="AP70" t="str">
        <f>HYPERLINK("http://smart.embl-heidelberg.de/smart/do_annotation.pl?DOMAIN=TR_FER&amp;BLAST=DUMMY","0.33")</f>
        <v>0.33</v>
      </c>
      <c r="AQ70" s="2" t="s">
        <v>324</v>
      </c>
      <c r="AR70" t="s">
        <v>324</v>
      </c>
      <c r="AS70" s="2" t="s">
        <v>324</v>
      </c>
      <c r="AT70" t="s">
        <v>324</v>
      </c>
    </row>
    <row r="71" spans="1:46" ht="11.25">
      <c r="A71" t="str">
        <f>HYPERLINK("http://exon.niaid.nih.gov/transcriptome/Tx_amboinensis_sialome/Table_1/links/TX-contig_452.txt","TX-contig_452")</f>
        <v>TX-contig_452</v>
      </c>
      <c r="B71" t="str">
        <f>HYPERLINK("http://exon.niaid.nih.gov/transcriptome/Tx_amboinensis_sialome/Table_1/links/TX-5-90-90-asb-452.txt","Contig-452")</f>
        <v>Contig-452</v>
      </c>
      <c r="C71" t="str">
        <f>HYPERLINK("http://exon.niaid.nih.gov/transcriptome/Tx_amboinensis_sialome/Table_1/links/TX-5-90-90-452-CLU.txt","Contig452")</f>
        <v>Contig452</v>
      </c>
      <c r="D71" s="4">
        <v>1</v>
      </c>
      <c r="E71">
        <v>130</v>
      </c>
      <c r="F71" t="s">
        <v>322</v>
      </c>
      <c r="G71">
        <v>61.5</v>
      </c>
      <c r="H71">
        <v>111</v>
      </c>
      <c r="I71">
        <v>452</v>
      </c>
      <c r="J71" t="s">
        <v>622</v>
      </c>
      <c r="K71">
        <v>111</v>
      </c>
      <c r="L71" s="3" t="s">
        <v>1036</v>
      </c>
      <c r="M71" s="4">
        <v>0</v>
      </c>
      <c r="N71" s="4">
        <v>0</v>
      </c>
      <c r="O71" s="4">
        <v>0</v>
      </c>
      <c r="P71" s="4">
        <v>0</v>
      </c>
      <c r="Q71" s="5" t="s">
        <v>1097</v>
      </c>
      <c r="R71" s="2" t="str">
        <f>HYPERLINK("http://exon.niaid.nih.gov/transcriptome/Tx_amboinensis_sialome/Table_1/links/NR\TX-contig_452-NR.txt","60S ribosomal protein L35 [Aedes aegy")</f>
        <v>60S ribosomal protein L35 [Aedes aegy</v>
      </c>
      <c r="S71" s="4" t="str">
        <f>HYPERLINK("http://www.ncbi.nlm.nih.gov/sutils/blink.cgi?pid=94468500","5E-004")</f>
        <v>5E-004</v>
      </c>
      <c r="T71" t="s">
        <v>160</v>
      </c>
      <c r="U71" s="4">
        <v>91</v>
      </c>
      <c r="V71" s="4">
        <v>20</v>
      </c>
      <c r="W71" t="s">
        <v>901</v>
      </c>
      <c r="X71" t="s">
        <v>161</v>
      </c>
      <c r="Y71" t="s">
        <v>1009</v>
      </c>
      <c r="Z71" s="2" t="s">
        <v>324</v>
      </c>
      <c r="AA71" t="s">
        <v>324</v>
      </c>
      <c r="AB71" t="s">
        <v>324</v>
      </c>
      <c r="AC71" t="s">
        <v>324</v>
      </c>
      <c r="AD71" t="s">
        <v>324</v>
      </c>
      <c r="AE71" t="s">
        <v>324</v>
      </c>
      <c r="AF71" t="s">
        <v>324</v>
      </c>
      <c r="AG71" s="2" t="str">
        <f>HYPERLINK("http://exon.niaid.nih.gov/transcriptome/Tx_amboinensis_sialome/Table_1/links/KOG\TX-contig_452-KOG.txt","60S ribosomal protein L35")</f>
        <v>60S ribosomal protein L35</v>
      </c>
      <c r="AH71" t="str">
        <f>HYPERLINK("http://www.ncbi.nlm.nih.gov/COG/new/shokog.cgi?KOG3436","0.068")</f>
        <v>0.068</v>
      </c>
      <c r="AI71" t="s">
        <v>725</v>
      </c>
      <c r="AJ71" s="2" t="s">
        <v>324</v>
      </c>
      <c r="AK71" t="s">
        <v>324</v>
      </c>
      <c r="AL71" t="s">
        <v>324</v>
      </c>
      <c r="AM71" s="2" t="s">
        <v>324</v>
      </c>
      <c r="AN71" t="s">
        <v>324</v>
      </c>
      <c r="AO71" s="2" t="str">
        <f>HYPERLINK("http://exon.niaid.nih.gov/transcriptome/Tx_amboinensis_sialome/Table_1/links/SMART\TX-contig_452-SMART.txt","IPPc")</f>
        <v>IPPc</v>
      </c>
      <c r="AP71" t="str">
        <f>HYPERLINK("http://smart.embl-heidelberg.de/smart/do_annotation.pl?DOMAIN=IPPc&amp;BLAST=DUMMY","0.58")</f>
        <v>0.58</v>
      </c>
      <c r="AQ71" s="2" t="s">
        <v>324</v>
      </c>
      <c r="AR71" t="s">
        <v>324</v>
      </c>
      <c r="AS71" s="2" t="s">
        <v>324</v>
      </c>
      <c r="AT71" t="s">
        <v>324</v>
      </c>
    </row>
    <row r="72" spans="1:46" ht="11.25">
      <c r="A72" t="str">
        <f>HYPERLINK("http://exon.niaid.nih.gov/transcriptome/Tx_amboinensis_sialome/Table_1/links/TX-contig_70.txt","TX-contig_70")</f>
        <v>TX-contig_70</v>
      </c>
      <c r="B72" t="str">
        <f>HYPERLINK("http://exon.niaid.nih.gov/transcriptome/Tx_amboinensis_sialome/Table_1/links/TX-5-90-90-asb-70.txt","Contig-70")</f>
        <v>Contig-70</v>
      </c>
      <c r="C72" t="str">
        <f>HYPERLINK("http://exon.niaid.nih.gov/transcriptome/Tx_amboinensis_sialome/Table_1/links/TX-5-90-90-70-CLU.txt","Contig70")</f>
        <v>Contig70</v>
      </c>
      <c r="D72" s="4">
        <v>1</v>
      </c>
      <c r="E72">
        <v>497</v>
      </c>
      <c r="F72" t="s">
        <v>322</v>
      </c>
      <c r="G72">
        <v>53.3</v>
      </c>
      <c r="H72">
        <v>478</v>
      </c>
      <c r="I72">
        <v>70</v>
      </c>
      <c r="J72" t="s">
        <v>389</v>
      </c>
      <c r="K72">
        <v>478</v>
      </c>
      <c r="L72" s="3" t="s">
        <v>1035</v>
      </c>
      <c r="M72" s="4">
        <v>0</v>
      </c>
      <c r="N72" s="4">
        <v>0</v>
      </c>
      <c r="O72" s="4">
        <v>2</v>
      </c>
      <c r="P72" s="4">
        <v>0</v>
      </c>
      <c r="Q72" s="5" t="s">
        <v>1055</v>
      </c>
      <c r="R72" s="2" t="str">
        <f>HYPERLINK("http://exon.niaid.nih.gov/transcriptome/Tx_amboinensis_sialome/Table_1/links/NR\TX-contig_70-NR.txt","60S ribosomal protein L36 [Aedes aegy")</f>
        <v>60S ribosomal protein L36 [Aedes aegy</v>
      </c>
      <c r="S72" s="4" t="str">
        <f>HYPERLINK("http://www.ncbi.nlm.nih.gov/sutils/blink.cgi?pid=94468922","3E-058")</f>
        <v>3E-058</v>
      </c>
      <c r="T72" t="s">
        <v>162</v>
      </c>
      <c r="U72" s="4">
        <v>98</v>
      </c>
      <c r="V72" s="4">
        <v>100</v>
      </c>
      <c r="W72" t="s">
        <v>901</v>
      </c>
      <c r="X72" t="s">
        <v>163</v>
      </c>
      <c r="Y72" t="s">
        <v>949</v>
      </c>
      <c r="Z72" s="2" t="s">
        <v>950</v>
      </c>
      <c r="AA72">
        <f>HYPERLINK("http://exon.niaid.nih.gov/transcriptome/Tx_amboinensis_sialome/Table_1/links/GO\TX-contig_70-GO.txt",2E-46)</f>
        <v>0</v>
      </c>
      <c r="AB72" t="s">
        <v>722</v>
      </c>
      <c r="AC72" t="s">
        <v>911</v>
      </c>
      <c r="AD72" t="s">
        <v>723</v>
      </c>
      <c r="AE72" t="s">
        <v>724</v>
      </c>
      <c r="AF72" s="1">
        <v>2E-46</v>
      </c>
      <c r="AG72" s="2" t="str">
        <f>HYPERLINK("http://exon.niaid.nih.gov/transcriptome/Tx_amboinensis_sialome/Table_1/links/KOG\TX-contig_70-KOG.txt","60S ribosomal protein L36")</f>
        <v>60S ribosomal protein L36</v>
      </c>
      <c r="AH72" t="str">
        <f>HYPERLINK("http://www.ncbi.nlm.nih.gov/COG/new/shokog.cgi?KOG3452","3E-040")</f>
        <v>3E-040</v>
      </c>
      <c r="AI72" t="s">
        <v>725</v>
      </c>
      <c r="AJ72" s="2" t="str">
        <f>HYPERLINK("http://exon.niaid.nih.gov/transcriptome/Tx_amboinensis_sialome/Table_1/links/CDD\TX-contig_70-CDD.txt","Ribosomal_L36e")</f>
        <v>Ribosomal_L36e</v>
      </c>
      <c r="AK72" t="str">
        <f>HYPERLINK("http://www.ncbi.nlm.nih.gov/Structure/cdd/cddsrv.cgi?uid=pfam01158&amp;version=v4.0","8E-040")</f>
        <v>8E-040</v>
      </c>
      <c r="AL72" t="s">
        <v>951</v>
      </c>
      <c r="AM72" s="2" t="str">
        <f>HYPERLINK("http://exon.niaid.nih.gov/transcriptome/Tx_amboinensis_sialome/Table_1/links/PFAM\TX-contig_70-PFAM.txt","Ribosomal_L36e")</f>
        <v>Ribosomal_L36e</v>
      </c>
      <c r="AN72" t="str">
        <f>HYPERLINK("http://pfam.wustl.edu/cgi-bin/getdesc?acc=PF01158","4E-040")</f>
        <v>4E-040</v>
      </c>
      <c r="AO72" s="2" t="str">
        <f>HYPERLINK("http://exon.niaid.nih.gov/transcriptome/Tx_amboinensis_sialome/Table_1/links/SMART\TX-contig_70-SMART.txt","POLAc")</f>
        <v>POLAc</v>
      </c>
      <c r="AP72" t="str">
        <f>HYPERLINK("http://smart.embl-heidelberg.de/smart/do_annotation.pl?DOMAIN=POLAc&amp;BLAST=DUMMY","0.12")</f>
        <v>0.12</v>
      </c>
      <c r="AQ72" s="2" t="s">
        <v>324</v>
      </c>
      <c r="AR72" t="s">
        <v>324</v>
      </c>
      <c r="AS72" s="2" t="s">
        <v>324</v>
      </c>
      <c r="AT72" t="s">
        <v>324</v>
      </c>
    </row>
    <row r="73" spans="1:46" ht="11.25">
      <c r="A73" t="str">
        <f>HYPERLINK("http://exon.niaid.nih.gov/transcriptome/Tx_amboinensis_sialome/Table_1/links/TX-contig_39.txt","TX-contig_39")</f>
        <v>TX-contig_39</v>
      </c>
      <c r="B73" t="str">
        <f>HYPERLINK("http://exon.niaid.nih.gov/transcriptome/Tx_amboinensis_sialome/Table_1/links/TX-5-90-90-asb-39.txt","Contig-39")</f>
        <v>Contig-39</v>
      </c>
      <c r="C73" t="str">
        <f>HYPERLINK("http://exon.niaid.nih.gov/transcriptome/Tx_amboinensis_sialome/Table_1/links/TX-5-90-90-39-CLU.txt","Contig39")</f>
        <v>Contig39</v>
      </c>
      <c r="D73" s="4">
        <v>2</v>
      </c>
      <c r="E73">
        <v>464</v>
      </c>
      <c r="F73" t="s">
        <v>322</v>
      </c>
      <c r="G73">
        <v>56</v>
      </c>
      <c r="H73">
        <v>445</v>
      </c>
      <c r="I73">
        <v>39</v>
      </c>
      <c r="J73" t="s">
        <v>362</v>
      </c>
      <c r="K73">
        <v>171</v>
      </c>
      <c r="L73" s="3" t="s">
        <v>1035</v>
      </c>
      <c r="M73" s="4">
        <v>0</v>
      </c>
      <c r="N73" s="4">
        <v>0</v>
      </c>
      <c r="O73" s="4">
        <v>1</v>
      </c>
      <c r="P73" s="4">
        <v>0</v>
      </c>
      <c r="Q73" s="5" t="s">
        <v>1053</v>
      </c>
      <c r="R73" s="2" t="str">
        <f>HYPERLINK("http://exon.niaid.nih.gov/transcriptome/Tx_amboinensis_sialome/Table_1/links/NR\TX-contig_39-NR.txt","60S ribosomal protein L37 [Aedes aegy")</f>
        <v>60S ribosomal protein L37 [Aedes aegy</v>
      </c>
      <c r="S73" s="4" t="str">
        <f>HYPERLINK("http://www.ncbi.nlm.nih.gov/sutils/blink.cgi?pid=45934571","2E-047")</f>
        <v>2E-047</v>
      </c>
      <c r="T73" t="s">
        <v>800</v>
      </c>
      <c r="U73" s="4">
        <v>96</v>
      </c>
      <c r="V73" s="4">
        <v>100</v>
      </c>
      <c r="W73" t="s">
        <v>901</v>
      </c>
      <c r="X73" t="s">
        <v>164</v>
      </c>
      <c r="Y73" t="s">
        <v>801</v>
      </c>
      <c r="Z73" s="2" t="s">
        <v>802</v>
      </c>
      <c r="AA73">
        <f>HYPERLINK("http://exon.niaid.nih.gov/transcriptome/Tx_amboinensis_sialome/Table_1/links/GO\TX-contig_39-GO.txt",3E-43)</f>
        <v>0</v>
      </c>
      <c r="AB73" t="s">
        <v>722</v>
      </c>
      <c r="AC73" t="s">
        <v>911</v>
      </c>
      <c r="AD73" t="s">
        <v>723</v>
      </c>
      <c r="AE73" t="s">
        <v>724</v>
      </c>
      <c r="AF73" s="1">
        <v>3E-43</v>
      </c>
      <c r="AG73" s="2" t="str">
        <f>HYPERLINK("http://exon.niaid.nih.gov/transcriptome/Tx_amboinensis_sialome/Table_1/links/KOG\TX-contig_39-KOG.txt","60S ribosomal protein L37")</f>
        <v>60S ribosomal protein L37</v>
      </c>
      <c r="AH73" t="str">
        <f>HYPERLINK("http://www.ncbi.nlm.nih.gov/COG/new/shokog.cgi?KOG3475","1E-047")</f>
        <v>1E-047</v>
      </c>
      <c r="AI73" t="s">
        <v>725</v>
      </c>
      <c r="AJ73" s="2" t="str">
        <f>HYPERLINK("http://exon.niaid.nih.gov/transcriptome/Tx_amboinensis_sialome/Table_1/links/CDD\TX-contig_39-CDD.txt","Ribosomal_L37e")</f>
        <v>Ribosomal_L37e</v>
      </c>
      <c r="AK73" t="str">
        <f>HYPERLINK("http://www.ncbi.nlm.nih.gov/Structure/cdd/cddsrv.cgi?uid=pfam01907&amp;version=v4.0","6E-025")</f>
        <v>6E-025</v>
      </c>
      <c r="AL73" t="s">
        <v>803</v>
      </c>
      <c r="AM73" s="2" t="str">
        <f>HYPERLINK("http://exon.niaid.nih.gov/transcriptome/Tx_amboinensis_sialome/Table_1/links/PFAM\TX-contig_39-PFAM.txt","Ribosomal_L37e")</f>
        <v>Ribosomal_L37e</v>
      </c>
      <c r="AN73" t="str">
        <f>HYPERLINK("http://pfam.wustl.edu/cgi-bin/getdesc?acc=PF01907","3E-025")</f>
        <v>3E-025</v>
      </c>
      <c r="AO73" s="2" t="str">
        <f>HYPERLINK("http://exon.niaid.nih.gov/transcriptome/Tx_amboinensis_sialome/Table_1/links/SMART\TX-contig_39-SMART.txt","RPOL9")</f>
        <v>RPOL9</v>
      </c>
      <c r="AP73" t="str">
        <f>HYPERLINK("http://smart.embl-heidelberg.de/smart/do_annotation.pl?DOMAIN=RPOL9&amp;BLAST=DUMMY","0.016")</f>
        <v>0.016</v>
      </c>
      <c r="AQ73" s="2" t="s">
        <v>324</v>
      </c>
      <c r="AR73" t="s">
        <v>324</v>
      </c>
      <c r="AS73" s="2" t="s">
        <v>324</v>
      </c>
      <c r="AT73" t="s">
        <v>324</v>
      </c>
    </row>
    <row r="74" spans="1:46" ht="11.25">
      <c r="A74" t="str">
        <f>HYPERLINK("http://exon.niaid.nih.gov/transcriptome/Tx_amboinensis_sialome/Table_1/links/TX-contig_152.txt","TX-contig_152")</f>
        <v>TX-contig_152</v>
      </c>
      <c r="B74" t="str">
        <f>HYPERLINK("http://exon.niaid.nih.gov/transcriptome/Tx_amboinensis_sialome/Table_1/links/TX-5-90-90-asb-152.txt","Contig-152")</f>
        <v>Contig-152</v>
      </c>
      <c r="C74" t="str">
        <f>HYPERLINK("http://exon.niaid.nih.gov/transcriptome/Tx_amboinensis_sialome/Table_1/links/TX-5-90-90-152-CLU.txt","Contig152")</f>
        <v>Contig152</v>
      </c>
      <c r="D74" s="4">
        <v>1</v>
      </c>
      <c r="E74">
        <v>241</v>
      </c>
      <c r="F74" t="s">
        <v>322</v>
      </c>
      <c r="G74">
        <v>54.8</v>
      </c>
      <c r="H74">
        <v>222</v>
      </c>
      <c r="I74">
        <v>152</v>
      </c>
      <c r="J74" t="s">
        <v>466</v>
      </c>
      <c r="K74">
        <v>222</v>
      </c>
      <c r="L74" s="3" t="s">
        <v>1035</v>
      </c>
      <c r="M74" s="4">
        <v>0</v>
      </c>
      <c r="N74" s="4">
        <v>0</v>
      </c>
      <c r="O74" s="4">
        <v>1</v>
      </c>
      <c r="P74" s="4">
        <v>0</v>
      </c>
      <c r="Q74" s="5" t="s">
        <v>1089</v>
      </c>
      <c r="R74" s="2" t="str">
        <f>HYPERLINK("http://exon.niaid.nih.gov/transcriptome/Tx_amboinensis_sialome/Table_1/links/NR\TX-contig_152-NR.txt","ribosomal protein L7AE [Aedes aegypti]      68   1e-010")</f>
        <v>ribosomal protein L7AE [Aedes aegypti]      68   1e-010</v>
      </c>
      <c r="S74" s="4" t="str">
        <f>HYPERLINK("http://www.ncbi.nlm.nih.gov/sutils/blink.cgi?pid=94468816","1E-010")</f>
        <v>1E-010</v>
      </c>
      <c r="T74" t="s">
        <v>165</v>
      </c>
      <c r="U74" s="4">
        <v>100</v>
      </c>
      <c r="V74" s="4">
        <v>12</v>
      </c>
      <c r="W74" t="s">
        <v>901</v>
      </c>
      <c r="X74" t="s">
        <v>166</v>
      </c>
      <c r="Y74" t="s">
        <v>1145</v>
      </c>
      <c r="Z74" s="2" t="s">
        <v>1146</v>
      </c>
      <c r="AA74">
        <f>HYPERLINK("http://exon.niaid.nih.gov/transcriptome/Tx_amboinensis_sialome/Table_1/links/GO\TX-contig_152-GO.txt",0.00000002)</f>
        <v>0</v>
      </c>
      <c r="AB74" t="s">
        <v>722</v>
      </c>
      <c r="AC74" t="s">
        <v>911</v>
      </c>
      <c r="AD74" t="s">
        <v>723</v>
      </c>
      <c r="AE74" t="s">
        <v>724</v>
      </c>
      <c r="AF74">
        <v>2E-08</v>
      </c>
      <c r="AG74" s="2" t="str">
        <f>HYPERLINK("http://exon.niaid.nih.gov/transcriptome/Tx_amboinensis_sialome/Table_1/links/KOG\TX-contig_152-KOG.txt","Beta-catenin-binding protein APC, contains ARM repeats")</f>
        <v>Beta-catenin-binding protein APC, contains ARM repeats</v>
      </c>
      <c r="AH74" t="str">
        <f>HYPERLINK("http://www.ncbi.nlm.nih.gov/COG/new/shokog.cgi?KOG2122","0.18")</f>
        <v>0.18</v>
      </c>
      <c r="AI74" t="s">
        <v>713</v>
      </c>
      <c r="AJ74" s="2" t="str">
        <f>HYPERLINK("http://exon.niaid.nih.gov/transcriptome/Tx_amboinensis_sialome/Table_1/links/CDD\TX-contig_152-CDD.txt","ResB")</f>
        <v>ResB</v>
      </c>
      <c r="AK74" t="str">
        <f>HYPERLINK("http://www.ncbi.nlm.nih.gov/Structure/cdd/cddsrv.cgi?uid=pfam05140&amp;version=v4.0","0.33")</f>
        <v>0.33</v>
      </c>
      <c r="AL74" t="s">
        <v>1147</v>
      </c>
      <c r="AM74" s="2" t="str">
        <f>HYPERLINK("http://exon.niaid.nih.gov/transcriptome/Tx_amboinensis_sialome/Table_1/links/PFAM\TX-contig_152-PFAM.txt","ResB")</f>
        <v>ResB</v>
      </c>
      <c r="AN74" t="str">
        <f>HYPERLINK("http://pfam.wustl.edu/cgi-bin/getdesc?acc=PF05140","0.17")</f>
        <v>0.17</v>
      </c>
      <c r="AO74" s="2" t="str">
        <f>HYPERLINK("http://exon.niaid.nih.gov/transcriptome/Tx_amboinensis_sialome/Table_1/links/SMART\TX-contig_152-SMART.txt","POLAc")</f>
        <v>POLAc</v>
      </c>
      <c r="AP74" t="str">
        <f>HYPERLINK("http://smart.embl-heidelberg.de/smart/do_annotation.pl?DOMAIN=POLAc&amp;BLAST=DUMMY","0.040")</f>
        <v>0.040</v>
      </c>
      <c r="AQ74" s="2" t="s">
        <v>324</v>
      </c>
      <c r="AR74" t="s">
        <v>324</v>
      </c>
      <c r="AS74" s="2" t="s">
        <v>324</v>
      </c>
      <c r="AT74" t="s">
        <v>324</v>
      </c>
    </row>
    <row r="75" spans="1:46" ht="11.25">
      <c r="A75" t="str">
        <f>HYPERLINK("http://exon.niaid.nih.gov/transcriptome/Tx_amboinensis_sialome/Table_1/links/TX-contig_103.txt","TX-contig_103")</f>
        <v>TX-contig_103</v>
      </c>
      <c r="B75" t="str">
        <f>HYPERLINK("http://exon.niaid.nih.gov/transcriptome/Tx_amboinensis_sialome/Table_1/links/TX-5-90-90-asb-103.txt","Contig-103")</f>
        <v>Contig-103</v>
      </c>
      <c r="C75" t="str">
        <f>HYPERLINK("http://exon.niaid.nih.gov/transcriptome/Tx_amboinensis_sialome/Table_1/links/TX-5-90-90-103-CLU.txt","Contig103")</f>
        <v>Contig103</v>
      </c>
      <c r="D75" s="4">
        <v>1</v>
      </c>
      <c r="E75">
        <v>311</v>
      </c>
      <c r="F75">
        <v>0.3</v>
      </c>
      <c r="G75">
        <v>48.2</v>
      </c>
      <c r="H75">
        <v>292</v>
      </c>
      <c r="I75">
        <v>103</v>
      </c>
      <c r="J75" t="s">
        <v>420</v>
      </c>
      <c r="K75">
        <v>292</v>
      </c>
      <c r="L75" s="3" t="s">
        <v>1035</v>
      </c>
      <c r="M75" s="4">
        <v>0</v>
      </c>
      <c r="N75" s="4">
        <v>0</v>
      </c>
      <c r="O75" s="4">
        <v>2</v>
      </c>
      <c r="P75" s="4">
        <v>0</v>
      </c>
      <c r="Q75" s="5" t="s">
        <v>1076</v>
      </c>
      <c r="R75" s="2" t="str">
        <f>HYPERLINK("http://exon.niaid.nih.gov/transcriptome/Tx_amboinensis_sialome/Table_1/links/NR\TX-contig_103-NR.txt","60S acidic ribosomal protein P2 [Aede")</f>
        <v>60S acidic ribosomal protein P2 [Aede</v>
      </c>
      <c r="S75" s="4" t="str">
        <f>HYPERLINK("http://www.ncbi.nlm.nih.gov/sutils/blink.cgi?pid=94468498","6E-018")</f>
        <v>6E-018</v>
      </c>
      <c r="T75" t="s">
        <v>167</v>
      </c>
      <c r="U75" s="4">
        <v>85</v>
      </c>
      <c r="V75" s="4">
        <v>38</v>
      </c>
      <c r="W75" t="s">
        <v>901</v>
      </c>
      <c r="X75" t="s">
        <v>168</v>
      </c>
      <c r="Y75" t="s">
        <v>282</v>
      </c>
      <c r="Z75" s="2" t="s">
        <v>283</v>
      </c>
      <c r="AA75">
        <f>HYPERLINK("http://exon.niaid.nih.gov/transcriptome/Tx_amboinensis_sialome/Table_1/links/GO\TX-contig_103-GO.txt",0.00000000001)</f>
        <v>0</v>
      </c>
      <c r="AB75" t="s">
        <v>722</v>
      </c>
      <c r="AC75" t="s">
        <v>911</v>
      </c>
      <c r="AD75" t="s">
        <v>723</v>
      </c>
      <c r="AE75" t="s">
        <v>724</v>
      </c>
      <c r="AF75">
        <v>1E-11</v>
      </c>
      <c r="AG75" s="2" t="str">
        <f>HYPERLINK("http://exon.niaid.nih.gov/transcriptome/Tx_amboinensis_sialome/Table_1/links/KOG\TX-contig_103-KOG.txt","60S acidic ribosomal protein P2")</f>
        <v>60S acidic ribosomal protein P2</v>
      </c>
      <c r="AH75" t="str">
        <f>HYPERLINK("http://www.ncbi.nlm.nih.gov/COG/new/shokog.cgi?KOG3449","1E-011")</f>
        <v>1E-011</v>
      </c>
      <c r="AI75" t="s">
        <v>725</v>
      </c>
      <c r="AJ75" s="2" t="str">
        <f>HYPERLINK("http://exon.niaid.nih.gov/transcriptome/Tx_amboinensis_sialome/Table_1/links/CDD\TX-contig_103-CDD.txt","Ribosomal_60s")</f>
        <v>Ribosomal_60s</v>
      </c>
      <c r="AK75" t="str">
        <f>HYPERLINK("http://www.ncbi.nlm.nih.gov/Structure/cdd/cddsrv.cgi?uid=pfam00428&amp;version=v4.0","3E-011")</f>
        <v>3E-011</v>
      </c>
      <c r="AL75" t="s">
        <v>284</v>
      </c>
      <c r="AM75" s="2" t="str">
        <f>HYPERLINK("http://exon.niaid.nih.gov/transcriptome/Tx_amboinensis_sialome/Table_1/links/PFAM\TX-contig_103-PFAM.txt","Ribosomal_60s")</f>
        <v>Ribosomal_60s</v>
      </c>
      <c r="AN75" t="str">
        <f>HYPERLINK("http://pfam.wustl.edu/cgi-bin/getdesc?acc=PF00428","1E-011")</f>
        <v>1E-011</v>
      </c>
      <c r="AO75" s="2" t="str">
        <f>HYPERLINK("http://exon.niaid.nih.gov/transcriptome/Tx_amboinensis_sialome/Table_1/links/SMART\TX-contig_103-SMART.txt","DM6")</f>
        <v>DM6</v>
      </c>
      <c r="AP75" t="str">
        <f>HYPERLINK("http://smart.embl-heidelberg.de/smart/do_annotation.pl?DOMAIN=DM6&amp;BLAST=DUMMY","0.029")</f>
        <v>0.029</v>
      </c>
      <c r="AQ75" s="2" t="s">
        <v>324</v>
      </c>
      <c r="AR75" t="s">
        <v>324</v>
      </c>
      <c r="AS75" s="2" t="s">
        <v>324</v>
      </c>
      <c r="AT75" t="s">
        <v>324</v>
      </c>
    </row>
    <row r="76" spans="1:46" ht="11.25">
      <c r="A76" t="str">
        <f>HYPERLINK("http://exon.niaid.nih.gov/transcriptome/Tx_amboinensis_sialome/Table_1/links/TX-contig_239.txt","TX-contig_239")</f>
        <v>TX-contig_239</v>
      </c>
      <c r="B76" t="str">
        <f>HYPERLINK("http://exon.niaid.nih.gov/transcriptome/Tx_amboinensis_sialome/Table_1/links/TX-5-90-90-asb-239.txt","Contig-239")</f>
        <v>Contig-239</v>
      </c>
      <c r="C76" t="str">
        <f>HYPERLINK("http://exon.niaid.nih.gov/transcriptome/Tx_amboinensis_sialome/Table_1/links/TX-5-90-90-239-CLU.txt","Contig239")</f>
        <v>Contig239</v>
      </c>
      <c r="D76" s="4">
        <v>1</v>
      </c>
      <c r="E76">
        <v>213</v>
      </c>
      <c r="F76" t="s">
        <v>322</v>
      </c>
      <c r="G76">
        <v>62.9</v>
      </c>
      <c r="H76">
        <v>194</v>
      </c>
      <c r="I76">
        <v>239</v>
      </c>
      <c r="J76" t="s">
        <v>552</v>
      </c>
      <c r="K76">
        <v>194</v>
      </c>
      <c r="L76" s="3" t="s">
        <v>1034</v>
      </c>
      <c r="M76" s="4">
        <v>1</v>
      </c>
      <c r="N76" s="4">
        <v>0</v>
      </c>
      <c r="O76" s="4">
        <v>0</v>
      </c>
      <c r="P76" s="4">
        <v>0</v>
      </c>
      <c r="Q76" s="5" t="s">
        <v>1075</v>
      </c>
      <c r="R76" s="2" t="str">
        <f>HYPERLINK("http://exon.niaid.nih.gov/transcriptome/Tx_amboinensis_sialome/Table_1/links/NR\TX-contig_239-NR.txt","putative ribosomal protein [Anophele")</f>
        <v>putative ribosomal protein [Anophele</v>
      </c>
      <c r="S76" s="4" t="str">
        <f>HYPERLINK("http://www.ncbi.nlm.nih.gov/sutils/blink.cgi?pid=19577384","1E-009")</f>
        <v>1E-009</v>
      </c>
      <c r="T76" t="s">
        <v>890</v>
      </c>
      <c r="U76" s="4">
        <v>93</v>
      </c>
      <c r="V76" s="4">
        <v>52</v>
      </c>
      <c r="W76" t="s">
        <v>864</v>
      </c>
      <c r="X76" t="s">
        <v>169</v>
      </c>
      <c r="Y76" t="s">
        <v>891</v>
      </c>
      <c r="Z76" s="2" t="s">
        <v>892</v>
      </c>
      <c r="AA76">
        <f>HYPERLINK("http://exon.niaid.nih.gov/transcriptome/Tx_amboinensis_sialome/Table_1/links/GO\TX-contig_239-GO.txt",0.0000000002)</f>
        <v>0</v>
      </c>
      <c r="AB76" t="s">
        <v>722</v>
      </c>
      <c r="AC76" t="s">
        <v>911</v>
      </c>
      <c r="AD76" t="s">
        <v>723</v>
      </c>
      <c r="AE76" t="s">
        <v>724</v>
      </c>
      <c r="AF76">
        <v>2E-10</v>
      </c>
      <c r="AG76" s="2" t="str">
        <f>HYPERLINK("http://exon.niaid.nih.gov/transcriptome/Tx_amboinensis_sialome/Table_1/links/KOG\TX-contig_239-KOG.txt","40S ribosomal protein S29")</f>
        <v>40S ribosomal protein S29</v>
      </c>
      <c r="AH76" t="str">
        <f>HYPERLINK("http://www.ncbi.nlm.nih.gov/COG/new/shokog.cgi?KOG3506","4E-012")</f>
        <v>4E-012</v>
      </c>
      <c r="AI76" t="s">
        <v>725</v>
      </c>
      <c r="AJ76" s="2" t="str">
        <f>HYPERLINK("http://exon.niaid.nih.gov/transcriptome/Tx_amboinensis_sialome/Table_1/links/CDD\TX-contig_239-CDD.txt","RpsN")</f>
        <v>RpsN</v>
      </c>
      <c r="AK76" t="str">
        <f>HYPERLINK("http://www.ncbi.nlm.nih.gov/Structure/cdd/cddsrv.cgi?uid=COG0199&amp;version=v4.0","7E-005")</f>
        <v>7E-005</v>
      </c>
      <c r="AL76" t="s">
        <v>893</v>
      </c>
      <c r="AM76" s="2" t="str">
        <f>HYPERLINK("http://exon.niaid.nih.gov/transcriptome/Tx_amboinensis_sialome/Table_1/links/PFAM\TX-contig_239-PFAM.txt","Ribosomal_S14")</f>
        <v>Ribosomal_S14</v>
      </c>
      <c r="AN76" t="str">
        <f>HYPERLINK("http://pfam.wustl.edu/cgi-bin/getdesc?acc=PF00253","0.087")</f>
        <v>0.087</v>
      </c>
      <c r="AO76" s="2" t="str">
        <f>HYPERLINK("http://exon.niaid.nih.gov/transcriptome/Tx_amboinensis_sialome/Table_1/links/SMART\TX-contig_239-SMART.txt","SCY")</f>
        <v>SCY</v>
      </c>
      <c r="AP76" t="str">
        <f>HYPERLINK("http://smart.embl-heidelberg.de/smart/do_annotation.pl?DOMAIN=SCY&amp;BLAST=DUMMY","0.40")</f>
        <v>0.40</v>
      </c>
      <c r="AQ76" s="2" t="s">
        <v>324</v>
      </c>
      <c r="AR76" t="s">
        <v>324</v>
      </c>
      <c r="AS76" s="2" t="s">
        <v>324</v>
      </c>
      <c r="AT76" t="s">
        <v>324</v>
      </c>
    </row>
    <row r="77" spans="1:46" ht="11.25">
      <c r="A77" t="str">
        <f>HYPERLINK("http://exon.niaid.nih.gov/transcriptome/Tx_amboinensis_sialome/Table_1/links/TX-contig_116.txt","TX-contig_116")</f>
        <v>TX-contig_116</v>
      </c>
      <c r="B77" t="str">
        <f>HYPERLINK("http://exon.niaid.nih.gov/transcriptome/Tx_amboinensis_sialome/Table_1/links/TX-5-90-90-asb-116.txt","Contig-116")</f>
        <v>Contig-116</v>
      </c>
      <c r="C77" t="str">
        <f>HYPERLINK("http://exon.niaid.nih.gov/transcriptome/Tx_amboinensis_sialome/Table_1/links/TX-5-90-90-116-CLU.txt","Contig116")</f>
        <v>Contig116</v>
      </c>
      <c r="D77" s="4">
        <v>1</v>
      </c>
      <c r="E77">
        <v>637</v>
      </c>
      <c r="F77" t="s">
        <v>322</v>
      </c>
      <c r="G77">
        <v>44.6</v>
      </c>
      <c r="H77" t="s">
        <v>324</v>
      </c>
      <c r="I77">
        <v>116</v>
      </c>
      <c r="J77" t="s">
        <v>432</v>
      </c>
      <c r="K77" t="s">
        <v>324</v>
      </c>
      <c r="L77" s="3" t="s">
        <v>1036</v>
      </c>
      <c r="M77" s="4">
        <v>0</v>
      </c>
      <c r="N77" s="4">
        <v>0</v>
      </c>
      <c r="O77" s="4">
        <v>0</v>
      </c>
      <c r="P77" s="4">
        <v>0</v>
      </c>
      <c r="Q77" s="5" t="s">
        <v>1050</v>
      </c>
      <c r="R77" s="2" t="str">
        <f>HYPERLINK("http://exon.niaid.nih.gov/transcriptome/Tx_amboinensis_sialome/Table_1/links/NR\TX-contig_116-NR.txt","elongation factor 1 beta [Aedes aegypti]   390   e-107")</f>
        <v>elongation factor 1 beta [Aedes aegypti]   390   e-107</v>
      </c>
      <c r="S77" s="4" t="str">
        <f>HYPERLINK("http://www.ncbi.nlm.nih.gov/sutils/blink.cgi?pid=45934557","1E-107")</f>
        <v>1E-107</v>
      </c>
      <c r="T77" t="s">
        <v>304</v>
      </c>
      <c r="U77" s="4">
        <v>90</v>
      </c>
      <c r="V77" s="4">
        <v>94</v>
      </c>
      <c r="W77" t="s">
        <v>901</v>
      </c>
      <c r="X77" t="s">
        <v>170</v>
      </c>
      <c r="Y77" t="s">
        <v>305</v>
      </c>
      <c r="Z77" s="2" t="s">
        <v>306</v>
      </c>
      <c r="AA77">
        <f>HYPERLINK("http://exon.niaid.nih.gov/transcriptome/Tx_amboinensis_sialome/Table_1/links/GO\TX-contig_116-GO.txt",3E-88)</f>
        <v>0</v>
      </c>
      <c r="AB77" t="s">
        <v>307</v>
      </c>
      <c r="AC77" t="s">
        <v>308</v>
      </c>
      <c r="AD77" t="s">
        <v>309</v>
      </c>
      <c r="AE77" t="s">
        <v>310</v>
      </c>
      <c r="AF77" s="1">
        <v>3E-88</v>
      </c>
      <c r="AG77" s="2" t="str">
        <f>HYPERLINK("http://exon.niaid.nih.gov/transcriptome/Tx_amboinensis_sialome/Table_1/links/KOG\TX-contig_116-KOG.txt","Elongation factor 1 beta/delta chain")</f>
        <v>Elongation factor 1 beta/delta chain</v>
      </c>
      <c r="AH77" t="str">
        <f>HYPERLINK("http://www.ncbi.nlm.nih.gov/COG/new/shokog.cgi?KOG1668","5E-082")</f>
        <v>5E-082</v>
      </c>
      <c r="AI77" t="s">
        <v>855</v>
      </c>
      <c r="AJ77" s="2" t="str">
        <f>HYPERLINK("http://exon.niaid.nih.gov/transcriptome/Tx_amboinensis_sialome/Table_1/links/CDD\TX-contig_116-CDD.txt","EF1B")</f>
        <v>EF1B</v>
      </c>
      <c r="AK77" t="str">
        <f>HYPERLINK("http://www.ncbi.nlm.nih.gov/Structure/cdd/cddsrv.cgi?uid=cd00292&amp;version=v4.0","6E-031")</f>
        <v>6E-031</v>
      </c>
      <c r="AL77" t="s">
        <v>1103</v>
      </c>
      <c r="AM77" s="2" t="str">
        <f>HYPERLINK("http://exon.niaid.nih.gov/transcriptome/Tx_amboinensis_sialome/Table_1/links/PFAM\TX-contig_116-PFAM.txt","EF1_GNE")</f>
        <v>EF1_GNE</v>
      </c>
      <c r="AN77" t="str">
        <f>HYPERLINK("http://pfam.wustl.edu/cgi-bin/getdesc?acc=PF00736","8E-033")</f>
        <v>8E-033</v>
      </c>
      <c r="AO77" s="2" t="str">
        <f>HYPERLINK("http://exon.niaid.nih.gov/transcriptome/Tx_amboinensis_sialome/Table_1/links/SMART\TX-contig_116-SMART.txt","EGF_Lam")</f>
        <v>EGF_Lam</v>
      </c>
      <c r="AP77" t="str">
        <f>HYPERLINK("http://smart.embl-heidelberg.de/smart/do_annotation.pl?DOMAIN=EGF_Lam&amp;BLAST=DUMMY","0.10")</f>
        <v>0.10</v>
      </c>
      <c r="AQ77" s="2" t="s">
        <v>324</v>
      </c>
      <c r="AR77" t="s">
        <v>324</v>
      </c>
      <c r="AS77" s="2" t="s">
        <v>324</v>
      </c>
      <c r="AT77" t="s">
        <v>324</v>
      </c>
    </row>
    <row r="78" spans="1:46" ht="11.25">
      <c r="A78" t="str">
        <f>HYPERLINK("http://exon.niaid.nih.gov/transcriptome/Tx_amboinensis_sialome/Table_1/links/TX-contig_11.txt","TX-contig_11")</f>
        <v>TX-contig_11</v>
      </c>
      <c r="B78" t="str">
        <f>HYPERLINK("http://exon.niaid.nih.gov/transcriptome/Tx_amboinensis_sialome/Table_1/links/TX-5-90-90-asb-11.txt","Contig-11")</f>
        <v>Contig-11</v>
      </c>
      <c r="C78" t="str">
        <f>HYPERLINK("http://exon.niaid.nih.gov/transcriptome/Tx_amboinensis_sialome/Table_1/links/TX-5-90-90-11-CLU.txt","Contig11")</f>
        <v>Contig11</v>
      </c>
      <c r="D78" s="4">
        <v>11</v>
      </c>
      <c r="E78">
        <v>374</v>
      </c>
      <c r="F78">
        <v>0.5</v>
      </c>
      <c r="G78">
        <v>77.5</v>
      </c>
      <c r="H78">
        <v>355</v>
      </c>
      <c r="I78">
        <v>11</v>
      </c>
      <c r="J78" t="s">
        <v>334</v>
      </c>
      <c r="K78">
        <v>159</v>
      </c>
      <c r="L78" s="3" t="s">
        <v>1035</v>
      </c>
      <c r="M78" s="4">
        <v>0</v>
      </c>
      <c r="N78" s="4">
        <v>1</v>
      </c>
      <c r="O78" s="4">
        <v>5</v>
      </c>
      <c r="P78" s="4">
        <v>0</v>
      </c>
      <c r="Q78" s="5" t="s">
        <v>1045</v>
      </c>
      <c r="Y78" t="s">
        <v>324</v>
      </c>
      <c r="Z78" s="2" t="s">
        <v>324</v>
      </c>
      <c r="AA78" t="s">
        <v>324</v>
      </c>
      <c r="AB78" t="s">
        <v>324</v>
      </c>
      <c r="AC78" t="s">
        <v>324</v>
      </c>
      <c r="AD78" t="s">
        <v>324</v>
      </c>
      <c r="AE78" t="s">
        <v>324</v>
      </c>
      <c r="AF78" t="s">
        <v>324</v>
      </c>
      <c r="AG78" s="2" t="s">
        <v>324</v>
      </c>
      <c r="AH78" t="s">
        <v>324</v>
      </c>
      <c r="AI78" t="s">
        <v>324</v>
      </c>
      <c r="AJ78" s="2" t="s">
        <v>324</v>
      </c>
      <c r="AK78" t="s">
        <v>324</v>
      </c>
      <c r="AL78" t="s">
        <v>324</v>
      </c>
      <c r="AM78" s="2" t="s">
        <v>324</v>
      </c>
      <c r="AN78" t="s">
        <v>324</v>
      </c>
      <c r="AO78" s="2" t="s">
        <v>324</v>
      </c>
      <c r="AP78" t="s">
        <v>324</v>
      </c>
      <c r="AQ78" s="2" t="str">
        <f>HYPERLINK("http://exon.niaid.nih.gov/transcriptome/Tx_amboinensis_sialome/Table_1/links/MIT-PLA\TX-contig_11-MIT-PLA.txt","Anopheles gambiae mitochondrion, com")</f>
        <v>Anopheles gambiae mitochondrion, com</v>
      </c>
      <c r="AR78" t="str">
        <f>HYPERLINK("http://www.ncbi.nlm.nih.gov/sutils/blink.cgi?pid=5834911","1E-103")</f>
        <v>1E-103</v>
      </c>
      <c r="AS78" s="2" t="str">
        <f>HYPERLINK("http://exon.niaid.nih.gov/transcriptome/Tx_amboinensis_sialome/Table_1/links/RRNA\TX-contig_11-RRNA.txt","Glossina morsitans morsitans 1")</f>
        <v>Glossina morsitans morsitans 1</v>
      </c>
      <c r="AT78" t="str">
        <f>HYPERLINK("http://www.ncbi.nlm.nih.gov/sutils/blink.cgi?pid=3265161","2E-063")</f>
        <v>2E-063</v>
      </c>
    </row>
    <row r="79" spans="1:46" ht="11.25">
      <c r="A79" t="str">
        <f>HYPERLINK("http://exon.niaid.nih.gov/transcriptome/Tx_amboinensis_sialome/Table_1/links/TX-contig_79.txt","TX-contig_79")</f>
        <v>TX-contig_79</v>
      </c>
      <c r="B79" t="str">
        <f>HYPERLINK("http://exon.niaid.nih.gov/transcriptome/Tx_amboinensis_sialome/Table_1/links/TX-5-90-90-asb-79.txt","Contig-79")</f>
        <v>Contig-79</v>
      </c>
      <c r="C79" t="str">
        <f>HYPERLINK("http://exon.niaid.nih.gov/transcriptome/Tx_amboinensis_sialome/Table_1/links/TX-5-90-90-79-CLU.txt","Contig79")</f>
        <v>Contig79</v>
      </c>
      <c r="D79" s="4">
        <v>1</v>
      </c>
      <c r="E79">
        <v>389</v>
      </c>
      <c r="F79">
        <v>2.6</v>
      </c>
      <c r="G79">
        <v>47.3</v>
      </c>
      <c r="H79">
        <v>370</v>
      </c>
      <c r="I79">
        <v>79</v>
      </c>
      <c r="J79" t="s">
        <v>397</v>
      </c>
      <c r="K79">
        <v>370</v>
      </c>
      <c r="L79" s="3" t="s">
        <v>1035</v>
      </c>
      <c r="M79" s="4">
        <v>0</v>
      </c>
      <c r="N79" s="4">
        <v>0</v>
      </c>
      <c r="O79" s="4">
        <v>2</v>
      </c>
      <c r="P79" s="4">
        <v>0</v>
      </c>
      <c r="Q79" s="5" t="s">
        <v>1084</v>
      </c>
      <c r="R79" s="2" t="str">
        <f>HYPERLINK("http://exon.niaid.nih.gov/transcriptome/Tx_amboinensis_sialome/Table_1/links/NR\TX-contig_79-NR.txt","unknown [Schistosoma japonicum]             81   2e-014")</f>
        <v>unknown [Schistosoma japonicum]             81   2e-014</v>
      </c>
      <c r="S79" s="4" t="str">
        <f>HYPERLINK("http://www.ncbi.nlm.nih.gov/sutils/blink.cgi?pid=60600824","2E-014")</f>
        <v>2E-014</v>
      </c>
      <c r="T79" t="s">
        <v>958</v>
      </c>
      <c r="U79" s="4">
        <v>69</v>
      </c>
      <c r="V79" s="4">
        <v>54</v>
      </c>
      <c r="W79" t="s">
        <v>843</v>
      </c>
      <c r="X79" t="s">
        <v>207</v>
      </c>
      <c r="Y79" t="s">
        <v>959</v>
      </c>
      <c r="Z79" s="2" t="s">
        <v>324</v>
      </c>
      <c r="AA79" t="s">
        <v>324</v>
      </c>
      <c r="AB79" t="s">
        <v>324</v>
      </c>
      <c r="AC79" t="s">
        <v>324</v>
      </c>
      <c r="AD79" t="s">
        <v>324</v>
      </c>
      <c r="AE79" t="s">
        <v>324</v>
      </c>
      <c r="AF79" t="s">
        <v>324</v>
      </c>
      <c r="AG79" s="2" t="str">
        <f>HYPERLINK("http://exon.niaid.nih.gov/transcriptome/Tx_amboinensis_sialome/Table_1/links/KOG\TX-contig_79-KOG.txt","Uncharacterized conserved protein")</f>
        <v>Uncharacterized conserved protein</v>
      </c>
      <c r="AH79" t="str">
        <f>HYPERLINK("http://www.ncbi.nlm.nih.gov/COG/new/shokog.cgi?KOG3685","0.25")</f>
        <v>0.25</v>
      </c>
      <c r="AI79" t="s">
        <v>900</v>
      </c>
      <c r="AJ79" s="2" t="str">
        <f>HYPERLINK("http://exon.niaid.nih.gov/transcriptome/Tx_amboinensis_sialome/Table_1/links/CDD\TX-contig_79-CDD.txt","RgpF")</f>
        <v>RgpF</v>
      </c>
      <c r="AK79" t="str">
        <f>HYPERLINK("http://www.ncbi.nlm.nih.gov/Structure/cdd/cddsrv.cgi?uid=COG3754&amp;version=v4.0","0.087")</f>
        <v>0.087</v>
      </c>
      <c r="AL79" t="s">
        <v>960</v>
      </c>
      <c r="AM79" s="2" t="str">
        <f>HYPERLINK("http://exon.niaid.nih.gov/transcriptome/Tx_amboinensis_sialome/Table_1/links/PFAM\TX-contig_79-PFAM.txt","DUF509")</f>
        <v>DUF509</v>
      </c>
      <c r="AN79" t="str">
        <f>HYPERLINK("http://pfam.wustl.edu/cgi-bin/getdesc?acc=PF04416","0.70")</f>
        <v>0.70</v>
      </c>
      <c r="AO79" s="2" t="s">
        <v>324</v>
      </c>
      <c r="AP79" t="s">
        <v>324</v>
      </c>
      <c r="AQ79" s="2" t="s">
        <v>324</v>
      </c>
      <c r="AR79" t="s">
        <v>324</v>
      </c>
      <c r="AS79" s="2" t="str">
        <f>HYPERLINK("http://exon.niaid.nih.gov/transcriptome/Tx_amboinensis_sialome/Table_1/links/RRNA\TX-contig_79-RRNA.txt","Spea multiplicata 28S ribosomal")</f>
        <v>Spea multiplicata 28S ribosomal</v>
      </c>
      <c r="AT79" t="str">
        <f>HYPERLINK("http://www.ncbi.nlm.nih.gov/sutils/blink.cgi?pid=175932","2E-038")</f>
        <v>2E-038</v>
      </c>
    </row>
    <row r="80" spans="1:46" ht="12" thickBot="1">
      <c r="A80" t="str">
        <f>HYPERLINK("http://exon.niaid.nih.gov/transcriptome/Tx_amboinensis_sialome/Table_1/links/TX-contig_118.txt","TX-contig_118")</f>
        <v>TX-contig_118</v>
      </c>
      <c r="B80" t="str">
        <f>HYPERLINK("http://exon.niaid.nih.gov/transcriptome/Tx_amboinensis_sialome/Table_1/links/TX-5-90-90-asb-118.txt","Contig-118")</f>
        <v>Contig-118</v>
      </c>
      <c r="C80" t="str">
        <f>HYPERLINK("http://exon.niaid.nih.gov/transcriptome/Tx_amboinensis_sialome/Table_1/links/TX-5-90-90-118-CLU.txt","Contig118")</f>
        <v>Contig118</v>
      </c>
      <c r="D80" s="4">
        <v>1</v>
      </c>
      <c r="E80">
        <v>113</v>
      </c>
      <c r="F80" t="s">
        <v>322</v>
      </c>
      <c r="G80">
        <v>70.8</v>
      </c>
      <c r="H80" t="s">
        <v>324</v>
      </c>
      <c r="I80">
        <v>118</v>
      </c>
      <c r="J80" t="s">
        <v>434</v>
      </c>
      <c r="K80" t="s">
        <v>324</v>
      </c>
      <c r="L80" s="3" t="s">
        <v>1036</v>
      </c>
      <c r="M80" s="4">
        <v>0</v>
      </c>
      <c r="N80" s="4">
        <v>0</v>
      </c>
      <c r="O80" s="4">
        <v>0</v>
      </c>
      <c r="P80" s="4">
        <v>0</v>
      </c>
      <c r="Q80" s="5" t="s">
        <v>1084</v>
      </c>
      <c r="Y80" t="s">
        <v>324</v>
      </c>
      <c r="Z80" s="2" t="s">
        <v>324</v>
      </c>
      <c r="AA80" t="s">
        <v>324</v>
      </c>
      <c r="AB80" t="s">
        <v>324</v>
      </c>
      <c r="AC80" t="s">
        <v>324</v>
      </c>
      <c r="AD80" t="s">
        <v>324</v>
      </c>
      <c r="AE80" t="s">
        <v>324</v>
      </c>
      <c r="AF80" t="s">
        <v>324</v>
      </c>
      <c r="AG80" s="2" t="s">
        <v>324</v>
      </c>
      <c r="AH80" t="s">
        <v>324</v>
      </c>
      <c r="AI80" t="s">
        <v>324</v>
      </c>
      <c r="AJ80" s="2" t="s">
        <v>324</v>
      </c>
      <c r="AK80" t="s">
        <v>324</v>
      </c>
      <c r="AL80" t="s">
        <v>324</v>
      </c>
      <c r="AM80" s="2" t="s">
        <v>324</v>
      </c>
      <c r="AN80" t="s">
        <v>324</v>
      </c>
      <c r="AO80" s="2" t="s">
        <v>324</v>
      </c>
      <c r="AP80" t="s">
        <v>324</v>
      </c>
      <c r="AQ80" s="2" t="str">
        <f>HYPERLINK("http://exon.niaid.nih.gov/transcriptome/Tx_amboinensis_sialome/Table_1/links/MIT-PLA\TX-contig_118-MIT-PLA.txt","Drosophila yakuba mitochondrion, com")</f>
        <v>Drosophila yakuba mitochondrion, com</v>
      </c>
      <c r="AR80" t="str">
        <f>HYPERLINK("http://www.ncbi.nlm.nih.gov/sutils/blink.cgi?pid=5834829","8E-031")</f>
        <v>8E-031</v>
      </c>
      <c r="AS80" s="2" t="str">
        <f>HYPERLINK("http://exon.niaid.nih.gov/transcriptome/Tx_amboinensis_sialome/Table_1/links/RRNA\TX-contig_118-RRNA.txt","Glossina morsitans morsitans 1")</f>
        <v>Glossina morsitans morsitans 1</v>
      </c>
      <c r="AT80" t="str">
        <f>HYPERLINK("http://www.ncbi.nlm.nih.gov/sutils/blink.cgi?pid=3265161","2E-020")</f>
        <v>2E-020</v>
      </c>
    </row>
    <row r="81" spans="1:22" s="14" customFormat="1" ht="12" thickBot="1">
      <c r="A81" s="15" t="s">
        <v>106</v>
      </c>
      <c r="D81" s="13"/>
      <c r="L81" s="13"/>
      <c r="M81" s="13"/>
      <c r="N81" s="13"/>
      <c r="O81" s="13"/>
      <c r="P81" s="13"/>
      <c r="R81" s="13"/>
      <c r="S81" s="13"/>
      <c r="U81" s="13"/>
      <c r="V81" s="13"/>
    </row>
    <row r="82" spans="1:46" ht="12" thickBot="1">
      <c r="A82" t="str">
        <f>HYPERLINK("http://exon.niaid.nih.gov/transcriptome/Tx_amboinensis_sialome/Table_1/links/TX-contig_90.txt","TX-contig_90")</f>
        <v>TX-contig_90</v>
      </c>
      <c r="B82" t="str">
        <f>HYPERLINK("http://exon.niaid.nih.gov/transcriptome/Tx_amboinensis_sialome/Table_1/links/TX-5-90-90-asb-90.txt","Contig-90")</f>
        <v>Contig-90</v>
      </c>
      <c r="C82" t="str">
        <f>HYPERLINK("http://exon.niaid.nih.gov/transcriptome/Tx_amboinensis_sialome/Table_1/links/TX-5-90-90-90-CLU.txt","Contig90")</f>
        <v>Contig90</v>
      </c>
      <c r="D82" s="4">
        <v>1</v>
      </c>
      <c r="E82">
        <v>605</v>
      </c>
      <c r="F82">
        <v>0.3</v>
      </c>
      <c r="G82">
        <v>49.6</v>
      </c>
      <c r="H82">
        <v>586</v>
      </c>
      <c r="I82">
        <v>90</v>
      </c>
      <c r="J82" t="s">
        <v>408</v>
      </c>
      <c r="K82">
        <v>586</v>
      </c>
      <c r="L82" s="3" t="s">
        <v>1035</v>
      </c>
      <c r="M82" s="4">
        <v>0</v>
      </c>
      <c r="N82" s="4">
        <v>0</v>
      </c>
      <c r="O82" s="4">
        <v>1</v>
      </c>
      <c r="P82" s="4">
        <v>0</v>
      </c>
      <c r="Q82" s="5" t="s">
        <v>1065</v>
      </c>
      <c r="R82" s="2" t="str">
        <f>HYPERLINK("http://exon.niaid.nih.gov/transcriptome/Tx_amboinensis_sialome/Table_1/links/NR\TX-contig_90-NR.txt","40S ribosomal protein S30 [Aedes aeg")</f>
        <v>40S ribosomal protein S30 [Aedes aeg</v>
      </c>
      <c r="S82" s="4" t="str">
        <f>HYPERLINK("http://www.ncbi.nlm.nih.gov/sutils/blink.cgi?pid=108874238","2E-058")</f>
        <v>2E-058</v>
      </c>
      <c r="T82" t="s">
        <v>208</v>
      </c>
      <c r="U82" s="4">
        <v>88</v>
      </c>
      <c r="V82" s="4">
        <v>100</v>
      </c>
      <c r="W82" t="s">
        <v>901</v>
      </c>
      <c r="X82" t="s">
        <v>209</v>
      </c>
      <c r="Y82" t="s">
        <v>982</v>
      </c>
      <c r="Z82" s="2" t="s">
        <v>983</v>
      </c>
      <c r="AA82">
        <f>HYPERLINK("http://exon.niaid.nih.gov/transcriptome/Tx_amboinensis_sialome/Table_1/links/GO\TX-contig_90-GO.txt",5E-43)</f>
        <v>0</v>
      </c>
      <c r="AB82" t="s">
        <v>722</v>
      </c>
      <c r="AC82" t="s">
        <v>911</v>
      </c>
      <c r="AD82" t="s">
        <v>723</v>
      </c>
      <c r="AE82" t="s">
        <v>724</v>
      </c>
      <c r="AF82" s="1">
        <v>5E-43</v>
      </c>
      <c r="AG82" s="2" t="str">
        <f>HYPERLINK("http://exon.niaid.nih.gov/transcriptome/Tx_amboinensis_sialome/Table_1/links/KOG\TX-contig_90-KOG.txt","Ubiquitin-like/40S ribosomal S30 protein fusion")</f>
        <v>Ubiquitin-like/40S ribosomal S30 protein fusion</v>
      </c>
      <c r="AH82" t="str">
        <f>HYPERLINK("http://www.ncbi.nlm.nih.gov/COG/new/shokog.cgi?KOG0009","2E-024")</f>
        <v>2E-024</v>
      </c>
      <c r="AI82" t="s">
        <v>984</v>
      </c>
      <c r="AJ82" s="2" t="str">
        <f>HYPERLINK("http://exon.niaid.nih.gov/transcriptome/Tx_amboinensis_sialome/Table_1/links/CDD\TX-contig_90-CDD.txt","Ribosomal_S30")</f>
        <v>Ribosomal_S30</v>
      </c>
      <c r="AK82" t="str">
        <f>HYPERLINK("http://www.ncbi.nlm.nih.gov/Structure/cdd/cddsrv.cgi?uid=pfam04758&amp;version=v4.0","2E-024")</f>
        <v>2E-024</v>
      </c>
      <c r="AL82" t="s">
        <v>985</v>
      </c>
      <c r="AM82" s="2" t="str">
        <f>HYPERLINK("http://exon.niaid.nih.gov/transcriptome/Tx_amboinensis_sialome/Table_1/links/PFAM\TX-contig_90-PFAM.txt","Ribosomal_S30")</f>
        <v>Ribosomal_S30</v>
      </c>
      <c r="AN82" t="str">
        <f>HYPERLINK("http://pfam.wustl.edu/cgi-bin/getdesc?acc=PF04758","1E-024")</f>
        <v>1E-024</v>
      </c>
      <c r="AO82" s="2" t="str">
        <f>HYPERLINK("http://exon.niaid.nih.gov/transcriptome/Tx_amboinensis_sialome/Table_1/links/SMART\TX-contig_90-SMART.txt","UBQ")</f>
        <v>UBQ</v>
      </c>
      <c r="AP82" t="str">
        <f>HYPERLINK("http://smart.embl-heidelberg.de/smart/do_annotation.pl?DOMAIN=UBQ&amp;BLAST=DUMMY","2E-007")</f>
        <v>2E-007</v>
      </c>
      <c r="AQ82" s="2" t="s">
        <v>324</v>
      </c>
      <c r="AR82" t="s">
        <v>324</v>
      </c>
      <c r="AS82" s="2" t="s">
        <v>324</v>
      </c>
      <c r="AT82" t="s">
        <v>324</v>
      </c>
    </row>
    <row r="83" spans="1:22" s="14" customFormat="1" ht="12" thickBot="1">
      <c r="A83" s="15" t="s">
        <v>936</v>
      </c>
      <c r="D83" s="13"/>
      <c r="L83" s="13"/>
      <c r="M83" s="13"/>
      <c r="N83" s="13"/>
      <c r="O83" s="13"/>
      <c r="P83" s="13"/>
      <c r="R83" s="13"/>
      <c r="S83" s="13"/>
      <c r="U83" s="13"/>
      <c r="V83" s="13"/>
    </row>
    <row r="84" spans="1:46" ht="12" thickBot="1">
      <c r="A84" t="str">
        <f>HYPERLINK("http://exon.niaid.nih.gov/transcriptome/Tx_amboinensis_sialome/Table_1/links/TX-contig_111.txt","TX-contig_111")</f>
        <v>TX-contig_111</v>
      </c>
      <c r="B84" t="str">
        <f>HYPERLINK("http://exon.niaid.nih.gov/transcriptome/Tx_amboinensis_sialome/Table_1/links/TX-5-90-90-asb-111.txt","Contig-111")</f>
        <v>Contig-111</v>
      </c>
      <c r="C84" t="str">
        <f>HYPERLINK("http://exon.niaid.nih.gov/transcriptome/Tx_amboinensis_sialome/Table_1/links/TX-5-90-90-111-CLU.txt","Contig111")</f>
        <v>Contig111</v>
      </c>
      <c r="D84" s="4">
        <v>1</v>
      </c>
      <c r="E84">
        <v>617</v>
      </c>
      <c r="F84" t="s">
        <v>322</v>
      </c>
      <c r="G84">
        <v>54.3</v>
      </c>
      <c r="H84" t="s">
        <v>324</v>
      </c>
      <c r="I84">
        <v>111</v>
      </c>
      <c r="J84" t="s">
        <v>427</v>
      </c>
      <c r="K84" t="s">
        <v>324</v>
      </c>
      <c r="L84" s="3" t="s">
        <v>1035</v>
      </c>
      <c r="M84" s="4">
        <v>0</v>
      </c>
      <c r="N84" s="4">
        <v>0</v>
      </c>
      <c r="O84" s="4">
        <v>1</v>
      </c>
      <c r="P84" s="4">
        <v>0</v>
      </c>
      <c r="Q84" s="5" t="s">
        <v>1059</v>
      </c>
      <c r="R84" s="2" t="str">
        <f>HYPERLINK("http://exon.niaid.nih.gov/transcriptome/Tx_amboinensis_sialome/Table_1/links/NR\TX-contig_111-NR.txt","annexin [Aedes aegypti]                   177   2e-043")</f>
        <v>annexin [Aedes aegypti]                   177   2e-043</v>
      </c>
      <c r="S84" s="4" t="str">
        <f>HYPERLINK("http://www.ncbi.nlm.nih.gov/sutils/blink.cgi?pid=108872402","2E-043")</f>
        <v>2E-043</v>
      </c>
      <c r="T84" t="s">
        <v>210</v>
      </c>
      <c r="U84" s="4">
        <v>94</v>
      </c>
      <c r="V84" s="4">
        <v>29</v>
      </c>
      <c r="W84" t="s">
        <v>901</v>
      </c>
      <c r="X84" t="s">
        <v>211</v>
      </c>
      <c r="Y84" t="s">
        <v>293</v>
      </c>
      <c r="Z84" s="2" t="s">
        <v>294</v>
      </c>
      <c r="AA84">
        <f>HYPERLINK("http://exon.niaid.nih.gov/transcriptome/Tx_amboinensis_sialome/Table_1/links/GO\TX-contig_111-GO.txt",1E-32)</f>
        <v>0</v>
      </c>
      <c r="AB84" t="s">
        <v>295</v>
      </c>
      <c r="AC84" t="s">
        <v>837</v>
      </c>
      <c r="AD84" t="s">
        <v>296</v>
      </c>
      <c r="AE84" t="s">
        <v>297</v>
      </c>
      <c r="AF84" s="1">
        <v>1E-32</v>
      </c>
      <c r="AG84" s="2" t="str">
        <f>HYPERLINK("http://exon.niaid.nih.gov/transcriptome/Tx_amboinensis_sialome/Table_1/links/KOG\TX-contig_111-KOG.txt","Annexin")</f>
        <v>Annexin</v>
      </c>
      <c r="AH84" t="str">
        <f>HYPERLINK("http://www.ncbi.nlm.nih.gov/COG/new/shokog.cgi?KOG0819","1E-033")</f>
        <v>1E-033</v>
      </c>
      <c r="AI84" t="s">
        <v>233</v>
      </c>
      <c r="AJ84" s="2" t="str">
        <f>HYPERLINK("http://exon.niaid.nih.gov/transcriptome/Tx_amboinensis_sialome/Table_1/links/CDD\TX-contig_111-CDD.txt","Annexin")</f>
        <v>Annexin</v>
      </c>
      <c r="AK84" t="str">
        <f>HYPERLINK("http://www.ncbi.nlm.nih.gov/Structure/cdd/cddsrv.cgi?uid=pfam00191&amp;version=v4.0","5E-020")</f>
        <v>5E-020</v>
      </c>
      <c r="AL84" t="s">
        <v>298</v>
      </c>
      <c r="AM84" s="2" t="str">
        <f>HYPERLINK("http://exon.niaid.nih.gov/transcriptome/Tx_amboinensis_sialome/Table_1/links/PFAM\TX-contig_111-PFAM.txt","Annexin")</f>
        <v>Annexin</v>
      </c>
      <c r="AN84" t="str">
        <f>HYPERLINK("http://pfam.wustl.edu/cgi-bin/getdesc?acc=PF00191","3E-020")</f>
        <v>3E-020</v>
      </c>
      <c r="AO84" s="2" t="str">
        <f>HYPERLINK("http://exon.niaid.nih.gov/transcriptome/Tx_amboinensis_sialome/Table_1/links/SMART\TX-contig_111-SMART.txt","ANX")</f>
        <v>ANX</v>
      </c>
      <c r="AP84" t="str">
        <f>HYPERLINK("http://smart.embl-heidelberg.de/smart/do_annotation.pl?DOMAIN=ANX&amp;BLAST=DUMMY","9E-017")</f>
        <v>9E-017</v>
      </c>
      <c r="AQ84" s="2" t="s">
        <v>324</v>
      </c>
      <c r="AR84" t="s">
        <v>324</v>
      </c>
      <c r="AS84" s="2" t="s">
        <v>324</v>
      </c>
      <c r="AT84" t="s">
        <v>324</v>
      </c>
    </row>
    <row r="85" spans="1:22" s="14" customFormat="1" ht="12" thickBot="1">
      <c r="A85" s="15" t="s">
        <v>937</v>
      </c>
      <c r="D85" s="13"/>
      <c r="L85" s="13"/>
      <c r="M85" s="13"/>
      <c r="N85" s="13"/>
      <c r="O85" s="13"/>
      <c r="P85" s="13"/>
      <c r="R85" s="13"/>
      <c r="S85" s="13"/>
      <c r="U85" s="13"/>
      <c r="V85" s="13"/>
    </row>
    <row r="86" spans="1:46" ht="11.25">
      <c r="A86" t="str">
        <f>HYPERLINK("http://exon.niaid.nih.gov/transcriptome/Tx_amboinensis_sialome/Table_1/links/TX-contig_73.txt","TX-contig_73")</f>
        <v>TX-contig_73</v>
      </c>
      <c r="B86" t="str">
        <f>HYPERLINK("http://exon.niaid.nih.gov/transcriptome/Tx_amboinensis_sialome/Table_1/links/TX-5-90-90-asb-73.txt","Contig-73")</f>
        <v>Contig-73</v>
      </c>
      <c r="C86" t="str">
        <f>HYPERLINK("http://exon.niaid.nih.gov/transcriptome/Tx_amboinensis_sialome/Table_1/links/TX-5-90-90-73-CLU.txt","Contig73")</f>
        <v>Contig73</v>
      </c>
      <c r="D86" s="4">
        <v>1</v>
      </c>
      <c r="E86">
        <v>471</v>
      </c>
      <c r="F86" t="s">
        <v>322</v>
      </c>
      <c r="G86">
        <v>60.9</v>
      </c>
      <c r="H86">
        <v>452</v>
      </c>
      <c r="I86">
        <v>73</v>
      </c>
      <c r="J86" t="s">
        <v>391</v>
      </c>
      <c r="K86">
        <v>452</v>
      </c>
      <c r="L86" s="3" t="s">
        <v>1034</v>
      </c>
      <c r="M86" s="4">
        <v>1</v>
      </c>
      <c r="N86" s="4">
        <v>0</v>
      </c>
      <c r="O86" s="4">
        <v>0</v>
      </c>
      <c r="P86" s="4">
        <v>0</v>
      </c>
      <c r="Q86" s="5" t="s">
        <v>1071</v>
      </c>
      <c r="R86" s="2" t="str">
        <f>HYPERLINK("http://exon.niaid.nih.gov/transcriptome/Tx_amboinensis_sialome/Table_1/links/NR\TX-contig_73-NR.txt","catalase [Aedes aegypti]                   114   2e-024")</f>
        <v>catalase [Aedes aegypti]                   114   2e-024</v>
      </c>
      <c r="S86" s="4" t="str">
        <f>HYPERLINK("http://www.ncbi.nlm.nih.gov/sutils/blink.cgi?pid=94468602","2E-024")</f>
        <v>2E-024</v>
      </c>
      <c r="T86" t="s">
        <v>212</v>
      </c>
      <c r="U86" s="4">
        <v>76</v>
      </c>
      <c r="V86" s="4">
        <v>16</v>
      </c>
      <c r="W86" t="s">
        <v>901</v>
      </c>
      <c r="X86" t="s">
        <v>213</v>
      </c>
      <c r="Y86" t="s">
        <v>952</v>
      </c>
      <c r="Z86" s="2" t="s">
        <v>953</v>
      </c>
      <c r="AA86">
        <f>HYPERLINK("http://exon.niaid.nih.gov/transcriptome/Tx_amboinensis_sialome/Table_1/links/GO\TX-contig_73-GO.txt",0.00000000000000001)</f>
        <v>0</v>
      </c>
      <c r="AB86" t="s">
        <v>954</v>
      </c>
      <c r="AC86" t="s">
        <v>174</v>
      </c>
      <c r="AD86" t="s">
        <v>814</v>
      </c>
      <c r="AE86" t="s">
        <v>955</v>
      </c>
      <c r="AF86" s="1">
        <v>1E-17</v>
      </c>
      <c r="AG86" s="2" t="str">
        <f>HYPERLINK("http://exon.niaid.nih.gov/transcriptome/Tx_amboinensis_sialome/Table_1/links/KOG\TX-contig_73-KOG.txt","Catalase")</f>
        <v>Catalase</v>
      </c>
      <c r="AH86" t="str">
        <f>HYPERLINK("http://www.ncbi.nlm.nih.gov/COG/new/shokog.cgi?KOG0047","8E-018")</f>
        <v>8E-018</v>
      </c>
      <c r="AI86" t="s">
        <v>840</v>
      </c>
      <c r="AJ86" s="2" t="str">
        <f>HYPERLINK("http://exon.niaid.nih.gov/transcriptome/Tx_amboinensis_sialome/Table_1/links/CDD\TX-contig_73-CDD.txt","catalase")</f>
        <v>catalase</v>
      </c>
      <c r="AK86" t="str">
        <f>HYPERLINK("http://www.ncbi.nlm.nih.gov/Structure/cdd/cddsrv.cgi?uid=cd00328&amp;version=v4.0","1E-014")</f>
        <v>1E-014</v>
      </c>
      <c r="AL86" t="s">
        <v>956</v>
      </c>
      <c r="AM86" s="2" t="str">
        <f>HYPERLINK("http://exon.niaid.nih.gov/transcriptome/Tx_amboinensis_sialome/Table_1/links/PFAM\TX-contig_73-PFAM.txt","Prominin")</f>
        <v>Prominin</v>
      </c>
      <c r="AN86" t="str">
        <f>HYPERLINK("http://pfam.wustl.edu/cgi-bin/getdesc?acc=PF05478","0.34")</f>
        <v>0.34</v>
      </c>
      <c r="AO86" s="2" t="str">
        <f>HYPERLINK("http://exon.niaid.nih.gov/transcriptome/Tx_amboinensis_sialome/Table_1/links/SMART\TX-contig_73-SMART.txt","Glyco_32")</f>
        <v>Glyco_32</v>
      </c>
      <c r="AP86" t="str">
        <f>HYPERLINK("http://smart.embl-heidelberg.de/smart/do_annotation.pl?DOMAIN=Glyco_32&amp;BLAST=DUMMY","0.27")</f>
        <v>0.27</v>
      </c>
      <c r="AQ86" s="2" t="s">
        <v>324</v>
      </c>
      <c r="AR86" t="s">
        <v>324</v>
      </c>
      <c r="AS86" s="2" t="s">
        <v>324</v>
      </c>
      <c r="AT86" t="s">
        <v>324</v>
      </c>
    </row>
    <row r="87" spans="1:46" ht="12" thickBot="1">
      <c r="A87" t="str">
        <f>HYPERLINK("http://exon.niaid.nih.gov/transcriptome/Tx_amboinensis_sialome/Table_1/links/TX-contig_319.txt","TX-contig_319")</f>
        <v>TX-contig_319</v>
      </c>
      <c r="B87" t="str">
        <f>HYPERLINK("http://exon.niaid.nih.gov/transcriptome/Tx_amboinensis_sialome/Table_1/links/TX-5-90-90-asb-319.txt","Contig-319")</f>
        <v>Contig-319</v>
      </c>
      <c r="C87" t="str">
        <f>HYPERLINK("http://exon.niaid.nih.gov/transcriptome/Tx_amboinensis_sialome/Table_1/links/TX-5-90-90-319-CLU.txt","Contig319")</f>
        <v>Contig319</v>
      </c>
      <c r="D87" s="4">
        <v>1</v>
      </c>
      <c r="E87">
        <v>397</v>
      </c>
      <c r="F87">
        <v>2</v>
      </c>
      <c r="G87">
        <v>71</v>
      </c>
      <c r="H87">
        <v>280</v>
      </c>
      <c r="I87">
        <v>319</v>
      </c>
      <c r="J87" t="s">
        <v>1173</v>
      </c>
      <c r="K87">
        <v>280</v>
      </c>
      <c r="L87" s="3" t="s">
        <v>1035</v>
      </c>
      <c r="M87" s="4">
        <v>0</v>
      </c>
      <c r="N87" s="4">
        <v>0</v>
      </c>
      <c r="O87" s="4">
        <v>1</v>
      </c>
      <c r="P87" s="4">
        <v>0</v>
      </c>
      <c r="Q87" s="5" t="s">
        <v>1070</v>
      </c>
      <c r="R87" s="2" t="str">
        <f>HYPERLINK("http://exon.niaid.nih.gov/transcriptome/Tx_amboinensis_sialome/Table_1/links/NR\TX-contig_319-NR.txt","cytoplasmic superoxide dismutase [Aed")</f>
        <v>cytoplasmic superoxide dismutase [Aed</v>
      </c>
      <c r="S87" s="4" t="str">
        <f>HYPERLINK("http://www.ncbi.nlm.nih.gov/sutils/blink.cgi?pid=56417578","6E-026")</f>
        <v>6E-026</v>
      </c>
      <c r="T87" t="s">
        <v>747</v>
      </c>
      <c r="U87" s="4">
        <v>96</v>
      </c>
      <c r="V87" s="4">
        <v>25</v>
      </c>
      <c r="W87" t="s">
        <v>671</v>
      </c>
      <c r="X87" t="s">
        <v>214</v>
      </c>
      <c r="Y87" t="s">
        <v>748</v>
      </c>
      <c r="Z87" s="2" t="s">
        <v>749</v>
      </c>
      <c r="AA87">
        <f>HYPERLINK("http://exon.niaid.nih.gov/transcriptome/Tx_amboinensis_sialome/Table_1/links/GO\TX-contig_319-GO.txt",5E-23)</f>
        <v>0</v>
      </c>
      <c r="AB87" t="s">
        <v>750</v>
      </c>
      <c r="AC87" t="s">
        <v>750</v>
      </c>
      <c r="AE87" t="s">
        <v>751</v>
      </c>
      <c r="AF87" s="1">
        <v>5E-23</v>
      </c>
      <c r="AG87" s="2" t="str">
        <f>HYPERLINK("http://exon.niaid.nih.gov/transcriptome/Tx_amboinensis_sialome/Table_1/links/KOG\TX-contig_319-KOG.txt","Manganese superoxide dismutase")</f>
        <v>Manganese superoxide dismutase</v>
      </c>
      <c r="AH87" t="str">
        <f>HYPERLINK("http://www.ncbi.nlm.nih.gov/COG/new/shokog.cgi?KOG0876","2E-021")</f>
        <v>2E-021</v>
      </c>
      <c r="AI87" t="s">
        <v>840</v>
      </c>
      <c r="AJ87" s="2" t="str">
        <f>HYPERLINK("http://exon.niaid.nih.gov/transcriptome/Tx_amboinensis_sialome/Table_1/links/CDD\TX-contig_319-CDD.txt","Sod_Fe_C")</f>
        <v>Sod_Fe_C</v>
      </c>
      <c r="AK87" t="str">
        <f>HYPERLINK("http://www.ncbi.nlm.nih.gov/Structure/cdd/cddsrv.cgi?uid=pfam02777&amp;version=v4.0","1E-021")</f>
        <v>1E-021</v>
      </c>
      <c r="AL87" t="s">
        <v>752</v>
      </c>
      <c r="AM87" s="2" t="str">
        <f>HYPERLINK("http://exon.niaid.nih.gov/transcriptome/Tx_amboinensis_sialome/Table_1/links/PFAM\TX-contig_319-PFAM.txt","Sod_Fe_C")</f>
        <v>Sod_Fe_C</v>
      </c>
      <c r="AN87" t="str">
        <f>HYPERLINK("http://pfam.wustl.edu/cgi-bin/getdesc?acc=PF02777","7E-022")</f>
        <v>7E-022</v>
      </c>
      <c r="AO87" s="2" t="str">
        <f>HYPERLINK("http://exon.niaid.nih.gov/transcriptome/Tx_amboinensis_sialome/Table_1/links/SMART\TX-contig_319-SMART.txt","HTTM")</f>
        <v>HTTM</v>
      </c>
      <c r="AP87" t="str">
        <f>HYPERLINK("http://smart.embl-heidelberg.de/smart/do_annotation.pl?DOMAIN=HTTM&amp;BLAST=DUMMY","0.17")</f>
        <v>0.17</v>
      </c>
      <c r="AQ87" s="2" t="s">
        <v>324</v>
      </c>
      <c r="AR87" t="s">
        <v>324</v>
      </c>
      <c r="AS87" s="2" t="s">
        <v>324</v>
      </c>
      <c r="AT87" t="s">
        <v>324</v>
      </c>
    </row>
    <row r="88" spans="1:22" s="14" customFormat="1" ht="12" thickBot="1">
      <c r="A88" s="15" t="s">
        <v>938</v>
      </c>
      <c r="D88" s="13"/>
      <c r="L88" s="13"/>
      <c r="M88" s="13"/>
      <c r="N88" s="13"/>
      <c r="O88" s="13"/>
      <c r="P88" s="13"/>
      <c r="R88" s="13"/>
      <c r="S88" s="13"/>
      <c r="U88" s="13"/>
      <c r="V88" s="13"/>
    </row>
    <row r="89" spans="1:46" ht="12" thickBot="1">
      <c r="A89" t="str">
        <f>HYPERLINK("http://exon.niaid.nih.gov/transcriptome/Tx_amboinensis_sialome/Table_1/links/TX-contig_96.txt","TX-contig_96")</f>
        <v>TX-contig_96</v>
      </c>
      <c r="B89" t="str">
        <f>HYPERLINK("http://exon.niaid.nih.gov/transcriptome/Tx_amboinensis_sialome/Table_1/links/TX-5-90-90-asb-96.txt","Contig-96")</f>
        <v>Contig-96</v>
      </c>
      <c r="C89" t="str">
        <f>HYPERLINK("http://exon.niaid.nih.gov/transcriptome/Tx_amboinensis_sialome/Table_1/links/TX-5-90-90-96-CLU.txt","Contig96")</f>
        <v>Contig96</v>
      </c>
      <c r="D89" s="4">
        <v>1</v>
      </c>
      <c r="E89">
        <v>722</v>
      </c>
      <c r="F89">
        <v>0.8</v>
      </c>
      <c r="G89">
        <v>60.5</v>
      </c>
      <c r="H89" t="s">
        <v>324</v>
      </c>
      <c r="I89">
        <v>96</v>
      </c>
      <c r="J89" t="s">
        <v>414</v>
      </c>
      <c r="K89" t="s">
        <v>324</v>
      </c>
      <c r="L89" s="3" t="s">
        <v>1036</v>
      </c>
      <c r="M89" s="4">
        <v>0</v>
      </c>
      <c r="N89" s="4">
        <v>0</v>
      </c>
      <c r="O89" s="4">
        <v>0</v>
      </c>
      <c r="P89" s="4">
        <v>0</v>
      </c>
      <c r="Q89" s="5" t="s">
        <v>1063</v>
      </c>
      <c r="R89" s="2" t="str">
        <f>HYPERLINK("http://exon.niaid.nih.gov/transcriptome/Tx_amboinensis_sialome/Table_1/links/NR\TX-contig_96-NR.txt","estradiol 17 beta-dehydrogenase [Aed")</f>
        <v>estradiol 17 beta-dehydrogenase [Aed</v>
      </c>
      <c r="S89" s="4" t="str">
        <f>HYPERLINK("http://www.ncbi.nlm.nih.gov/sutils/blink.cgi?pid=108877096","1E-060")</f>
        <v>1E-060</v>
      </c>
      <c r="T89" t="s">
        <v>215</v>
      </c>
      <c r="U89" s="4">
        <v>90</v>
      </c>
      <c r="V89" s="4">
        <v>18</v>
      </c>
      <c r="W89" t="s">
        <v>901</v>
      </c>
      <c r="X89" t="s">
        <v>0</v>
      </c>
      <c r="Y89" t="s">
        <v>995</v>
      </c>
      <c r="Z89" s="2" t="s">
        <v>996</v>
      </c>
      <c r="AA89">
        <f>HYPERLINK("http://exon.niaid.nih.gov/transcriptome/Tx_amboinensis_sialome/Table_1/links/GO\TX-contig_96-GO.txt",2E-40)</f>
        <v>0</v>
      </c>
      <c r="AB89" t="s">
        <v>997</v>
      </c>
      <c r="AC89" t="s">
        <v>174</v>
      </c>
      <c r="AD89" t="s">
        <v>814</v>
      </c>
      <c r="AE89" t="s">
        <v>998</v>
      </c>
      <c r="AF89" s="1">
        <v>2E-40</v>
      </c>
      <c r="AG89" s="2" t="str">
        <f>HYPERLINK("http://exon.niaid.nih.gov/transcriptome/Tx_amboinensis_sialome/Table_1/links/KOG\TX-contig_96-KOG.txt","2-enoyl-CoA hydratase/3-hydroxyacyl-CoA dehydrogenase/Peroxisomal 3-ketoacyl-CoA-thiolase, sterol-binding domain and related enzymes")</f>
        <v>2-enoyl-CoA hydratase/3-hydroxyacyl-CoA dehydrogenase/Peroxisomal 3-ketoacyl-CoA-thiolase, sterol-binding domain and related enzymes</v>
      </c>
      <c r="AH89" t="str">
        <f>HYPERLINK("http://www.ncbi.nlm.nih.gov/COG/new/shokog.cgi?KOG4170","1E-029")</f>
        <v>1E-029</v>
      </c>
      <c r="AI89" t="s">
        <v>913</v>
      </c>
      <c r="AJ89" s="2" t="str">
        <f>HYPERLINK("http://exon.niaid.nih.gov/transcriptome/Tx_amboinensis_sialome/Table_1/links/CDD\TX-contig_96-CDD.txt","SCP2")</f>
        <v>SCP2</v>
      </c>
      <c r="AK89" t="str">
        <f>HYPERLINK("http://www.ncbi.nlm.nih.gov/Structure/cdd/cddsrv.cgi?uid=pfam02036&amp;version=v4.0","2E-021")</f>
        <v>2E-021</v>
      </c>
      <c r="AL89" t="s">
        <v>999</v>
      </c>
      <c r="AM89" s="2" t="str">
        <f>HYPERLINK("http://exon.niaid.nih.gov/transcriptome/Tx_amboinensis_sialome/Table_1/links/PFAM\TX-contig_96-PFAM.txt","SCP2")</f>
        <v>SCP2</v>
      </c>
      <c r="AN89" t="str">
        <f>HYPERLINK("http://pfam.wustl.edu/cgi-bin/getdesc?acc=PF02036","8E-022")</f>
        <v>8E-022</v>
      </c>
      <c r="AO89" s="2" t="str">
        <f>HYPERLINK("http://exon.niaid.nih.gov/transcriptome/Tx_amboinensis_sialome/Table_1/links/SMART\TX-contig_96-SMART.txt","BROMO")</f>
        <v>BROMO</v>
      </c>
      <c r="AP89" t="str">
        <f>HYPERLINK("http://smart.embl-heidelberg.de/smart/do_annotation.pl?DOMAIN=BROMO&amp;BLAST=DUMMY","0.74")</f>
        <v>0.74</v>
      </c>
      <c r="AQ89" s="2" t="s">
        <v>324</v>
      </c>
      <c r="AR89" t="s">
        <v>324</v>
      </c>
      <c r="AS89" s="2" t="s">
        <v>324</v>
      </c>
      <c r="AT89" t="s">
        <v>324</v>
      </c>
    </row>
    <row r="90" spans="1:22" s="14" customFormat="1" ht="12" thickBot="1">
      <c r="A90" s="15" t="s">
        <v>939</v>
      </c>
      <c r="D90" s="13"/>
      <c r="L90" s="13"/>
      <c r="M90" s="13"/>
      <c r="N90" s="13"/>
      <c r="O90" s="13"/>
      <c r="P90" s="13"/>
      <c r="R90" s="13"/>
      <c r="S90" s="13"/>
      <c r="U90" s="13"/>
      <c r="V90" s="13"/>
    </row>
    <row r="91" spans="1:46" ht="12" thickBot="1">
      <c r="A91" t="str">
        <f>HYPERLINK("http://exon.niaid.nih.gov/transcriptome/Tx_amboinensis_sialome/Table_1/links/TX-contig_102.txt","TX-contig_102")</f>
        <v>TX-contig_102</v>
      </c>
      <c r="B91" t="str">
        <f>HYPERLINK("http://exon.niaid.nih.gov/transcriptome/Tx_amboinensis_sialome/Table_1/links/TX-5-90-90-asb-102.txt","Contig-102")</f>
        <v>Contig-102</v>
      </c>
      <c r="C91" t="str">
        <f>HYPERLINK("http://exon.niaid.nih.gov/transcriptome/Tx_amboinensis_sialome/Table_1/links/TX-5-90-90-102-CLU.txt","Contig102")</f>
        <v>Contig102</v>
      </c>
      <c r="D91" s="4">
        <v>1</v>
      </c>
      <c r="E91">
        <v>283</v>
      </c>
      <c r="F91" t="s">
        <v>322</v>
      </c>
      <c r="G91">
        <v>65.4</v>
      </c>
      <c r="H91">
        <v>264</v>
      </c>
      <c r="I91">
        <v>102</v>
      </c>
      <c r="J91" t="s">
        <v>419</v>
      </c>
      <c r="K91">
        <v>264</v>
      </c>
      <c r="L91" s="3" t="s">
        <v>1035</v>
      </c>
      <c r="M91" s="4">
        <v>0</v>
      </c>
      <c r="N91" s="4">
        <v>0</v>
      </c>
      <c r="O91" s="4">
        <v>1</v>
      </c>
      <c r="P91" s="4">
        <v>0</v>
      </c>
      <c r="Q91" s="5" t="s">
        <v>1094</v>
      </c>
      <c r="R91" s="2" t="str">
        <f>HYPERLINK("http://exon.niaid.nih.gov/transcriptome/Tx_amboinensis_sialome/Table_1/links/NR\TX-contig_102-NR.txt","lactoylglutathione lyase [Aedes aegy")</f>
        <v>lactoylglutathione lyase [Aedes aegy</v>
      </c>
      <c r="S91" s="4" t="str">
        <f>HYPERLINK("http://www.ncbi.nlm.nih.gov/sutils/blink.cgi?pid=108881553","8E-006")</f>
        <v>8E-006</v>
      </c>
      <c r="T91" t="s">
        <v>1</v>
      </c>
      <c r="U91" s="4">
        <v>69</v>
      </c>
      <c r="V91" s="4">
        <v>7</v>
      </c>
      <c r="W91" t="s">
        <v>901</v>
      </c>
      <c r="X91" t="s">
        <v>2</v>
      </c>
      <c r="Y91" t="s">
        <v>276</v>
      </c>
      <c r="Z91" s="2" t="s">
        <v>277</v>
      </c>
      <c r="AA91">
        <f>HYPERLINK("http://exon.niaid.nih.gov/transcriptome/Tx_amboinensis_sialome/Table_1/links/GO\TX-contig_102-GO.txt",0.0002)</f>
        <v>0</v>
      </c>
      <c r="AB91" t="s">
        <v>278</v>
      </c>
      <c r="AC91" t="s">
        <v>174</v>
      </c>
      <c r="AD91" t="s">
        <v>279</v>
      </c>
      <c r="AE91" t="s">
        <v>280</v>
      </c>
      <c r="AF91">
        <v>0.0002</v>
      </c>
      <c r="AG91" s="2" t="str">
        <f>HYPERLINK("http://exon.niaid.nih.gov/transcriptome/Tx_amboinensis_sialome/Table_1/links/KOG\TX-contig_102-KOG.txt","Glyoxalase")</f>
        <v>Glyoxalase</v>
      </c>
      <c r="AH91" t="str">
        <f>HYPERLINK("http://www.ncbi.nlm.nih.gov/COG/new/shokog.cgi?KOG2944","5E-004")</f>
        <v>5E-004</v>
      </c>
      <c r="AI91" t="s">
        <v>177</v>
      </c>
      <c r="AJ91" s="2" t="str">
        <f>HYPERLINK("http://exon.niaid.nih.gov/transcriptome/Tx_amboinensis_sialome/Table_1/links/CDD\TX-contig_102-CDD.txt","CreA")</f>
        <v>CreA</v>
      </c>
      <c r="AK91" t="str">
        <f>HYPERLINK("http://www.ncbi.nlm.nih.gov/Structure/cdd/cddsrv.cgi?uid=pfam05981&amp;version=v4.0","0.25")</f>
        <v>0.25</v>
      </c>
      <c r="AL91" t="s">
        <v>281</v>
      </c>
      <c r="AM91" s="2" t="str">
        <f>HYPERLINK("http://exon.niaid.nih.gov/transcriptome/Tx_amboinensis_sialome/Table_1/links/PFAM\TX-contig_102-PFAM.txt","CreA")</f>
        <v>CreA</v>
      </c>
      <c r="AN91" t="str">
        <f>HYPERLINK("http://pfam.wustl.edu/cgi-bin/getdesc?acc=PF05981","0.14")</f>
        <v>0.14</v>
      </c>
      <c r="AO91" s="2" t="str">
        <f>HYPERLINK("http://exon.niaid.nih.gov/transcriptome/Tx_amboinensis_sialome/Table_1/links/SMART\TX-contig_102-SMART.txt","DAGKa")</f>
        <v>DAGKa</v>
      </c>
      <c r="AP91" t="str">
        <f>HYPERLINK("http://smart.embl-heidelberg.de/smart/do_annotation.pl?DOMAIN=DAGKa&amp;BLAST=DUMMY","0.48")</f>
        <v>0.48</v>
      </c>
      <c r="AQ91" s="2" t="s">
        <v>324</v>
      </c>
      <c r="AR91" t="s">
        <v>324</v>
      </c>
      <c r="AS91" s="2" t="s">
        <v>324</v>
      </c>
      <c r="AT91" t="s">
        <v>324</v>
      </c>
    </row>
    <row r="92" spans="1:22" s="14" customFormat="1" ht="12" thickBot="1">
      <c r="A92" s="15" t="s">
        <v>940</v>
      </c>
      <c r="D92" s="13"/>
      <c r="L92" s="13"/>
      <c r="M92" s="13"/>
      <c r="N92" s="13"/>
      <c r="O92" s="13"/>
      <c r="P92" s="13"/>
      <c r="R92" s="13"/>
      <c r="S92" s="13"/>
      <c r="U92" s="13"/>
      <c r="V92" s="13"/>
    </row>
    <row r="93" spans="1:46" ht="11.25">
      <c r="A93" t="str">
        <f>HYPERLINK("http://exon.niaid.nih.gov/transcriptome/Tx_amboinensis_sialome/Table_1/links/TX-contig_278.txt","TX-contig_278")</f>
        <v>TX-contig_278</v>
      </c>
      <c r="B93" t="str">
        <f>HYPERLINK("http://exon.niaid.nih.gov/transcriptome/Tx_amboinensis_sialome/Table_1/links/TX-5-90-90-asb-278.txt","Contig-278")</f>
        <v>Contig-278</v>
      </c>
      <c r="C93" t="str">
        <f>HYPERLINK("http://exon.niaid.nih.gov/transcriptome/Tx_amboinensis_sialome/Table_1/links/TX-5-90-90-278-CLU.txt","Contig278")</f>
        <v>Contig278</v>
      </c>
      <c r="D93" s="4">
        <v>1</v>
      </c>
      <c r="E93">
        <v>251</v>
      </c>
      <c r="F93">
        <v>1.6</v>
      </c>
      <c r="G93">
        <v>57.4</v>
      </c>
      <c r="H93">
        <v>232</v>
      </c>
      <c r="I93">
        <v>278</v>
      </c>
      <c r="J93" t="s">
        <v>591</v>
      </c>
      <c r="K93">
        <v>232</v>
      </c>
      <c r="L93" s="3" t="s">
        <v>1035</v>
      </c>
      <c r="M93" s="4">
        <v>0</v>
      </c>
      <c r="N93" s="4">
        <v>0</v>
      </c>
      <c r="O93" s="4">
        <v>1</v>
      </c>
      <c r="P93" s="4">
        <v>0</v>
      </c>
      <c r="Q93" s="5" t="s">
        <v>1095</v>
      </c>
      <c r="R93" s="2" t="str">
        <f>HYPERLINK("http://exon.niaid.nih.gov/transcriptome/Tx_amboinensis_sialome/Table_1/links/NR\TX-contig_278-NR.txt","putative ADP/ATP translocase [Graphoc")</f>
        <v>putative ADP/ATP translocase [Graphoc</v>
      </c>
      <c r="S93" s="4" t="str">
        <f>HYPERLINK("http://www.ncbi.nlm.nih.gov/sutils/blink.cgi?pid=90819992","2E-007")</f>
        <v>2E-007</v>
      </c>
      <c r="T93" t="s">
        <v>3</v>
      </c>
      <c r="U93" s="4">
        <v>95</v>
      </c>
      <c r="V93" s="4">
        <v>7</v>
      </c>
      <c r="W93" t="s">
        <v>4</v>
      </c>
      <c r="X93" t="s">
        <v>5</v>
      </c>
      <c r="Y93" t="s">
        <v>974</v>
      </c>
      <c r="Z93" s="2" t="s">
        <v>726</v>
      </c>
      <c r="AA93">
        <f>HYPERLINK("http://exon.niaid.nih.gov/transcriptome/Tx_amboinensis_sialome/Table_1/links/GO\TX-contig_278-GO.txt",0.00002)</f>
        <v>0</v>
      </c>
      <c r="AB93" t="s">
        <v>727</v>
      </c>
      <c r="AC93" t="s">
        <v>831</v>
      </c>
      <c r="AD93" t="s">
        <v>728</v>
      </c>
      <c r="AE93" t="s">
        <v>729</v>
      </c>
      <c r="AF93">
        <v>2E-05</v>
      </c>
      <c r="AG93" s="2" t="str">
        <f>HYPERLINK("http://exon.niaid.nih.gov/transcriptome/Tx_amboinensis_sialome/Table_1/links/KOG\TX-contig_278-KOG.txt","Mitochondrial ADP/ATP carrier proteins")</f>
        <v>Mitochondrial ADP/ATP carrier proteins</v>
      </c>
      <c r="AH93" t="str">
        <f>HYPERLINK("http://www.ncbi.nlm.nih.gov/COG/new/shokog.cgi?KOG0749","1E-004")</f>
        <v>1E-004</v>
      </c>
      <c r="AI93" t="s">
        <v>834</v>
      </c>
      <c r="AJ93" s="2" t="str">
        <f>HYPERLINK("http://exon.niaid.nih.gov/transcriptome/Tx_amboinensis_sialome/Table_1/links/CDD\TX-contig_278-CDD.txt","Gaa1")</f>
        <v>Gaa1</v>
      </c>
      <c r="AK93" t="str">
        <f>HYPERLINK("http://www.ncbi.nlm.nih.gov/Structure/cdd/cddsrv.cgi?uid=pfam04114&amp;version=v4.0","0.61")</f>
        <v>0.61</v>
      </c>
      <c r="AL93" t="s">
        <v>730</v>
      </c>
      <c r="AM93" s="2" t="str">
        <f>HYPERLINK("http://exon.niaid.nih.gov/transcriptome/Tx_amboinensis_sialome/Table_1/links/PFAM\TX-contig_278-PFAM.txt","Gaa1")</f>
        <v>Gaa1</v>
      </c>
      <c r="AN93" t="str">
        <f>HYPERLINK("http://pfam.wustl.edu/cgi-bin/getdesc?acc=PF04114","0.33")</f>
        <v>0.33</v>
      </c>
      <c r="AO93" s="2" t="str">
        <f>HYPERLINK("http://exon.niaid.nih.gov/transcriptome/Tx_amboinensis_sialome/Table_1/links/SMART\TX-contig_278-SMART.txt","B41")</f>
        <v>B41</v>
      </c>
      <c r="AP93" t="str">
        <f>HYPERLINK("http://smart.embl-heidelberg.de/smart/do_annotation.pl?DOMAIN=B41&amp;BLAST=DUMMY","0.24")</f>
        <v>0.24</v>
      </c>
      <c r="AQ93" s="2" t="s">
        <v>324</v>
      </c>
      <c r="AR93" t="s">
        <v>324</v>
      </c>
      <c r="AS93" s="2" t="s">
        <v>324</v>
      </c>
      <c r="AT93" t="s">
        <v>324</v>
      </c>
    </row>
    <row r="94" spans="1:46" ht="11.25">
      <c r="A94" t="str">
        <f>HYPERLINK("http://exon.niaid.nih.gov/transcriptome/Tx_amboinensis_sialome/Table_1/links/TX-contig_92.txt","TX-contig_92")</f>
        <v>TX-contig_92</v>
      </c>
      <c r="B94" t="str">
        <f>HYPERLINK("http://exon.niaid.nih.gov/transcriptome/Tx_amboinensis_sialome/Table_1/links/TX-5-90-90-asb-92.txt","Contig-92")</f>
        <v>Contig-92</v>
      </c>
      <c r="C94" t="str">
        <f>HYPERLINK("http://exon.niaid.nih.gov/transcriptome/Tx_amboinensis_sialome/Table_1/links/TX-5-90-90-92-CLU.txt","Contig92")</f>
        <v>Contig92</v>
      </c>
      <c r="D94" s="4">
        <v>1</v>
      </c>
      <c r="E94">
        <v>387</v>
      </c>
      <c r="F94" t="s">
        <v>322</v>
      </c>
      <c r="G94">
        <v>57.4</v>
      </c>
      <c r="H94">
        <v>368</v>
      </c>
      <c r="I94">
        <v>92</v>
      </c>
      <c r="J94" t="s">
        <v>410</v>
      </c>
      <c r="K94">
        <v>368</v>
      </c>
      <c r="L94" s="3" t="s">
        <v>1037</v>
      </c>
      <c r="M94" s="4">
        <v>0</v>
      </c>
      <c r="N94" s="4">
        <v>1</v>
      </c>
      <c r="O94" s="4">
        <v>0</v>
      </c>
      <c r="P94" s="4">
        <v>0</v>
      </c>
      <c r="Q94" s="5" t="s">
        <v>1083</v>
      </c>
      <c r="R94" s="2" t="str">
        <f>HYPERLINK("http://exon.niaid.nih.gov/transcriptome/Tx_amboinensis_sialome/Table_1/links/NR\TX-contig_92-NR.txt","mitochondrial cytochrome c oxidase su")</f>
        <v>mitochondrial cytochrome c oxidase su</v>
      </c>
      <c r="S94" s="4" t="str">
        <f>HYPERLINK("http://www.ncbi.nlm.nih.gov/sutils/blink.cgi?pid=94469376","1E-029")</f>
        <v>1E-029</v>
      </c>
      <c r="T94" t="s">
        <v>6</v>
      </c>
      <c r="U94" s="4">
        <v>83</v>
      </c>
      <c r="V94" s="4">
        <v>100</v>
      </c>
      <c r="W94" t="s">
        <v>901</v>
      </c>
      <c r="X94" t="s">
        <v>7</v>
      </c>
      <c r="Y94" t="s">
        <v>986</v>
      </c>
      <c r="Z94" s="2" t="s">
        <v>987</v>
      </c>
      <c r="AA94">
        <f>HYPERLINK("http://exon.niaid.nih.gov/transcriptome/Tx_amboinensis_sialome/Table_1/links/GO\TX-contig_92-GO.txt",0.00000000002)</f>
        <v>0</v>
      </c>
      <c r="AB94" t="s">
        <v>988</v>
      </c>
      <c r="AC94" t="s">
        <v>174</v>
      </c>
      <c r="AD94" t="s">
        <v>814</v>
      </c>
      <c r="AE94" t="s">
        <v>989</v>
      </c>
      <c r="AF94">
        <v>7E-11</v>
      </c>
      <c r="AG94" s="2" t="str">
        <f>HYPERLINK("http://exon.niaid.nih.gov/transcriptome/Tx_amboinensis_sialome/Table_1/links/KOG\TX-contig_92-KOG.txt","Exosomal 3'-5' exoribonuclease complex, subunit Rrp44/Dis3")</f>
        <v>Exosomal 3'-5' exoribonuclease complex, subunit Rrp44/Dis3</v>
      </c>
      <c r="AH94" t="str">
        <f>HYPERLINK("http://www.ncbi.nlm.nih.gov/COG/new/shokog.cgi?KOG2102","0.049")</f>
        <v>0.049</v>
      </c>
      <c r="AI94" t="s">
        <v>725</v>
      </c>
      <c r="AJ94" s="2" t="str">
        <f>HYPERLINK("http://exon.niaid.nih.gov/transcriptome/Tx_amboinensis_sialome/Table_1/links/CDD\TX-contig_92-CDD.txt","COX6C")</f>
        <v>COX6C</v>
      </c>
      <c r="AK94" t="str">
        <f>HYPERLINK("http://www.ncbi.nlm.nih.gov/Structure/cdd/cddsrv.cgi?uid=pfam02937&amp;version=v4.0","4E-020")</f>
        <v>4E-020</v>
      </c>
      <c r="AL94" t="s">
        <v>990</v>
      </c>
      <c r="AM94" s="2" t="str">
        <f>HYPERLINK("http://exon.niaid.nih.gov/transcriptome/Tx_amboinensis_sialome/Table_1/links/PFAM\TX-contig_92-PFAM.txt","COX6C")</f>
        <v>COX6C</v>
      </c>
      <c r="AN94" t="str">
        <f>HYPERLINK("http://pfam.wustl.edu/cgi-bin/getdesc?acc=PF02937","2E-020")</f>
        <v>2E-020</v>
      </c>
      <c r="AO94" s="2" t="str">
        <f>HYPERLINK("http://exon.niaid.nih.gov/transcriptome/Tx_amboinensis_sialome/Table_1/links/SMART\TX-contig_92-SMART.txt","DISIN")</f>
        <v>DISIN</v>
      </c>
      <c r="AP94" t="str">
        <f>HYPERLINK("http://smart.embl-heidelberg.de/smart/do_annotation.pl?DOMAIN=DISIN&amp;BLAST=DUMMY","0.14")</f>
        <v>0.14</v>
      </c>
      <c r="AQ94" s="2" t="s">
        <v>324</v>
      </c>
      <c r="AR94" t="s">
        <v>324</v>
      </c>
      <c r="AS94" s="2" t="s">
        <v>324</v>
      </c>
      <c r="AT94" t="s">
        <v>324</v>
      </c>
    </row>
    <row r="95" spans="1:46" ht="11.25">
      <c r="A95" t="str">
        <f>HYPERLINK("http://exon.niaid.nih.gov/transcriptome/Tx_amboinensis_sialome/Table_1/links/TX-contig_64.txt","TX-contig_64")</f>
        <v>TX-contig_64</v>
      </c>
      <c r="B95" t="str">
        <f>HYPERLINK("http://exon.niaid.nih.gov/transcriptome/Tx_amboinensis_sialome/Table_1/links/TX-5-90-90-asb-64.txt","Contig-64")</f>
        <v>Contig-64</v>
      </c>
      <c r="C95" t="str">
        <f>HYPERLINK("http://exon.niaid.nih.gov/transcriptome/Tx_amboinensis_sialome/Table_1/links/TX-5-90-90-64-CLU.txt","Contig64")</f>
        <v>Contig64</v>
      </c>
      <c r="D95" s="4">
        <v>1</v>
      </c>
      <c r="E95">
        <v>1024</v>
      </c>
      <c r="F95">
        <v>1.1</v>
      </c>
      <c r="G95">
        <v>59.3</v>
      </c>
      <c r="H95">
        <v>1005</v>
      </c>
      <c r="I95">
        <v>64</v>
      </c>
      <c r="J95" t="s">
        <v>384</v>
      </c>
      <c r="K95">
        <v>1005</v>
      </c>
      <c r="L95" s="3" t="s">
        <v>1035</v>
      </c>
      <c r="M95" s="4">
        <v>0</v>
      </c>
      <c r="N95" s="4">
        <v>0</v>
      </c>
      <c r="O95" s="4">
        <v>2</v>
      </c>
      <c r="P95" s="4">
        <v>0</v>
      </c>
      <c r="Q95" s="5" t="s">
        <v>1061</v>
      </c>
      <c r="R95" s="2" t="str">
        <f>HYPERLINK("http://exon.niaid.nih.gov/transcriptome/Tx_amboinensis_sialome/Table_1/links/NR\TX-contig_64-NR.txt","cytochrome c oxidase subunit VIa/COX1")</f>
        <v>cytochrome c oxidase subunit VIa/COX1</v>
      </c>
      <c r="S95" s="4" t="str">
        <f>HYPERLINK("http://www.ncbi.nlm.nih.gov/sutils/blink.cgi?pid=94468508","2E-049")</f>
        <v>2E-049</v>
      </c>
      <c r="T95" t="s">
        <v>8</v>
      </c>
      <c r="U95" s="4">
        <v>83</v>
      </c>
      <c r="V95" s="4">
        <v>101</v>
      </c>
      <c r="W95" t="s">
        <v>901</v>
      </c>
      <c r="X95" t="s">
        <v>9</v>
      </c>
      <c r="Y95" t="s">
        <v>828</v>
      </c>
      <c r="Z95" s="2" t="s">
        <v>829</v>
      </c>
      <c r="AA95">
        <f>HYPERLINK("http://exon.niaid.nih.gov/transcriptome/Tx_amboinensis_sialome/Table_1/links/GO\TX-contig_64-GO.txt",4E-36)</f>
        <v>0</v>
      </c>
      <c r="AB95" t="s">
        <v>830</v>
      </c>
      <c r="AC95" t="s">
        <v>831</v>
      </c>
      <c r="AD95" t="s">
        <v>832</v>
      </c>
      <c r="AE95" t="s">
        <v>833</v>
      </c>
      <c r="AF95" s="1">
        <v>4E-36</v>
      </c>
      <c r="AG95" s="2" t="str">
        <f>HYPERLINK("http://exon.niaid.nih.gov/transcriptome/Tx_amboinensis_sialome/Table_1/links/KOG\TX-contig_64-KOG.txt","Cytochrome c oxidase, subunit VIa/COX13")</f>
        <v>Cytochrome c oxidase, subunit VIa/COX13</v>
      </c>
      <c r="AH95" t="str">
        <f>HYPERLINK("http://www.ncbi.nlm.nih.gov/COG/new/shokog.cgi?KOG3469","6E-033")</f>
        <v>6E-033</v>
      </c>
      <c r="AI95" t="s">
        <v>834</v>
      </c>
      <c r="AJ95" s="2" t="str">
        <f>HYPERLINK("http://exon.niaid.nih.gov/transcriptome/Tx_amboinensis_sialome/Table_1/links/CDD\TX-contig_64-CDD.txt","Cyt_c_Oxidase_V")</f>
        <v>Cyt_c_Oxidase_V</v>
      </c>
      <c r="AK95" t="str">
        <f>HYPERLINK("http://www.ncbi.nlm.nih.gov/Structure/cdd/cddsrv.cgi?uid=cd00925&amp;version=v4.0","9E-037")</f>
        <v>9E-037</v>
      </c>
      <c r="AL95" t="s">
        <v>835</v>
      </c>
      <c r="AM95" s="2" t="str">
        <f>HYPERLINK("http://exon.niaid.nih.gov/transcriptome/Tx_amboinensis_sialome/Table_1/links/PFAM\TX-contig_64-PFAM.txt","COX6A")</f>
        <v>COX6A</v>
      </c>
      <c r="AN95" t="str">
        <f>HYPERLINK("http://pfam.wustl.edu/cgi-bin/getdesc?acc=PF02046","1E-031")</f>
        <v>1E-031</v>
      </c>
      <c r="AO95" s="2" t="str">
        <f>HYPERLINK("http://exon.niaid.nih.gov/transcriptome/Tx_amboinensis_sialome/Table_1/links/SMART\TX-contig_64-SMART.txt","ENDO3c")</f>
        <v>ENDO3c</v>
      </c>
      <c r="AP95" t="str">
        <f>HYPERLINK("http://smart.embl-heidelberg.de/smart/do_annotation.pl?DOMAIN=ENDO3c&amp;BLAST=DUMMY","0.10")</f>
        <v>0.10</v>
      </c>
      <c r="AQ95" s="2" t="s">
        <v>324</v>
      </c>
      <c r="AR95" t="s">
        <v>324</v>
      </c>
      <c r="AS95" s="2" t="s">
        <v>324</v>
      </c>
      <c r="AT95" t="s">
        <v>324</v>
      </c>
    </row>
    <row r="96" spans="1:46" ht="12" thickBot="1">
      <c r="A96" t="str">
        <f>HYPERLINK("http://exon.niaid.nih.gov/transcriptome/Tx_amboinensis_sialome/Table_1/links/TX-contig_279.txt","TX-contig_279")</f>
        <v>TX-contig_279</v>
      </c>
      <c r="B96" t="str">
        <f>HYPERLINK("http://exon.niaid.nih.gov/transcriptome/Tx_amboinensis_sialome/Table_1/links/TX-5-90-90-asb-279.txt","Contig-279")</f>
        <v>Contig-279</v>
      </c>
      <c r="C96" t="str">
        <f>HYPERLINK("http://exon.niaid.nih.gov/transcriptome/Tx_amboinensis_sialome/Table_1/links/TX-5-90-90-279-CLU.txt","Contig279")</f>
        <v>Contig279</v>
      </c>
      <c r="D96" s="4">
        <v>1</v>
      </c>
      <c r="E96">
        <v>163</v>
      </c>
      <c r="F96">
        <v>0.6</v>
      </c>
      <c r="G96">
        <v>73</v>
      </c>
      <c r="H96">
        <v>144</v>
      </c>
      <c r="I96">
        <v>279</v>
      </c>
      <c r="J96" t="s">
        <v>592</v>
      </c>
      <c r="K96">
        <v>144</v>
      </c>
      <c r="L96" s="3" t="s">
        <v>1035</v>
      </c>
      <c r="M96" s="4">
        <v>0</v>
      </c>
      <c r="N96" s="4">
        <v>0</v>
      </c>
      <c r="O96" s="4">
        <v>1</v>
      </c>
      <c r="P96" s="4">
        <v>0</v>
      </c>
      <c r="Q96" s="5" t="s">
        <v>1090</v>
      </c>
      <c r="R96" s="2" t="str">
        <f>HYPERLINK("http://exon.niaid.nih.gov/transcriptome/Tx_amboinensis_sialome/Table_1/links/NR\TX-contig_279-NR.txt","cytochrome oxidase subunit II [Aedes a")</f>
        <v>cytochrome oxidase subunit II [Aedes a</v>
      </c>
      <c r="S96" s="4" t="str">
        <f>HYPERLINK("http://www.ncbi.nlm.nih.gov/sutils/blink.cgi?pid=2827370","3E-007")</f>
        <v>3E-007</v>
      </c>
      <c r="T96" t="s">
        <v>731</v>
      </c>
      <c r="U96" s="4">
        <v>81</v>
      </c>
      <c r="V96" s="4">
        <v>14</v>
      </c>
      <c r="W96" t="s">
        <v>732</v>
      </c>
      <c r="X96" t="s">
        <v>10</v>
      </c>
      <c r="Y96" t="s">
        <v>733</v>
      </c>
      <c r="Z96" s="2" t="s">
        <v>734</v>
      </c>
      <c r="AA96">
        <f>HYPERLINK("http://exon.niaid.nih.gov/transcriptome/Tx_amboinensis_sialome/Table_1/links/GO\TX-contig_279-GO.txt",0.0000001)</f>
        <v>0</v>
      </c>
      <c r="AB96" t="s">
        <v>830</v>
      </c>
      <c r="AC96" t="s">
        <v>831</v>
      </c>
      <c r="AD96" t="s">
        <v>832</v>
      </c>
      <c r="AE96" t="s">
        <v>833</v>
      </c>
      <c r="AF96">
        <v>1E-07</v>
      </c>
      <c r="AG96" s="2" t="str">
        <f>HYPERLINK("http://exon.niaid.nih.gov/transcriptome/Tx_amboinensis_sialome/Table_1/links/KOG\TX-contig_279-KOG.txt","Cytochrome c oxidase, subunit II, and related proteins")</f>
        <v>Cytochrome c oxidase, subunit II, and related proteins</v>
      </c>
      <c r="AH96" t="str">
        <f>HYPERLINK("http://www.ncbi.nlm.nih.gov/COG/new/shokog.cgi?KOG4767","9E-008")</f>
        <v>9E-008</v>
      </c>
      <c r="AI96" t="s">
        <v>834</v>
      </c>
      <c r="AJ96" s="2" t="str">
        <f>HYPERLINK("http://exon.niaid.nih.gov/transcriptome/Tx_amboinensis_sialome/Table_1/links/CDD\TX-contig_279-CDD.txt","COX2")</f>
        <v>COX2</v>
      </c>
      <c r="AK96" t="str">
        <f>HYPERLINK("http://www.ncbi.nlm.nih.gov/Structure/cdd/cddsrv.cgi?uid=pfam00116&amp;version=v4.0","3E-008")</f>
        <v>3E-008</v>
      </c>
      <c r="AL96" t="s">
        <v>735</v>
      </c>
      <c r="AM96" s="2" t="str">
        <f>HYPERLINK("http://exon.niaid.nih.gov/transcriptome/Tx_amboinensis_sialome/Table_1/links/PFAM\TX-contig_279-PFAM.txt","COX2")</f>
        <v>COX2</v>
      </c>
      <c r="AN96" t="str">
        <f>HYPERLINK("http://pfam.wustl.edu/cgi-bin/getdesc?acc=PF00116","2E-008")</f>
        <v>2E-008</v>
      </c>
      <c r="AO96" s="2" t="s">
        <v>324</v>
      </c>
      <c r="AP96" t="s">
        <v>324</v>
      </c>
      <c r="AQ96" s="2" t="str">
        <f>HYPERLINK("http://exon.niaid.nih.gov/transcriptome/Tx_amboinensis_sialome/Table_1/links/MIT-PLA\TX-contig_279-MIT-PLA.txt","Anopheles gambiae mitochondrion, com")</f>
        <v>Anopheles gambiae mitochondrion, com</v>
      </c>
      <c r="AR96" t="str">
        <f>HYPERLINK("http://www.ncbi.nlm.nih.gov/sutils/blink.cgi?pid=5834911","1E-027")</f>
        <v>1E-027</v>
      </c>
      <c r="AS96" s="2" t="s">
        <v>324</v>
      </c>
      <c r="AT96" t="s">
        <v>324</v>
      </c>
    </row>
    <row r="97" spans="1:22" s="11" customFormat="1" ht="12" thickBot="1">
      <c r="A97" s="12" t="s">
        <v>917</v>
      </c>
      <c r="D97" s="10"/>
      <c r="L97" s="10"/>
      <c r="M97" s="10"/>
      <c r="N97" s="10"/>
      <c r="O97" s="10"/>
      <c r="P97" s="10"/>
      <c r="R97" s="10"/>
      <c r="S97" s="10"/>
      <c r="U97" s="10"/>
      <c r="V97" s="10"/>
    </row>
    <row r="98" spans="1:46" ht="12" thickBot="1">
      <c r="A98" t="str">
        <f>HYPERLINK("http://exon.niaid.nih.gov/transcriptome/Tx_amboinensis_sialome/Table_1/links/TX-contig_337.txt","TX-contig_337")</f>
        <v>TX-contig_337</v>
      </c>
      <c r="B98" t="str">
        <f>HYPERLINK("http://exon.niaid.nih.gov/transcriptome/Tx_amboinensis_sialome/Table_1/links/TX-5-90-90-asb-337.txt","Contig-337")</f>
        <v>Contig-337</v>
      </c>
      <c r="C98" t="str">
        <f>HYPERLINK("http://exon.niaid.nih.gov/transcriptome/Tx_amboinensis_sialome/Table_1/links/TX-5-90-90-337-CLU.txt","Contig337")</f>
        <v>Contig337</v>
      </c>
      <c r="D98" s="4">
        <v>1</v>
      </c>
      <c r="E98">
        <v>236</v>
      </c>
      <c r="F98" t="s">
        <v>322</v>
      </c>
      <c r="G98">
        <v>65.3</v>
      </c>
      <c r="H98">
        <v>217</v>
      </c>
      <c r="I98">
        <v>337</v>
      </c>
      <c r="J98" t="s">
        <v>1191</v>
      </c>
      <c r="K98">
        <v>217</v>
      </c>
      <c r="L98" s="3" t="s">
        <v>1035</v>
      </c>
      <c r="M98" s="4">
        <v>0</v>
      </c>
      <c r="N98" s="4">
        <v>0</v>
      </c>
      <c r="O98" s="4">
        <v>2</v>
      </c>
      <c r="P98" s="4">
        <v>0</v>
      </c>
      <c r="Q98" s="5" t="s">
        <v>1096</v>
      </c>
      <c r="R98" s="2" t="str">
        <f>HYPERLINK("http://exon.niaid.nih.gov/transcriptome/Tx_amboinensis_sialome/Table_1/links/NR\TX-contig_337-NR.txt","mariner transposase [Buenoa sp. HMR-1997]    44   0.002")</f>
        <v>mariner transposase [Buenoa sp. HMR-1997]    44   0.002</v>
      </c>
      <c r="S98" s="4" t="str">
        <f>HYPERLINK("http://www.ncbi.nlm.nih.gov/sutils/blink.cgi?pid=2564376","0.002")</f>
        <v>0.002</v>
      </c>
      <c r="T98" t="s">
        <v>764</v>
      </c>
      <c r="U98" s="4">
        <v>56</v>
      </c>
      <c r="V98" s="4">
        <v>27</v>
      </c>
      <c r="W98" t="s">
        <v>765</v>
      </c>
      <c r="X98" t="s">
        <v>11</v>
      </c>
      <c r="Y98" t="s">
        <v>766</v>
      </c>
      <c r="Z98" s="2" t="s">
        <v>324</v>
      </c>
      <c r="AA98" t="s">
        <v>324</v>
      </c>
      <c r="AB98" t="s">
        <v>324</v>
      </c>
      <c r="AC98" t="s">
        <v>324</v>
      </c>
      <c r="AD98" t="s">
        <v>324</v>
      </c>
      <c r="AE98" t="s">
        <v>324</v>
      </c>
      <c r="AF98" t="s">
        <v>324</v>
      </c>
      <c r="AG98" s="2" t="str">
        <f>HYPERLINK("http://exon.niaid.nih.gov/transcriptome/Tx_amboinensis_sialome/Table_1/links/KOG\TX-contig_337-KOG.txt","Protein kinase of the PI-3 kinase family involved in mitotic growth, DNA repair and meiotic recombination")</f>
        <v>Protein kinase of the PI-3 kinase family involved in mitotic growth, DNA repair and meiotic recombination</v>
      </c>
      <c r="AH98" t="str">
        <f>HYPERLINK("http://www.ncbi.nlm.nih.gov/COG/new/shokog.cgi?KOG0890","0.32")</f>
        <v>0.32</v>
      </c>
      <c r="AI98" t="s">
        <v>767</v>
      </c>
      <c r="AJ98" s="2" t="s">
        <v>324</v>
      </c>
      <c r="AK98" t="s">
        <v>324</v>
      </c>
      <c r="AL98" t="s">
        <v>324</v>
      </c>
      <c r="AM98" s="2" t="str">
        <f>HYPERLINK("http://exon.niaid.nih.gov/transcriptome/Tx_amboinensis_sialome/Table_1/links/PFAM\TX-contig_337-PFAM.txt","DUF263")</f>
        <v>DUF263</v>
      </c>
      <c r="AN98" t="str">
        <f>HYPERLINK("http://pfam.wustl.edu/cgi-bin/getdesc?acc=PF03236","0.90")</f>
        <v>0.90</v>
      </c>
      <c r="AO98" s="2" t="str">
        <f>HYPERLINK("http://exon.niaid.nih.gov/transcriptome/Tx_amboinensis_sialome/Table_1/links/SMART\TX-contig_337-SMART.txt","MATH")</f>
        <v>MATH</v>
      </c>
      <c r="AP98" t="str">
        <f>HYPERLINK("http://smart.embl-heidelberg.de/smart/do_annotation.pl?DOMAIN=MATH&amp;BLAST=DUMMY","0.16")</f>
        <v>0.16</v>
      </c>
      <c r="AQ98" s="2" t="s">
        <v>324</v>
      </c>
      <c r="AR98" t="s">
        <v>324</v>
      </c>
      <c r="AS98" s="2" t="s">
        <v>324</v>
      </c>
      <c r="AT98" t="s">
        <v>324</v>
      </c>
    </row>
    <row r="99" spans="1:22" s="11" customFormat="1" ht="12" thickBot="1">
      <c r="A99" s="12" t="s">
        <v>916</v>
      </c>
      <c r="D99" s="10"/>
      <c r="L99" s="10"/>
      <c r="M99" s="10"/>
      <c r="N99" s="10"/>
      <c r="O99" s="10"/>
      <c r="P99" s="10"/>
      <c r="R99" s="10"/>
      <c r="S99" s="10"/>
      <c r="U99" s="10"/>
      <c r="V99" s="10"/>
    </row>
    <row r="100" spans="1:46" ht="11.25">
      <c r="A100" t="str">
        <f>HYPERLINK("http://exon.niaid.nih.gov/transcriptome/Tx_amboinensis_sialome/Table_1/links/TX-contig_171.txt","TX-contig_171")</f>
        <v>TX-contig_171</v>
      </c>
      <c r="B100" t="str">
        <f>HYPERLINK("http://exon.niaid.nih.gov/transcriptome/Tx_amboinensis_sialome/Table_1/links/TX-5-90-90-asb-171.txt","Contig-171")</f>
        <v>Contig-171</v>
      </c>
      <c r="C100" t="str">
        <f>HYPERLINK("http://exon.niaid.nih.gov/transcriptome/Tx_amboinensis_sialome/Table_1/links/TX-5-90-90-171-CLU.txt","Contig171")</f>
        <v>Contig171</v>
      </c>
      <c r="D100" s="4">
        <v>1</v>
      </c>
      <c r="E100">
        <v>317</v>
      </c>
      <c r="F100">
        <v>1.9</v>
      </c>
      <c r="G100">
        <v>78.5</v>
      </c>
      <c r="H100" t="s">
        <v>324</v>
      </c>
      <c r="I100">
        <v>171</v>
      </c>
      <c r="J100" t="s">
        <v>484</v>
      </c>
      <c r="K100" t="s">
        <v>324</v>
      </c>
      <c r="L100" s="3" t="s">
        <v>1035</v>
      </c>
      <c r="M100" s="4">
        <v>0</v>
      </c>
      <c r="N100" s="4">
        <v>0</v>
      </c>
      <c r="O100" s="4">
        <v>1</v>
      </c>
      <c r="P100" s="4">
        <v>0</v>
      </c>
      <c r="Q100" s="5" t="s">
        <v>1085</v>
      </c>
      <c r="R100" s="2" t="str">
        <f>HYPERLINK("http://exon.niaid.nih.gov/transcriptome/Tx_amboinensis_sialome/Table_1/links/NR\TX-contig_171-NR.txt","Hypothetical protein CBG23887 [Caeno")</f>
        <v>Hypothetical protein CBG23887 [Caeno</v>
      </c>
      <c r="S100" s="4" t="str">
        <f>HYPERLINK("http://www.ncbi.nlm.nih.gov/sutils/blink.cgi?pid=39579365","2E-013")</f>
        <v>2E-013</v>
      </c>
      <c r="T100" t="s">
        <v>1305</v>
      </c>
      <c r="U100" s="4">
        <v>40</v>
      </c>
      <c r="V100" s="4">
        <v>34</v>
      </c>
      <c r="W100" t="s">
        <v>815</v>
      </c>
      <c r="X100" t="s">
        <v>12</v>
      </c>
      <c r="Y100" t="s">
        <v>1306</v>
      </c>
      <c r="Z100" s="2" t="s">
        <v>1307</v>
      </c>
      <c r="AA100">
        <f>HYPERLINK("http://exon.niaid.nih.gov/transcriptome/Tx_amboinensis_sialome/Table_1/links/GO\TX-contig_171-GO.txt",0.0003)</f>
        <v>0</v>
      </c>
      <c r="AB100" t="s">
        <v>850</v>
      </c>
      <c r="AC100" t="s">
        <v>850</v>
      </c>
      <c r="AE100" t="s">
        <v>851</v>
      </c>
      <c r="AF100">
        <v>0.013</v>
      </c>
      <c r="AG100" s="2" t="str">
        <f>HYPERLINK("http://exon.niaid.nih.gov/transcriptome/Tx_amboinensis_sialome/Table_1/links/KOG\TX-contig_171-KOG.txt","N-acetylglucosaminyltransferase complex, subunit PIG-C/GPI2, required for phosphatidylinositol biosynthesis")</f>
        <v>N-acetylglucosaminyltransferase complex, subunit PIG-C/GPI2, required for phosphatidylinositol biosynthesis</v>
      </c>
      <c r="AH100" t="str">
        <f>HYPERLINK("http://www.ncbi.nlm.nih.gov/COG/new/shokog.cgi?KOG3059","1E-004")</f>
        <v>1E-004</v>
      </c>
      <c r="AI100" t="s">
        <v>913</v>
      </c>
      <c r="AJ100" s="2" t="str">
        <f>HYPERLINK("http://exon.niaid.nih.gov/transcriptome/Tx_amboinensis_sialome/Table_1/links/CDD\TX-contig_171-CDD.txt","COG5578")</f>
        <v>COG5578</v>
      </c>
      <c r="AK100" t="str">
        <f>HYPERLINK("http://www.ncbi.nlm.nih.gov/Structure/cdd/cddsrv.cgi?uid=COG5578&amp;version=v4.0","7E-006")</f>
        <v>7E-006</v>
      </c>
      <c r="AL100" t="s">
        <v>1308</v>
      </c>
      <c r="AM100" s="2" t="str">
        <f>HYPERLINK("http://exon.niaid.nih.gov/transcriptome/Tx_amboinensis_sialome/Table_1/links/PFAM\TX-contig_171-PFAM.txt","TatC")</f>
        <v>TatC</v>
      </c>
      <c r="AN100" t="str">
        <f>HYPERLINK("http://pfam.wustl.edu/cgi-bin/getdesc?acc=PF00902","8E-006")</f>
        <v>8E-006</v>
      </c>
      <c r="AO100" s="2" t="str">
        <f>HYPERLINK("http://exon.niaid.nih.gov/transcriptome/Tx_amboinensis_sialome/Table_1/links/SMART\TX-contig_171-SMART.txt","PSN")</f>
        <v>PSN</v>
      </c>
      <c r="AP100" t="str">
        <f>HYPERLINK("http://smart.embl-heidelberg.de/smart/do_annotation.pl?DOMAIN=PSN&amp;BLAST=DUMMY","4E-007")</f>
        <v>4E-007</v>
      </c>
      <c r="AQ100" s="2" t="s">
        <v>324</v>
      </c>
      <c r="AR100" t="s">
        <v>324</v>
      </c>
      <c r="AS100" s="2" t="s">
        <v>324</v>
      </c>
      <c r="AT100" t="s">
        <v>324</v>
      </c>
    </row>
    <row r="101" spans="1:46" ht="11.25">
      <c r="A101" t="str">
        <f>HYPERLINK("http://exon.niaid.nih.gov/transcriptome/Tx_amboinensis_sialome/Table_1/links/TX-contig_294.txt","TX-contig_294")</f>
        <v>TX-contig_294</v>
      </c>
      <c r="B101" t="str">
        <f>HYPERLINK("http://exon.niaid.nih.gov/transcriptome/Tx_amboinensis_sialome/Table_1/links/TX-5-90-90-asb-294.txt","Contig-294")</f>
        <v>Contig-294</v>
      </c>
      <c r="C101" t="str">
        <f>HYPERLINK("http://exon.niaid.nih.gov/transcriptome/Tx_amboinensis_sialome/Table_1/links/TX-5-90-90-294-CLU.txt","Contig294")</f>
        <v>Contig294</v>
      </c>
      <c r="D101" s="4">
        <v>1</v>
      </c>
      <c r="E101">
        <v>218</v>
      </c>
      <c r="F101">
        <v>0.5</v>
      </c>
      <c r="G101">
        <v>73.4</v>
      </c>
      <c r="H101">
        <v>199</v>
      </c>
      <c r="I101">
        <v>294</v>
      </c>
      <c r="J101" t="s">
        <v>607</v>
      </c>
      <c r="K101">
        <v>199</v>
      </c>
      <c r="L101" s="3" t="s">
        <v>1036</v>
      </c>
      <c r="M101" s="4">
        <v>0</v>
      </c>
      <c r="N101" s="4">
        <v>0</v>
      </c>
      <c r="O101" s="4">
        <v>0</v>
      </c>
      <c r="P101" s="4">
        <v>0</v>
      </c>
      <c r="Q101" s="5" t="s">
        <v>1085</v>
      </c>
      <c r="R101" s="2" t="str">
        <f>HYPERLINK("http://exon.niaid.nih.gov/transcriptome/Tx_amboinensis_sialome/Table_1/links/NR\TX-contig_294-NR.txt","hypothetical protein [Plasmodium fal")</f>
        <v>hypothetical protein [Plasmodium fal</v>
      </c>
      <c r="S101" s="4" t="str">
        <f>HYPERLINK("http://www.ncbi.nlm.nih.gov/sutils/blink.cgi?pid=23498298","5E-013")</f>
        <v>5E-013</v>
      </c>
      <c r="T101" t="s">
        <v>13</v>
      </c>
      <c r="U101" s="4">
        <v>56</v>
      </c>
      <c r="V101" s="4">
        <v>4</v>
      </c>
      <c r="W101" t="s">
        <v>978</v>
      </c>
      <c r="X101" t="s">
        <v>14</v>
      </c>
      <c r="Y101" t="s">
        <v>741</v>
      </c>
      <c r="Z101" s="2" t="s">
        <v>817</v>
      </c>
      <c r="AA101">
        <f>HYPERLINK("http://exon.niaid.nih.gov/transcriptome/Tx_amboinensis_sialome/Table_1/links/GO\TX-contig_294-GO.txt",0.0000001)</f>
        <v>0</v>
      </c>
      <c r="AB101" t="s">
        <v>850</v>
      </c>
      <c r="AC101" t="s">
        <v>850</v>
      </c>
      <c r="AE101" t="s">
        <v>851</v>
      </c>
      <c r="AF101">
        <v>1E-07</v>
      </c>
      <c r="AG101" s="2" t="str">
        <f>HYPERLINK("http://exon.niaid.nih.gov/transcriptome/Tx_amboinensis_sialome/Table_1/links/KOG\TX-contig_294-KOG.txt","Chromatin assembly factor-I")</f>
        <v>Chromatin assembly factor-I</v>
      </c>
      <c r="AH101" t="str">
        <f>HYPERLINK("http://www.ncbi.nlm.nih.gov/COG/new/shokog.cgi?KOG4364","2E-008")</f>
        <v>2E-008</v>
      </c>
      <c r="AI101" t="s">
        <v>798</v>
      </c>
      <c r="AJ101" s="2" t="str">
        <f>HYPERLINK("http://exon.niaid.nih.gov/transcriptome/Tx_amboinensis_sialome/Table_1/links/CDD\TX-contig_294-CDD.txt","DUF874")</f>
        <v>DUF874</v>
      </c>
      <c r="AK101" t="str">
        <f>HYPERLINK("http://www.ncbi.nlm.nih.gov/Structure/cdd/cddsrv.cgi?uid=pfam05917&amp;version=v4.0","3E-009")</f>
        <v>3E-009</v>
      </c>
      <c r="AL101" t="s">
        <v>742</v>
      </c>
      <c r="AM101" s="2" t="str">
        <f>HYPERLINK("http://exon.niaid.nih.gov/transcriptome/Tx_amboinensis_sialome/Table_1/links/PFAM\TX-contig_294-PFAM.txt","DUF874")</f>
        <v>DUF874</v>
      </c>
      <c r="AN101" t="str">
        <f>HYPERLINK("http://pfam.wustl.edu/cgi-bin/getdesc?acc=PF05917","2E-009")</f>
        <v>2E-009</v>
      </c>
      <c r="AO101" s="2" t="str">
        <f>HYPERLINK("http://exon.niaid.nih.gov/transcriptome/Tx_amboinensis_sialome/Table_1/links/SMART\TX-contig_294-SMART.txt","FH2")</f>
        <v>FH2</v>
      </c>
      <c r="AP101" t="str">
        <f>HYPERLINK("http://smart.embl-heidelberg.de/smart/do_annotation.pl?DOMAIN=FH2&amp;BLAST=DUMMY","3E-004")</f>
        <v>3E-004</v>
      </c>
      <c r="AQ101" s="2" t="s">
        <v>324</v>
      </c>
      <c r="AR101" t="s">
        <v>324</v>
      </c>
      <c r="AS101" s="2" t="s">
        <v>324</v>
      </c>
      <c r="AT101" t="s">
        <v>324</v>
      </c>
    </row>
    <row r="102" spans="1:46" ht="11.25">
      <c r="A102" t="str">
        <f>HYPERLINK("http://exon.niaid.nih.gov/transcriptome/Tx_amboinensis_sialome/Table_1/links/TX-contig_123.txt","TX-contig_123")</f>
        <v>TX-contig_123</v>
      </c>
      <c r="B102" t="str">
        <f>HYPERLINK("http://exon.niaid.nih.gov/transcriptome/Tx_amboinensis_sialome/Table_1/links/TX-5-90-90-asb-123.txt","Contig-123")</f>
        <v>Contig-123</v>
      </c>
      <c r="C102" t="str">
        <f>HYPERLINK("http://exon.niaid.nih.gov/transcriptome/Tx_amboinensis_sialome/Table_1/links/TX-5-90-90-123-CLU.txt","Contig123")</f>
        <v>Contig123</v>
      </c>
      <c r="D102" s="4">
        <v>1</v>
      </c>
      <c r="E102">
        <v>279</v>
      </c>
      <c r="F102" t="s">
        <v>322</v>
      </c>
      <c r="G102">
        <v>62.4</v>
      </c>
      <c r="H102">
        <v>260</v>
      </c>
      <c r="I102">
        <v>123</v>
      </c>
      <c r="J102" t="s">
        <v>439</v>
      </c>
      <c r="K102">
        <v>260</v>
      </c>
      <c r="L102" s="3" t="s">
        <v>1035</v>
      </c>
      <c r="M102" s="4">
        <v>0</v>
      </c>
      <c r="N102" s="4">
        <v>0</v>
      </c>
      <c r="O102" s="4">
        <v>2</v>
      </c>
      <c r="P102" s="4">
        <v>0</v>
      </c>
      <c r="Q102" s="5" t="s">
        <v>1087</v>
      </c>
      <c r="R102" s="2" t="str">
        <f>HYPERLINK("http://exon.niaid.nih.gov/transcriptome/Tx_amboinensis_sialome/Table_1/links/NR\TX-contig_123-NR.txt","PREDICTED: hypothetical protein")</f>
        <v>PREDICTED: hypothetical protein</v>
      </c>
      <c r="S102" s="4" t="str">
        <f>HYPERLINK("http://www.ncbi.nlm.nih.gov/sutils/blink.cgi?pid=109485840","1E-011")</f>
        <v>1E-011</v>
      </c>
      <c r="T102" t="s">
        <v>15</v>
      </c>
      <c r="U102" s="4">
        <v>34</v>
      </c>
      <c r="V102" s="4">
        <v>41</v>
      </c>
      <c r="W102" t="s">
        <v>257</v>
      </c>
      <c r="X102" t="s">
        <v>16</v>
      </c>
      <c r="Y102" t="s">
        <v>1106</v>
      </c>
      <c r="Z102" s="2" t="s">
        <v>1107</v>
      </c>
      <c r="AA102">
        <f>HYPERLINK("http://exon.niaid.nih.gov/transcriptome/Tx_amboinensis_sialome/Table_1/links/GO\TX-contig_123-GO.txt",0.00000001)</f>
        <v>0</v>
      </c>
      <c r="AB102" t="s">
        <v>850</v>
      </c>
      <c r="AC102" t="s">
        <v>850</v>
      </c>
      <c r="AE102" t="s">
        <v>851</v>
      </c>
      <c r="AF102">
        <v>1E-08</v>
      </c>
      <c r="AG102" s="2" t="str">
        <f>HYPERLINK("http://exon.niaid.nih.gov/transcriptome/Tx_amboinensis_sialome/Table_1/links/KOG\TX-contig_123-KOG.txt","Chromatin assembly factor-I")</f>
        <v>Chromatin assembly factor-I</v>
      </c>
      <c r="AH102" t="str">
        <f>HYPERLINK("http://www.ncbi.nlm.nih.gov/COG/new/shokog.cgi?KOG4364","8E-009")</f>
        <v>8E-009</v>
      </c>
      <c r="AI102" t="s">
        <v>798</v>
      </c>
      <c r="AJ102" s="2" t="str">
        <f>HYPERLINK("http://exon.niaid.nih.gov/transcriptome/Tx_amboinensis_sialome/Table_1/links/CDD\TX-contig_123-CDD.txt","E-MAP-115")</f>
        <v>E-MAP-115</v>
      </c>
      <c r="AK102" t="str">
        <f>HYPERLINK("http://www.ncbi.nlm.nih.gov/Structure/cdd/cddsrv.cgi?uid=pfam05672&amp;version=v4.0","2E-007")</f>
        <v>2E-007</v>
      </c>
      <c r="AL102" t="s">
        <v>1108</v>
      </c>
      <c r="AM102" s="2" t="str">
        <f>HYPERLINK("http://exon.niaid.nih.gov/transcriptome/Tx_amboinensis_sialome/Table_1/links/PFAM\TX-contig_123-PFAM.txt","E-MAP-115")</f>
        <v>E-MAP-115</v>
      </c>
      <c r="AN102" t="str">
        <f>HYPERLINK("http://pfam.wustl.edu/cgi-bin/getdesc?acc=PF05672","1E-007")</f>
        <v>1E-007</v>
      </c>
      <c r="AO102" s="2" t="str">
        <f>HYPERLINK("http://exon.niaid.nih.gov/transcriptome/Tx_amboinensis_sialome/Table_1/links/SMART\TX-contig_123-SMART.txt","TLC")</f>
        <v>TLC</v>
      </c>
      <c r="AP102" t="str">
        <f>HYPERLINK("http://smart.embl-heidelberg.de/smart/do_annotation.pl?DOMAIN=TLC&amp;BLAST=DUMMY","0.002")</f>
        <v>0.002</v>
      </c>
      <c r="AQ102" s="2" t="s">
        <v>324</v>
      </c>
      <c r="AR102" t="s">
        <v>324</v>
      </c>
      <c r="AS102" s="2" t="s">
        <v>324</v>
      </c>
      <c r="AT102" t="s">
        <v>324</v>
      </c>
    </row>
    <row r="103" spans="1:46" ht="11.25">
      <c r="A103" t="str">
        <f>HYPERLINK("http://exon.niaid.nih.gov/transcriptome/Tx_amboinensis_sialome/Table_1/links/TX-contig_180.txt","TX-contig_180")</f>
        <v>TX-contig_180</v>
      </c>
      <c r="B103" t="str">
        <f>HYPERLINK("http://exon.niaid.nih.gov/transcriptome/Tx_amboinensis_sialome/Table_1/links/TX-5-90-90-asb-180.txt","Contig-180")</f>
        <v>Contig-180</v>
      </c>
      <c r="C103" t="str">
        <f>HYPERLINK("http://exon.niaid.nih.gov/transcriptome/Tx_amboinensis_sialome/Table_1/links/TX-5-90-90-180-CLU.txt","Contig180")</f>
        <v>Contig180</v>
      </c>
      <c r="D103" s="4">
        <v>1</v>
      </c>
      <c r="E103">
        <v>341</v>
      </c>
      <c r="F103">
        <v>4.4</v>
      </c>
      <c r="G103">
        <v>66.3</v>
      </c>
      <c r="H103">
        <v>83</v>
      </c>
      <c r="I103">
        <v>180</v>
      </c>
      <c r="J103" t="s">
        <v>493</v>
      </c>
      <c r="K103">
        <v>83</v>
      </c>
      <c r="L103" s="3" t="s">
        <v>1035</v>
      </c>
      <c r="M103" s="4">
        <v>0</v>
      </c>
      <c r="N103" s="4">
        <v>0</v>
      </c>
      <c r="O103" s="4">
        <v>2</v>
      </c>
      <c r="P103" s="4">
        <v>0</v>
      </c>
      <c r="Q103" s="5" t="s">
        <v>1087</v>
      </c>
      <c r="R103" s="2" t="str">
        <f>HYPERLINK("http://exon.niaid.nih.gov/transcriptome/Tx_amboinensis_sialome/Table_1/links/NR\TX-contig_180-NR.txt","formin homology domain-containing p")</f>
        <v>formin homology domain-containing p</v>
      </c>
      <c r="S103" s="4" t="str">
        <f>HYPERLINK("http://www.ncbi.nlm.nih.gov/sutils/blink.cgi?pid=66802606","5E-006")</f>
        <v>5E-006</v>
      </c>
      <c r="T103" t="s">
        <v>860</v>
      </c>
      <c r="U103" s="4">
        <v>67</v>
      </c>
      <c r="V103" s="4">
        <v>1</v>
      </c>
      <c r="W103" t="s">
        <v>132</v>
      </c>
      <c r="X103" t="s">
        <v>17</v>
      </c>
      <c r="Y103" t="s">
        <v>861</v>
      </c>
      <c r="Z103" s="2" t="s">
        <v>862</v>
      </c>
      <c r="AA103">
        <f>HYPERLINK("http://exon.niaid.nih.gov/transcriptome/Tx_amboinensis_sialome/Table_1/links/GO\TX-contig_180-GO.txt",0.00004)</f>
        <v>0</v>
      </c>
      <c r="AB103" t="s">
        <v>295</v>
      </c>
      <c r="AC103" t="s">
        <v>837</v>
      </c>
      <c r="AD103" t="s">
        <v>296</v>
      </c>
      <c r="AE103" t="s">
        <v>297</v>
      </c>
      <c r="AF103">
        <v>4E-05</v>
      </c>
      <c r="AG103" s="2" t="str">
        <f>HYPERLINK("http://exon.niaid.nih.gov/transcriptome/Tx_amboinensis_sialome/Table_1/links/KOG\TX-contig_180-KOG.txt","RhoA GTPase effector DIA/Diaphanous")</f>
        <v>RhoA GTPase effector DIA/Diaphanous</v>
      </c>
      <c r="AH103" t="str">
        <f>HYPERLINK("http://www.ncbi.nlm.nih.gov/COG/new/shokog.cgi?KOG1924","2E-006")</f>
        <v>2E-006</v>
      </c>
      <c r="AI103" t="s">
        <v>713</v>
      </c>
      <c r="AJ103" s="2" t="str">
        <f>HYPERLINK("http://exon.niaid.nih.gov/transcriptome/Tx_amboinensis_sialome/Table_1/links/CDD\TX-contig_180-CDD.txt","Drf_FH1")</f>
        <v>Drf_FH1</v>
      </c>
      <c r="AK103" t="str">
        <f>HYPERLINK("http://www.ncbi.nlm.nih.gov/Structure/cdd/cddsrv.cgi?uid=pfam06346&amp;version=v4.0","0.004")</f>
        <v>0.004</v>
      </c>
      <c r="AL103" t="s">
        <v>863</v>
      </c>
      <c r="AM103" s="2" t="str">
        <f>HYPERLINK("http://exon.niaid.nih.gov/transcriptome/Tx_amboinensis_sialome/Table_1/links/PFAM\TX-contig_180-PFAM.txt","Drf_FH1")</f>
        <v>Drf_FH1</v>
      </c>
      <c r="AN103" t="str">
        <f>HYPERLINK("http://pfam.wustl.edu/cgi-bin/getdesc?acc=PF06346","0.002")</f>
        <v>0.002</v>
      </c>
      <c r="AO103" s="2" t="str">
        <f>HYPERLINK("http://exon.niaid.nih.gov/transcriptome/Tx_amboinensis_sialome/Table_1/links/SMART\TX-contig_180-SMART.txt","PRP")</f>
        <v>PRP</v>
      </c>
      <c r="AP103" t="str">
        <f>HYPERLINK("http://smart.embl-heidelberg.de/smart/do_annotation.pl?DOMAIN=PRP&amp;BLAST=DUMMY","0.088")</f>
        <v>0.088</v>
      </c>
      <c r="AQ103" s="2" t="s">
        <v>324</v>
      </c>
      <c r="AR103" t="s">
        <v>324</v>
      </c>
      <c r="AS103" s="2" t="s">
        <v>324</v>
      </c>
      <c r="AT103" t="s">
        <v>324</v>
      </c>
    </row>
    <row r="104" spans="1:46" ht="11.25">
      <c r="A104" t="str">
        <f>HYPERLINK("http://exon.niaid.nih.gov/transcriptome/Tx_amboinensis_sialome/Table_1/links/TX-contig_51.txt","TX-contig_51")</f>
        <v>TX-contig_51</v>
      </c>
      <c r="B104" t="str">
        <f>HYPERLINK("http://exon.niaid.nih.gov/transcriptome/Tx_amboinensis_sialome/Table_1/links/TX-5-90-90-asb-51.txt","Contig-51")</f>
        <v>Contig-51</v>
      </c>
      <c r="C104" t="str">
        <f>HYPERLINK("http://exon.niaid.nih.gov/transcriptome/Tx_amboinensis_sialome/Table_1/links/TX-5-90-90-51-CLU.txt","Contig51")</f>
        <v>Contig51</v>
      </c>
      <c r="D104" s="4">
        <v>1</v>
      </c>
      <c r="E104">
        <v>321</v>
      </c>
      <c r="F104">
        <v>3.7</v>
      </c>
      <c r="G104">
        <v>74.5</v>
      </c>
      <c r="H104">
        <v>302</v>
      </c>
      <c r="I104">
        <v>51</v>
      </c>
      <c r="J104" t="s">
        <v>372</v>
      </c>
      <c r="K104">
        <v>302</v>
      </c>
      <c r="L104" s="3" t="s">
        <v>1036</v>
      </c>
      <c r="M104" s="4">
        <v>0</v>
      </c>
      <c r="N104" s="4">
        <v>0</v>
      </c>
      <c r="O104" s="4">
        <v>0</v>
      </c>
      <c r="P104" s="4">
        <v>0</v>
      </c>
      <c r="Q104" s="5" t="s">
        <v>1087</v>
      </c>
      <c r="R104" s="2" t="str">
        <f>HYPERLINK("http://exon.niaid.nih.gov/transcriptome/Tx_amboinensis_sialome/Table_1/links/NR\TX-contig_51-NR.txt","hypothetical protein GuraDRAFT_11")</f>
        <v>hypothetical protein GuraDRAFT_11</v>
      </c>
      <c r="S104" s="4" t="str">
        <f>HYPERLINK("http://www.ncbi.nlm.nih.gov/sutils/blink.cgi?pid=88937037","5E-012")</f>
        <v>5E-012</v>
      </c>
      <c r="T104" t="s">
        <v>18</v>
      </c>
      <c r="U104" s="4">
        <v>44</v>
      </c>
      <c r="V104" s="4">
        <v>65</v>
      </c>
      <c r="W104" t="s">
        <v>19</v>
      </c>
      <c r="X104" t="s">
        <v>20</v>
      </c>
      <c r="Y104" t="s">
        <v>816</v>
      </c>
      <c r="Z104" s="2" t="s">
        <v>817</v>
      </c>
      <c r="AA104">
        <f>HYPERLINK("http://exon.niaid.nih.gov/transcriptome/Tx_amboinensis_sialome/Table_1/links/GO\TX-contig_51-GO.txt",0.00000005)</f>
        <v>0</v>
      </c>
      <c r="AB104" t="s">
        <v>850</v>
      </c>
      <c r="AC104" t="s">
        <v>850</v>
      </c>
      <c r="AE104" t="s">
        <v>851</v>
      </c>
      <c r="AF104">
        <v>5E-08</v>
      </c>
      <c r="AG104" s="2" t="str">
        <f>HYPERLINK("http://exon.niaid.nih.gov/transcriptome/Tx_amboinensis_sialome/Table_1/links/KOG\TX-contig_51-KOG.txt","Chromatin assembly factor-I")</f>
        <v>Chromatin assembly factor-I</v>
      </c>
      <c r="AH104" t="str">
        <f>HYPERLINK("http://www.ncbi.nlm.nih.gov/COG/new/shokog.cgi?KOG4364","6E-007")</f>
        <v>6E-007</v>
      </c>
      <c r="AI104" t="s">
        <v>798</v>
      </c>
      <c r="AJ104" s="2" t="str">
        <f>HYPERLINK("http://exon.niaid.nih.gov/transcriptome/Tx_amboinensis_sialome/Table_1/links/CDD\TX-contig_51-CDD.txt","TatC")</f>
        <v>TatC</v>
      </c>
      <c r="AK104" t="str">
        <f>HYPERLINK("http://www.ncbi.nlm.nih.gov/Structure/cdd/cddsrv.cgi?uid=pfam00902&amp;version=v4.0","4E-007")</f>
        <v>4E-007</v>
      </c>
      <c r="AL104" t="s">
        <v>818</v>
      </c>
      <c r="AM104" s="2" t="str">
        <f>HYPERLINK("http://exon.niaid.nih.gov/transcriptome/Tx_amboinensis_sialome/Table_1/links/PFAM\TX-contig_51-PFAM.txt","TatC")</f>
        <v>TatC</v>
      </c>
      <c r="AN104" t="str">
        <f>HYPERLINK("http://pfam.wustl.edu/cgi-bin/getdesc?acc=PF00902","2E-007")</f>
        <v>2E-007</v>
      </c>
      <c r="AO104" s="2" t="str">
        <f>HYPERLINK("http://exon.niaid.nih.gov/transcriptome/Tx_amboinensis_sialome/Table_1/links/SMART\TX-contig_51-SMART.txt","PSN")</f>
        <v>PSN</v>
      </c>
      <c r="AP104" t="str">
        <f>HYPERLINK("http://smart.embl-heidelberg.de/smart/do_annotation.pl?DOMAIN=PSN&amp;BLAST=DUMMY","1E-005")</f>
        <v>1E-005</v>
      </c>
      <c r="AQ104" s="2" t="s">
        <v>324</v>
      </c>
      <c r="AR104" t="s">
        <v>324</v>
      </c>
      <c r="AS104" s="2" t="s">
        <v>324</v>
      </c>
      <c r="AT104" t="s">
        <v>324</v>
      </c>
    </row>
    <row r="105" spans="1:46" ht="11.25">
      <c r="A105" t="str">
        <f>HYPERLINK("http://exon.niaid.nih.gov/transcriptome/Tx_amboinensis_sialome/Table_1/links/TX-contig_56.txt","TX-contig_56")</f>
        <v>TX-contig_56</v>
      </c>
      <c r="B105" t="str">
        <f>HYPERLINK("http://exon.niaid.nih.gov/transcriptome/Tx_amboinensis_sialome/Table_1/links/TX-5-90-90-asb-56.txt","Contig-56")</f>
        <v>Contig-56</v>
      </c>
      <c r="C105" t="str">
        <f>HYPERLINK("http://exon.niaid.nih.gov/transcriptome/Tx_amboinensis_sialome/Table_1/links/TX-5-90-90-56-CLU.txt","Contig56")</f>
        <v>Contig56</v>
      </c>
      <c r="D105" s="4">
        <v>1</v>
      </c>
      <c r="E105">
        <v>274</v>
      </c>
      <c r="F105">
        <v>0.4</v>
      </c>
      <c r="G105">
        <v>68.2</v>
      </c>
      <c r="H105">
        <v>255</v>
      </c>
      <c r="I105">
        <v>56</v>
      </c>
      <c r="J105" t="s">
        <v>376</v>
      </c>
      <c r="K105">
        <v>255</v>
      </c>
      <c r="L105" s="3" t="s">
        <v>1036</v>
      </c>
      <c r="M105" s="4">
        <v>0</v>
      </c>
      <c r="N105" s="4">
        <v>0</v>
      </c>
      <c r="O105" s="4">
        <v>0</v>
      </c>
      <c r="P105" s="4">
        <v>0</v>
      </c>
      <c r="Q105" s="5" t="s">
        <v>1087</v>
      </c>
      <c r="R105" s="2" t="str">
        <f>HYPERLINK("http://exon.niaid.nih.gov/transcriptome/Tx_amboinensis_sialome/Table_1/links/NR\TX-contig_56-NR.txt","hypothetical protein DDBDRAFT_01885")</f>
        <v>hypothetical protein DDBDRAFT_01885</v>
      </c>
      <c r="S105" s="4" t="str">
        <f>HYPERLINK("http://www.ncbi.nlm.nih.gov/sutils/blink.cgi?pid=66804691","2E-007")</f>
        <v>2E-007</v>
      </c>
      <c r="T105" t="s">
        <v>820</v>
      </c>
      <c r="U105" s="4">
        <v>41</v>
      </c>
      <c r="V105" s="4">
        <v>6</v>
      </c>
      <c r="W105" t="s">
        <v>132</v>
      </c>
      <c r="X105" t="s">
        <v>21</v>
      </c>
      <c r="Y105" t="s">
        <v>821</v>
      </c>
      <c r="Z105" s="2" t="s">
        <v>817</v>
      </c>
      <c r="AA105">
        <f>HYPERLINK("http://exon.niaid.nih.gov/transcriptome/Tx_amboinensis_sialome/Table_1/links/GO\TX-contig_56-GO.txt",0.0000003)</f>
        <v>0</v>
      </c>
      <c r="AB105" t="s">
        <v>850</v>
      </c>
      <c r="AC105" t="s">
        <v>850</v>
      </c>
      <c r="AE105" t="s">
        <v>851</v>
      </c>
      <c r="AF105">
        <v>3E-07</v>
      </c>
      <c r="AG105" s="2" t="str">
        <f>HYPERLINK("http://exon.niaid.nih.gov/transcriptome/Tx_amboinensis_sialome/Table_1/links/KOG\TX-contig_56-KOG.txt","Chromatin assembly factor-I")</f>
        <v>Chromatin assembly factor-I</v>
      </c>
      <c r="AH105" t="str">
        <f>HYPERLINK("http://www.ncbi.nlm.nih.gov/COG/new/shokog.cgi?KOG4364","3E-007")</f>
        <v>3E-007</v>
      </c>
      <c r="AI105" t="s">
        <v>798</v>
      </c>
      <c r="AJ105" s="2" t="str">
        <f>HYPERLINK("http://exon.niaid.nih.gov/transcriptome/Tx_amboinensis_sialome/Table_1/links/CDD\TX-contig_56-CDD.txt","COG3936")</f>
        <v>COG3936</v>
      </c>
      <c r="AK105" t="str">
        <f>HYPERLINK("http://www.ncbi.nlm.nih.gov/Structure/cdd/cddsrv.cgi?uid=COG3936&amp;version=v4.0","4E-005")</f>
        <v>4E-005</v>
      </c>
      <c r="AL105" t="s">
        <v>822</v>
      </c>
      <c r="AM105" s="2" t="str">
        <f>HYPERLINK("http://exon.niaid.nih.gov/transcriptome/Tx_amboinensis_sialome/Table_1/links/PFAM\TX-contig_56-PFAM.txt","Cgr1")</f>
        <v>Cgr1</v>
      </c>
      <c r="AN105" t="str">
        <f>HYPERLINK("http://pfam.wustl.edu/cgi-bin/getdesc?acc=PF03879","2E-005")</f>
        <v>2E-005</v>
      </c>
      <c r="AO105" s="2" t="str">
        <f>HYPERLINK("http://exon.niaid.nih.gov/transcriptome/Tx_amboinensis_sialome/Table_1/links/SMART\TX-contig_56-SMART.txt","PSN")</f>
        <v>PSN</v>
      </c>
      <c r="AP105" t="str">
        <f>HYPERLINK("http://smart.embl-heidelberg.de/smart/do_annotation.pl?DOMAIN=PSN&amp;BLAST=DUMMY","4E-004")</f>
        <v>4E-004</v>
      </c>
      <c r="AQ105" s="2" t="s">
        <v>324</v>
      </c>
      <c r="AR105" t="s">
        <v>324</v>
      </c>
      <c r="AS105" s="2" t="s">
        <v>324</v>
      </c>
      <c r="AT105" t="s">
        <v>324</v>
      </c>
    </row>
    <row r="106" spans="1:46" ht="11.25">
      <c r="A106" t="str">
        <f>HYPERLINK("http://exon.niaid.nih.gov/transcriptome/Tx_amboinensis_sialome/Table_1/links/TX-contig_146.txt","TX-contig_146")</f>
        <v>TX-contig_146</v>
      </c>
      <c r="B106" t="str">
        <f>HYPERLINK("http://exon.niaid.nih.gov/transcriptome/Tx_amboinensis_sialome/Table_1/links/TX-5-90-90-asb-146.txt","Contig-146")</f>
        <v>Contig-146</v>
      </c>
      <c r="C106" t="str">
        <f>HYPERLINK("http://exon.niaid.nih.gov/transcriptome/Tx_amboinensis_sialome/Table_1/links/TX-5-90-90-146-CLU.txt","Contig146")</f>
        <v>Contig146</v>
      </c>
      <c r="D106" s="4">
        <v>1</v>
      </c>
      <c r="E106">
        <v>400</v>
      </c>
      <c r="F106" t="s">
        <v>322</v>
      </c>
      <c r="G106">
        <v>61.8</v>
      </c>
      <c r="H106" t="s">
        <v>324</v>
      </c>
      <c r="I106">
        <v>146</v>
      </c>
      <c r="J106" t="s">
        <v>461</v>
      </c>
      <c r="K106" t="s">
        <v>324</v>
      </c>
      <c r="L106" s="3" t="s">
        <v>1036</v>
      </c>
      <c r="M106" s="4">
        <v>0</v>
      </c>
      <c r="N106" s="4">
        <v>0</v>
      </c>
      <c r="O106" s="4">
        <v>0</v>
      </c>
      <c r="P106" s="4">
        <v>0</v>
      </c>
      <c r="Q106" s="5" t="s">
        <v>1087</v>
      </c>
      <c r="R106" s="2" t="str">
        <f>HYPERLINK("http://exon.niaid.nih.gov/transcriptome/Tx_amboinensis_sialome/Table_1/links/NR\TX-contig_146-NR.txt","hypothetical protein GuraDRAFT_11")</f>
        <v>hypothetical protein GuraDRAFT_11</v>
      </c>
      <c r="S106" s="4" t="str">
        <f>HYPERLINK("http://www.ncbi.nlm.nih.gov/sutils/blink.cgi?pid=88937037","1E-007")</f>
        <v>1E-007</v>
      </c>
      <c r="T106" t="s">
        <v>18</v>
      </c>
      <c r="U106" s="4">
        <v>48</v>
      </c>
      <c r="V106" s="4">
        <v>42</v>
      </c>
      <c r="W106" t="s">
        <v>19</v>
      </c>
      <c r="X106" t="s">
        <v>22</v>
      </c>
      <c r="Y106" t="s">
        <v>1140</v>
      </c>
      <c r="Z106" s="2" t="s">
        <v>1141</v>
      </c>
      <c r="AA106">
        <f>HYPERLINK("http://exon.niaid.nih.gov/transcriptome/Tx_amboinensis_sialome/Table_1/links/GO\TX-contig_146-GO.txt",0.012)</f>
        <v>0</v>
      </c>
      <c r="AB106" t="s">
        <v>850</v>
      </c>
      <c r="AC106" t="s">
        <v>850</v>
      </c>
      <c r="AE106" t="s">
        <v>851</v>
      </c>
      <c r="AF106">
        <v>0.012</v>
      </c>
      <c r="AG106" s="2" t="str">
        <f>HYPERLINK("http://exon.niaid.nih.gov/transcriptome/Tx_amboinensis_sialome/Table_1/links/KOG\TX-contig_146-KOG.txt","Pleiotropic drug resistance proteins (PDR1-15), ABC superfamily")</f>
        <v>Pleiotropic drug resistance proteins (PDR1-15), ABC superfamily</v>
      </c>
      <c r="AH106" t="str">
        <f>HYPERLINK("http://www.ncbi.nlm.nih.gov/COG/new/shokog.cgi?KOG0065","2E-004")</f>
        <v>2E-004</v>
      </c>
      <c r="AI106" t="s">
        <v>804</v>
      </c>
      <c r="AJ106" s="2" t="str">
        <f>HYPERLINK("http://exon.niaid.nih.gov/transcriptome/Tx_amboinensis_sialome/Table_1/links/CDD\TX-contig_146-CDD.txt","PSN")</f>
        <v>PSN</v>
      </c>
      <c r="AK106" t="str">
        <f>HYPERLINK("http://www.ncbi.nlm.nih.gov/Structure/cdd/cddsrv.cgi?uid=smart00730&amp;version=v4.0","2E-004")</f>
        <v>2E-004</v>
      </c>
      <c r="AL106" t="s">
        <v>1142</v>
      </c>
      <c r="AM106" s="2" t="str">
        <f>HYPERLINK("http://exon.niaid.nih.gov/transcriptome/Tx_amboinensis_sialome/Table_1/links/PFAM\TX-contig_146-PFAM.txt","CTP_transf_1")</f>
        <v>CTP_transf_1</v>
      </c>
      <c r="AN106" t="str">
        <f>HYPERLINK("http://pfam.wustl.edu/cgi-bin/getdesc?acc=PF01148","2E-004")</f>
        <v>2E-004</v>
      </c>
      <c r="AO106" s="2" t="str">
        <f>HYPERLINK("http://exon.niaid.nih.gov/transcriptome/Tx_amboinensis_sialome/Table_1/links/SMART\TX-contig_146-SMART.txt","PSN")</f>
        <v>PSN</v>
      </c>
      <c r="AP106" t="str">
        <f>HYPERLINK("http://smart.embl-heidelberg.de/smart/do_annotation.pl?DOMAIN=PSN&amp;BLAST=DUMMY","7E-006")</f>
        <v>7E-006</v>
      </c>
      <c r="AQ106" s="2" t="s">
        <v>324</v>
      </c>
      <c r="AR106" t="s">
        <v>324</v>
      </c>
      <c r="AS106" s="2" t="s">
        <v>324</v>
      </c>
      <c r="AT106" t="s">
        <v>324</v>
      </c>
    </row>
    <row r="107" spans="1:46" ht="11.25">
      <c r="A107" t="str">
        <f>HYPERLINK("http://exon.niaid.nih.gov/transcriptome/Tx_amboinensis_sialome/Table_1/links/TX-contig_69.txt","TX-contig_69")</f>
        <v>TX-contig_69</v>
      </c>
      <c r="B107" t="str">
        <f>HYPERLINK("http://exon.niaid.nih.gov/transcriptome/Tx_amboinensis_sialome/Table_1/links/TX-5-90-90-asb-69.txt","Contig-69")</f>
        <v>Contig-69</v>
      </c>
      <c r="C107" t="str">
        <f>HYPERLINK("http://exon.niaid.nih.gov/transcriptome/Tx_amboinensis_sialome/Table_1/links/TX-5-90-90-69-CLU.txt","Contig69")</f>
        <v>Contig69</v>
      </c>
      <c r="D107" s="4">
        <v>1</v>
      </c>
      <c r="E107">
        <v>243</v>
      </c>
      <c r="F107" t="s">
        <v>322</v>
      </c>
      <c r="G107">
        <v>88.5</v>
      </c>
      <c r="H107">
        <v>224</v>
      </c>
      <c r="I107">
        <v>69</v>
      </c>
      <c r="J107" t="s">
        <v>388</v>
      </c>
      <c r="K107">
        <v>224</v>
      </c>
      <c r="L107" s="3" t="s">
        <v>1036</v>
      </c>
      <c r="M107" s="4">
        <v>0</v>
      </c>
      <c r="N107" s="4">
        <v>0</v>
      </c>
      <c r="O107" s="4">
        <v>0</v>
      </c>
      <c r="P107" s="4">
        <v>0</v>
      </c>
      <c r="Q107" s="5" t="s">
        <v>1088</v>
      </c>
      <c r="R107" s="2" t="str">
        <f>HYPERLINK("http://exon.niaid.nih.gov/transcriptome/Tx_amboinensis_sialome/Table_1/links/NR\TX-contig_69-NR.txt","Hypothetical protein CBG22905 [Caeno")</f>
        <v>Hypothetical protein CBG22905 [Caeno</v>
      </c>
      <c r="S107" s="4" t="str">
        <f>HYPERLINK("http://www.ncbi.nlm.nih.gov/sutils/blink.cgi?pid=39587350","3E-027")</f>
        <v>3E-027</v>
      </c>
      <c r="T107" t="s">
        <v>943</v>
      </c>
      <c r="U107" s="4">
        <v>75</v>
      </c>
      <c r="V107" s="4">
        <v>23</v>
      </c>
      <c r="W107" t="s">
        <v>815</v>
      </c>
      <c r="X107" t="s">
        <v>23</v>
      </c>
      <c r="Y107" t="s">
        <v>944</v>
      </c>
      <c r="Z107" s="2" t="s">
        <v>945</v>
      </c>
      <c r="AA107">
        <f>HYPERLINK("http://exon.niaid.nih.gov/transcriptome/Tx_amboinensis_sialome/Table_1/links/GO\TX-contig_69-GO.txt",0.067)</f>
        <v>0</v>
      </c>
      <c r="AB107" t="s">
        <v>946</v>
      </c>
      <c r="AC107" t="s">
        <v>837</v>
      </c>
      <c r="AD107" t="s">
        <v>838</v>
      </c>
      <c r="AE107" t="s">
        <v>947</v>
      </c>
      <c r="AF107">
        <v>0.067</v>
      </c>
      <c r="AG107" s="2" t="str">
        <f>HYPERLINK("http://exon.niaid.nih.gov/transcriptome/Tx_amboinensis_sialome/Table_1/links/KOG\TX-contig_69-KOG.txt","Predicted protein involved in nuclear export of pre-ribosomes")</f>
        <v>Predicted protein involved in nuclear export of pre-ribosomes</v>
      </c>
      <c r="AH107" t="str">
        <f>HYPERLINK("http://www.ncbi.nlm.nih.gov/COG/new/shokog.cgi?KOG2256","0.010")</f>
        <v>0.010</v>
      </c>
      <c r="AI107" t="s">
        <v>725</v>
      </c>
      <c r="AJ107" s="2" t="str">
        <f>HYPERLINK("http://exon.niaid.nih.gov/transcriptome/Tx_amboinensis_sialome/Table_1/links/CDD\TX-contig_69-CDD.txt","COG2189")</f>
        <v>COG2189</v>
      </c>
      <c r="AK107" t="str">
        <f>HYPERLINK("http://www.ncbi.nlm.nih.gov/Structure/cdd/cddsrv.cgi?uid=COG2189&amp;version=v4.0","0.004")</f>
        <v>0.004</v>
      </c>
      <c r="AL107" t="s">
        <v>948</v>
      </c>
      <c r="AM107" s="2" t="str">
        <f>HYPERLINK("http://exon.niaid.nih.gov/transcriptome/Tx_amboinensis_sialome/Table_1/links/PFAM\TX-contig_69-PFAM.txt","Borrelia_orfA")</f>
        <v>Borrelia_orfA</v>
      </c>
      <c r="AN107" t="str">
        <f>HYPERLINK("http://pfam.wustl.edu/cgi-bin/getdesc?acc=PF02414","2E-005")</f>
        <v>2E-005</v>
      </c>
      <c r="AO107" s="2" t="str">
        <f>HYPERLINK("http://exon.niaid.nih.gov/transcriptome/Tx_amboinensis_sialome/Table_1/links/SMART\TX-contig_69-SMART.txt","JHBP")</f>
        <v>JHBP</v>
      </c>
      <c r="AP107" t="str">
        <f>HYPERLINK("http://smart.embl-heidelberg.de/smart/do_annotation.pl?DOMAIN=JHBP&amp;BLAST=DUMMY","0.069")</f>
        <v>0.069</v>
      </c>
      <c r="AQ107" s="2" t="s">
        <v>324</v>
      </c>
      <c r="AR107" t="s">
        <v>324</v>
      </c>
      <c r="AS107" s="2" t="s">
        <v>324</v>
      </c>
      <c r="AT107" t="s">
        <v>324</v>
      </c>
    </row>
    <row r="108" spans="1:46" ht="11.25">
      <c r="A108" t="str">
        <f>HYPERLINK("http://exon.niaid.nih.gov/transcriptome/Tx_amboinensis_sialome/Table_1/links/TX-contig_16.txt","TX-contig_16")</f>
        <v>TX-contig_16</v>
      </c>
      <c r="B108" t="str">
        <f>HYPERLINK("http://exon.niaid.nih.gov/transcriptome/Tx_amboinensis_sialome/Table_1/links/TX-5-90-90-asb-16.txt","Contig-16")</f>
        <v>Contig-16</v>
      </c>
      <c r="C108" t="str">
        <f>HYPERLINK("http://exon.niaid.nih.gov/transcriptome/Tx_amboinensis_sialome/Table_1/links/TX-5-90-90-16-CLU.txt","Contig16")</f>
        <v>Contig16</v>
      </c>
      <c r="D108" s="4">
        <v>7</v>
      </c>
      <c r="E108">
        <v>148</v>
      </c>
      <c r="F108" t="s">
        <v>322</v>
      </c>
      <c r="G108">
        <v>71.6</v>
      </c>
      <c r="H108">
        <v>129</v>
      </c>
      <c r="I108">
        <v>16</v>
      </c>
      <c r="J108" t="s">
        <v>339</v>
      </c>
      <c r="K108">
        <v>126</v>
      </c>
      <c r="L108" s="3" t="s">
        <v>1036</v>
      </c>
      <c r="M108" s="4">
        <v>0</v>
      </c>
      <c r="N108" s="4">
        <v>0</v>
      </c>
      <c r="O108" s="4">
        <v>0</v>
      </c>
      <c r="P108" s="4">
        <v>0</v>
      </c>
      <c r="Q108" s="5" t="s">
        <v>1039</v>
      </c>
      <c r="Y108" t="s">
        <v>324</v>
      </c>
      <c r="Z108" s="2" t="s">
        <v>324</v>
      </c>
      <c r="AA108" t="s">
        <v>324</v>
      </c>
      <c r="AB108" t="s">
        <v>324</v>
      </c>
      <c r="AC108" t="s">
        <v>324</v>
      </c>
      <c r="AD108" t="s">
        <v>324</v>
      </c>
      <c r="AE108" t="s">
        <v>324</v>
      </c>
      <c r="AF108" t="s">
        <v>324</v>
      </c>
      <c r="AG108" s="2" t="s">
        <v>324</v>
      </c>
      <c r="AH108" t="s">
        <v>324</v>
      </c>
      <c r="AI108" t="s">
        <v>324</v>
      </c>
      <c r="AJ108" s="2" t="s">
        <v>324</v>
      </c>
      <c r="AK108" t="s">
        <v>324</v>
      </c>
      <c r="AL108" t="s">
        <v>324</v>
      </c>
      <c r="AM108" s="2" t="s">
        <v>324</v>
      </c>
      <c r="AN108" t="s">
        <v>324</v>
      </c>
      <c r="AO108" s="2" t="s">
        <v>324</v>
      </c>
      <c r="AP108" t="s">
        <v>324</v>
      </c>
      <c r="AQ108" s="2" t="s">
        <v>324</v>
      </c>
      <c r="AR108" t="s">
        <v>324</v>
      </c>
      <c r="AS108" s="2" t="s">
        <v>324</v>
      </c>
      <c r="AT108" t="s">
        <v>324</v>
      </c>
    </row>
    <row r="109" spans="1:46" ht="11.25">
      <c r="A109" t="str">
        <f>HYPERLINK("http://exon.niaid.nih.gov/transcriptome/Tx_amboinensis_sialome/Table_1/links/TX-contig_19.txt","TX-contig_19")</f>
        <v>TX-contig_19</v>
      </c>
      <c r="B109" t="str">
        <f>HYPERLINK("http://exon.niaid.nih.gov/transcriptome/Tx_amboinensis_sialome/Table_1/links/TX-5-90-90-asb-19.txt","Contig-19")</f>
        <v>Contig-19</v>
      </c>
      <c r="C109" t="str">
        <f>HYPERLINK("http://exon.niaid.nih.gov/transcriptome/Tx_amboinensis_sialome/Table_1/links/TX-5-90-90-19-CLU.txt","Contig19")</f>
        <v>Contig19</v>
      </c>
      <c r="D109" s="4">
        <v>5</v>
      </c>
      <c r="E109">
        <v>500</v>
      </c>
      <c r="F109">
        <v>0.2</v>
      </c>
      <c r="G109">
        <v>71.6</v>
      </c>
      <c r="H109">
        <v>481</v>
      </c>
      <c r="I109">
        <v>19</v>
      </c>
      <c r="J109" t="s">
        <v>342</v>
      </c>
      <c r="K109">
        <v>137</v>
      </c>
      <c r="L109" s="3" t="s">
        <v>1035</v>
      </c>
      <c r="M109" s="4">
        <v>0</v>
      </c>
      <c r="N109" s="4">
        <v>1</v>
      </c>
      <c r="O109" s="4">
        <v>6</v>
      </c>
      <c r="P109" s="4">
        <v>0</v>
      </c>
      <c r="Q109" s="5" t="s">
        <v>1039</v>
      </c>
      <c r="R109" s="2" t="str">
        <f>HYPERLINK("http://exon.niaid.nih.gov/transcriptome/Tx_amboinensis_sialome/Table_1/links/NR\TX-contig_19-NR.txt","hypothetical protein Y50E8A.i - Caenorhab")</f>
        <v>hypothetical protein Y50E8A.i - Caenorhab</v>
      </c>
      <c r="S109" s="4" t="str">
        <f>HYPERLINK("http://www.ncbi.nlm.nih.gov/sutils/blink.cgi?pid=7510076","9E-005")</f>
        <v>9E-005</v>
      </c>
      <c r="T109" t="s">
        <v>710</v>
      </c>
      <c r="U109" s="4">
        <v>24</v>
      </c>
      <c r="V109" s="4">
        <v>17</v>
      </c>
      <c r="W109" t="s">
        <v>324</v>
      </c>
      <c r="X109" t="s">
        <v>24</v>
      </c>
      <c r="Y109" t="s">
        <v>711</v>
      </c>
      <c r="Z109" s="2" t="s">
        <v>712</v>
      </c>
      <c r="AA109">
        <f>HYPERLINK("http://exon.niaid.nih.gov/transcriptome/Tx_amboinensis_sialome/Table_1/links/GO\TX-contig_19-GO.txt",0.022)</f>
        <v>0</v>
      </c>
      <c r="AB109" t="s">
        <v>850</v>
      </c>
      <c r="AC109" t="s">
        <v>850</v>
      </c>
      <c r="AE109" t="s">
        <v>851</v>
      </c>
      <c r="AF109">
        <v>0.022</v>
      </c>
      <c r="AG109" s="2" t="str">
        <f>HYPERLINK("http://exon.niaid.nih.gov/transcriptome/Tx_amboinensis_sialome/Table_1/links/KOG\TX-contig_19-KOG.txt","RhoA GTPase effector DIA/Diaphanous")</f>
        <v>RhoA GTPase effector DIA/Diaphanous</v>
      </c>
      <c r="AH109" t="str">
        <f>HYPERLINK("http://www.ncbi.nlm.nih.gov/COG/new/shokog.cgi?KOG1924","0.010")</f>
        <v>0.010</v>
      </c>
      <c r="AI109" t="s">
        <v>713</v>
      </c>
      <c r="AJ109" s="2" t="str">
        <f>HYPERLINK("http://exon.niaid.nih.gov/transcriptome/Tx_amboinensis_sialome/Table_1/links/CDD\TX-contig_19-CDD.txt","DUF40")</f>
        <v>DUF40</v>
      </c>
      <c r="AK109" t="str">
        <f>HYPERLINK("http://www.ncbi.nlm.nih.gov/Structure/cdd/cddsrv.cgi?uid=pfam01838&amp;version=v4.0","3E-005")</f>
        <v>3E-005</v>
      </c>
      <c r="AL109" t="s">
        <v>714</v>
      </c>
      <c r="AM109" s="2" t="str">
        <f>HYPERLINK("http://exon.niaid.nih.gov/transcriptome/Tx_amboinensis_sialome/Table_1/links/PFAM\TX-contig_19-PFAM.txt","DUF40")</f>
        <v>DUF40</v>
      </c>
      <c r="AN109" t="str">
        <f>HYPERLINK("http://pfam.wustl.edu/cgi-bin/getdesc?acc=PF01838","2E-005")</f>
        <v>2E-005</v>
      </c>
      <c r="AO109" s="2" t="str">
        <f>HYPERLINK("http://exon.niaid.nih.gov/transcriptome/Tx_amboinensis_sialome/Table_1/links/SMART\TX-contig_19-SMART.txt","PSN")</f>
        <v>PSN</v>
      </c>
      <c r="AP109" t="str">
        <f>HYPERLINK("http://smart.embl-heidelberg.de/smart/do_annotation.pl?DOMAIN=PSN&amp;BLAST=DUMMY","0.013")</f>
        <v>0.013</v>
      </c>
      <c r="AQ109" s="2" t="s">
        <v>324</v>
      </c>
      <c r="AR109" t="s">
        <v>324</v>
      </c>
      <c r="AS109" s="2" t="s">
        <v>324</v>
      </c>
      <c r="AT109" t="s">
        <v>324</v>
      </c>
    </row>
    <row r="110" spans="1:46" ht="11.25">
      <c r="A110" t="str">
        <f>HYPERLINK("http://exon.niaid.nih.gov/transcriptome/Tx_amboinensis_sialome/Table_1/links/TX-contig_22.txt","TX-contig_22")</f>
        <v>TX-contig_22</v>
      </c>
      <c r="B110" t="str">
        <f>HYPERLINK("http://exon.niaid.nih.gov/transcriptome/Tx_amboinensis_sialome/Table_1/links/TX-5-90-90-asb-22.txt","Contig-22")</f>
        <v>Contig-22</v>
      </c>
      <c r="C110" t="str">
        <f>HYPERLINK("http://exon.niaid.nih.gov/transcriptome/Tx_amboinensis_sialome/Table_1/links/TX-5-90-90-22-CLU.txt","Contig22")</f>
        <v>Contig22</v>
      </c>
      <c r="D110" s="4">
        <v>4</v>
      </c>
      <c r="E110">
        <v>223</v>
      </c>
      <c r="F110" t="s">
        <v>322</v>
      </c>
      <c r="G110">
        <v>49.3</v>
      </c>
      <c r="H110">
        <v>204</v>
      </c>
      <c r="I110">
        <v>22</v>
      </c>
      <c r="J110" t="s">
        <v>345</v>
      </c>
      <c r="K110">
        <v>91</v>
      </c>
      <c r="L110" s="3" t="s">
        <v>1035</v>
      </c>
      <c r="M110" s="4">
        <v>0</v>
      </c>
      <c r="N110" s="4">
        <v>0</v>
      </c>
      <c r="O110" s="4">
        <v>1</v>
      </c>
      <c r="P110" s="4">
        <v>0</v>
      </c>
      <c r="Q110" s="5" t="s">
        <v>1039</v>
      </c>
      <c r="R110" s="2" t="str">
        <f>HYPERLINK("http://exon.niaid.nih.gov/transcriptome/Tx_amboinensis_sialome/Table_1/links/NR\TX-contig_22-NR.txt","putative 41 kDa salivary secreted pro")</f>
        <v>putative 41 kDa salivary secreted pro</v>
      </c>
      <c r="S110" s="4" t="str">
        <f>HYPERLINK("http://www.ncbi.nlm.nih.gov/sutils/blink.cgi?pid=94468848","5E-004")</f>
        <v>5E-004</v>
      </c>
      <c r="T110" t="s">
        <v>25</v>
      </c>
      <c r="U110" s="4">
        <v>46</v>
      </c>
      <c r="V110" s="4">
        <v>10</v>
      </c>
      <c r="W110" t="s">
        <v>901</v>
      </c>
      <c r="X110" t="s">
        <v>26</v>
      </c>
      <c r="Y110" t="s">
        <v>220</v>
      </c>
      <c r="Z110" s="2" t="s">
        <v>324</v>
      </c>
      <c r="AA110" t="s">
        <v>324</v>
      </c>
      <c r="AB110" t="s">
        <v>324</v>
      </c>
      <c r="AC110" t="s">
        <v>324</v>
      </c>
      <c r="AD110" t="s">
        <v>324</v>
      </c>
      <c r="AE110" t="s">
        <v>324</v>
      </c>
      <c r="AF110" t="s">
        <v>324</v>
      </c>
      <c r="AG110" s="2" t="str">
        <f>HYPERLINK("http://exon.niaid.nih.gov/transcriptome/Tx_amboinensis_sialome/Table_1/links/KOG\TX-contig_22-KOG.txt","Predicted ubiquitin regulatory protein, contains UAS and UBX domains")</f>
        <v>Predicted ubiquitin regulatory protein, contains UAS and UBX domains</v>
      </c>
      <c r="AH110" t="str">
        <f>HYPERLINK("http://www.ncbi.nlm.nih.gov/COG/new/shokog.cgi?KOG1364","0.17")</f>
        <v>0.17</v>
      </c>
      <c r="AI110" t="s">
        <v>221</v>
      </c>
      <c r="AJ110" s="2" t="str">
        <f>HYPERLINK("http://exon.niaid.nih.gov/transcriptome/Tx_amboinensis_sialome/Table_1/links/CDD\TX-contig_22-CDD.txt","RhtB")</f>
        <v>RhtB</v>
      </c>
      <c r="AK110" t="str">
        <f>HYPERLINK("http://www.ncbi.nlm.nih.gov/Structure/cdd/cddsrv.cgi?uid=COG1280&amp;version=v4.0","0.58")</f>
        <v>0.58</v>
      </c>
      <c r="AL110" t="s">
        <v>222</v>
      </c>
      <c r="AM110" s="2" t="s">
        <v>324</v>
      </c>
      <c r="AN110" t="s">
        <v>324</v>
      </c>
      <c r="AO110" s="2" t="str">
        <f>HYPERLINK("http://exon.niaid.nih.gov/transcriptome/Tx_amboinensis_sialome/Table_1/links/SMART\TX-contig_22-SMART.txt","eIF2B_5")</f>
        <v>eIF2B_5</v>
      </c>
      <c r="AP110" t="str">
        <f>HYPERLINK("http://smart.embl-heidelberg.de/smart/do_annotation.pl?DOMAIN=eIF2B_5&amp;BLAST=DUMMY","0.45")</f>
        <v>0.45</v>
      </c>
      <c r="AQ110" s="2" t="s">
        <v>324</v>
      </c>
      <c r="AR110" t="s">
        <v>324</v>
      </c>
      <c r="AS110" s="2" t="s">
        <v>324</v>
      </c>
      <c r="AT110" t="s">
        <v>324</v>
      </c>
    </row>
    <row r="111" spans="1:46" ht="11.25">
      <c r="A111" t="str">
        <f>HYPERLINK("http://exon.niaid.nih.gov/transcriptome/Tx_amboinensis_sialome/Table_1/links/TX-contig_25.txt","TX-contig_25")</f>
        <v>TX-contig_25</v>
      </c>
      <c r="B111" t="str">
        <f>HYPERLINK("http://exon.niaid.nih.gov/transcriptome/Tx_amboinensis_sialome/Table_1/links/TX-5-90-90-asb-25.txt","Contig-25")</f>
        <v>Contig-25</v>
      </c>
      <c r="C111" t="str">
        <f>HYPERLINK("http://exon.niaid.nih.gov/transcriptome/Tx_amboinensis_sialome/Table_1/links/TX-5-90-90-25-CLU.txt","Contig25")</f>
        <v>Contig25</v>
      </c>
      <c r="D111" s="4">
        <v>3</v>
      </c>
      <c r="E111">
        <v>217</v>
      </c>
      <c r="F111" t="s">
        <v>322</v>
      </c>
      <c r="G111">
        <v>71</v>
      </c>
      <c r="H111">
        <v>198</v>
      </c>
      <c r="I111">
        <v>25</v>
      </c>
      <c r="J111" t="s">
        <v>348</v>
      </c>
      <c r="K111">
        <v>186</v>
      </c>
      <c r="L111" s="3" t="s">
        <v>1035</v>
      </c>
      <c r="M111" s="4">
        <v>0</v>
      </c>
      <c r="N111" s="4">
        <v>0</v>
      </c>
      <c r="O111" s="4">
        <v>2</v>
      </c>
      <c r="P111" s="4">
        <v>0</v>
      </c>
      <c r="Q111" s="5" t="s">
        <v>1039</v>
      </c>
      <c r="R111" s="2" t="str">
        <f>HYPERLINK("http://exon.niaid.nih.gov/transcriptome/Tx_amboinensis_sialome/Table_1/links/NR\TX-contig_25-NR.txt","conserved protein [Sulfolobus acidoca")</f>
        <v>conserved protein [Sulfolobus acidoca</v>
      </c>
      <c r="S111" s="4" t="str">
        <f>HYPERLINK("http://www.ncbi.nlm.nih.gov/sutils/blink.cgi?pid=68567389","4.0")</f>
        <v>4.0</v>
      </c>
      <c r="T111" t="s">
        <v>230</v>
      </c>
      <c r="U111" s="4">
        <v>37</v>
      </c>
      <c r="V111" s="4">
        <v>10</v>
      </c>
      <c r="W111" t="s">
        <v>231</v>
      </c>
      <c r="X111" t="s">
        <v>232</v>
      </c>
      <c r="Y111" t="s">
        <v>232</v>
      </c>
      <c r="Z111" s="2" t="s">
        <v>324</v>
      </c>
      <c r="AA111" t="s">
        <v>324</v>
      </c>
      <c r="AB111" t="s">
        <v>324</v>
      </c>
      <c r="AC111" t="s">
        <v>324</v>
      </c>
      <c r="AD111" t="s">
        <v>324</v>
      </c>
      <c r="AE111" t="s">
        <v>324</v>
      </c>
      <c r="AF111" t="s">
        <v>324</v>
      </c>
      <c r="AG111" s="2" t="str">
        <f>HYPERLINK("http://exon.niaid.nih.gov/transcriptome/Tx_amboinensis_sialome/Table_1/links/KOG\TX-contig_25-KOG.txt","Vesicle coat protein clathrin, heavy chain")</f>
        <v>Vesicle coat protein clathrin, heavy chain</v>
      </c>
      <c r="AH111" t="str">
        <f>HYPERLINK("http://www.ncbi.nlm.nih.gov/COG/new/shokog.cgi?KOG0985","0.58")</f>
        <v>0.58</v>
      </c>
      <c r="AI111" t="s">
        <v>233</v>
      </c>
      <c r="AJ111" s="2" t="s">
        <v>324</v>
      </c>
      <c r="AK111" t="s">
        <v>324</v>
      </c>
      <c r="AL111" t="s">
        <v>324</v>
      </c>
      <c r="AM111" s="2" t="s">
        <v>324</v>
      </c>
      <c r="AN111" t="s">
        <v>324</v>
      </c>
      <c r="AO111" s="2" t="str">
        <f>HYPERLINK("http://exon.niaid.nih.gov/transcriptome/Tx_amboinensis_sialome/Table_1/links/SMART\TX-contig_25-SMART.txt","INB")</f>
        <v>INB</v>
      </c>
      <c r="AP111" t="str">
        <f>HYPERLINK("http://smart.embl-heidelberg.de/smart/do_annotation.pl?DOMAIN=INB&amp;BLAST=DUMMY","0.67")</f>
        <v>0.67</v>
      </c>
      <c r="AQ111" s="2" t="s">
        <v>324</v>
      </c>
      <c r="AR111" t="s">
        <v>324</v>
      </c>
      <c r="AS111" s="2" t="s">
        <v>324</v>
      </c>
      <c r="AT111" t="s">
        <v>324</v>
      </c>
    </row>
    <row r="112" spans="1:46" ht="11.25">
      <c r="A112" t="str">
        <f>HYPERLINK("http://exon.niaid.nih.gov/transcriptome/Tx_amboinensis_sialome/Table_1/links/TX-contig_23.txt","TX-contig_23")</f>
        <v>TX-contig_23</v>
      </c>
      <c r="B112" t="str">
        <f>HYPERLINK("http://exon.niaid.nih.gov/transcriptome/Tx_amboinensis_sialome/Table_1/links/TX-5-90-90-asb-23.txt","Contig-23")</f>
        <v>Contig-23</v>
      </c>
      <c r="C112" t="str">
        <f>HYPERLINK("http://exon.niaid.nih.gov/transcriptome/Tx_amboinensis_sialome/Table_1/links/TX-5-90-90-23-CLU.txt","Contig23")</f>
        <v>Contig23</v>
      </c>
      <c r="D112" s="4">
        <v>3</v>
      </c>
      <c r="E112">
        <v>539</v>
      </c>
      <c r="F112" t="s">
        <v>322</v>
      </c>
      <c r="G112">
        <v>68.5</v>
      </c>
      <c r="H112">
        <v>520</v>
      </c>
      <c r="I112">
        <v>23</v>
      </c>
      <c r="J112" t="s">
        <v>346</v>
      </c>
      <c r="K112">
        <v>103</v>
      </c>
      <c r="L112" s="3" t="s">
        <v>1035</v>
      </c>
      <c r="M112" s="4">
        <v>0</v>
      </c>
      <c r="N112" s="4">
        <v>0</v>
      </c>
      <c r="O112" s="4">
        <v>4</v>
      </c>
      <c r="P112" s="4">
        <v>0</v>
      </c>
      <c r="Q112" s="5" t="s">
        <v>1039</v>
      </c>
      <c r="R112" s="2" t="str">
        <f>HYPERLINK("http://exon.niaid.nih.gov/transcriptome/Tx_amboinensis_sialome/Table_1/links/NR\TX-contig_23-NR.txt","hypothetical protein Cfetf_01000")</f>
        <v>hypothetical protein Cfetf_01000</v>
      </c>
      <c r="S112" s="4" t="str">
        <f>HYPERLINK("http://www.ncbi.nlm.nih.gov/sutils/blink.cgi?pid=113198405","7.8")</f>
        <v>7.8</v>
      </c>
      <c r="T112" t="s">
        <v>27</v>
      </c>
      <c r="U112" s="4">
        <v>41</v>
      </c>
      <c r="V112" s="4">
        <v>8</v>
      </c>
      <c r="W112" t="s">
        <v>28</v>
      </c>
      <c r="X112" t="s">
        <v>29</v>
      </c>
      <c r="Y112" t="s">
        <v>224</v>
      </c>
      <c r="Z112" s="2" t="s">
        <v>324</v>
      </c>
      <c r="AA112" t="s">
        <v>324</v>
      </c>
      <c r="AB112" t="s">
        <v>324</v>
      </c>
      <c r="AC112" t="s">
        <v>324</v>
      </c>
      <c r="AD112" t="s">
        <v>324</v>
      </c>
      <c r="AE112" t="s">
        <v>324</v>
      </c>
      <c r="AF112" t="s">
        <v>324</v>
      </c>
      <c r="AG112" s="2" t="str">
        <f>HYPERLINK("http://exon.niaid.nih.gov/transcriptome/Tx_amboinensis_sialome/Table_1/links/KOG\TX-contig_23-KOG.txt","SAP family cell cycle dependent phosphatase-associated protein")</f>
        <v>SAP family cell cycle dependent phosphatase-associated protein</v>
      </c>
      <c r="AH112" t="str">
        <f>HYPERLINK("http://www.ncbi.nlm.nih.gov/COG/new/shokog.cgi?KOG2073","0.68")</f>
        <v>0.68</v>
      </c>
      <c r="AI112" t="s">
        <v>225</v>
      </c>
      <c r="AJ112" s="2" t="str">
        <f>HYPERLINK("http://exon.niaid.nih.gov/transcriptome/Tx_amboinensis_sialome/Table_1/links/CDD\TX-contig_23-CDD.txt","PSN")</f>
        <v>PSN</v>
      </c>
      <c r="AK112" t="str">
        <f>HYPERLINK("http://www.ncbi.nlm.nih.gov/Structure/cdd/cddsrv.cgi?uid=smart00730&amp;version=v4.0","0.46")</f>
        <v>0.46</v>
      </c>
      <c r="AL112" t="s">
        <v>226</v>
      </c>
      <c r="AM112" s="2" t="str">
        <f>HYPERLINK("http://exon.niaid.nih.gov/transcriptome/Tx_amboinensis_sialome/Table_1/links/PFAM\TX-contig_23-PFAM.txt","DUF70")</f>
        <v>DUF70</v>
      </c>
      <c r="AN112" t="str">
        <f>HYPERLINK("http://pfam.wustl.edu/cgi-bin/getdesc?acc=PF01901","0.70")</f>
        <v>0.70</v>
      </c>
      <c r="AO112" s="2" t="str">
        <f>HYPERLINK("http://exon.niaid.nih.gov/transcriptome/Tx_amboinensis_sialome/Table_1/links/SMART\TX-contig_23-SMART.txt","PSN")</f>
        <v>PSN</v>
      </c>
      <c r="AP112" t="str">
        <f>HYPERLINK("http://smart.embl-heidelberg.de/smart/do_annotation.pl?DOMAIN=PSN&amp;BLAST=DUMMY","0.012")</f>
        <v>0.012</v>
      </c>
      <c r="AQ112" s="2" t="s">
        <v>324</v>
      </c>
      <c r="AR112" t="s">
        <v>324</v>
      </c>
      <c r="AS112" s="2" t="s">
        <v>324</v>
      </c>
      <c r="AT112" t="s">
        <v>324</v>
      </c>
    </row>
    <row r="113" spans="1:46" ht="11.25">
      <c r="A113" t="str">
        <f>HYPERLINK("http://exon.niaid.nih.gov/transcriptome/Tx_amboinensis_sialome/Table_1/links/TX-contig_31.txt","TX-contig_31")</f>
        <v>TX-contig_31</v>
      </c>
      <c r="B113" t="str">
        <f>HYPERLINK("http://exon.niaid.nih.gov/transcriptome/Tx_amboinensis_sialome/Table_1/links/TX-5-90-90-asb-31.txt","Contig-31")</f>
        <v>Contig-31</v>
      </c>
      <c r="C113" t="str">
        <f>HYPERLINK("http://exon.niaid.nih.gov/transcriptome/Tx_amboinensis_sialome/Table_1/links/TX-5-90-90-31-CLU.txt","Contig31")</f>
        <v>Contig31</v>
      </c>
      <c r="D113" s="4">
        <v>2</v>
      </c>
      <c r="E113">
        <v>369</v>
      </c>
      <c r="F113" t="s">
        <v>322</v>
      </c>
      <c r="G113">
        <v>59.6</v>
      </c>
      <c r="H113" t="s">
        <v>324</v>
      </c>
      <c r="I113">
        <v>31</v>
      </c>
      <c r="J113" t="s">
        <v>354</v>
      </c>
      <c r="K113">
        <v>331</v>
      </c>
      <c r="L113" s="3" t="s">
        <v>1037</v>
      </c>
      <c r="M113" s="4">
        <v>0</v>
      </c>
      <c r="N113" s="4">
        <v>1</v>
      </c>
      <c r="O113" s="4">
        <v>1</v>
      </c>
      <c r="P113" s="4">
        <v>0</v>
      </c>
      <c r="Q113" s="5" t="s">
        <v>1039</v>
      </c>
      <c r="R113" s="2" t="str">
        <f>HYPERLINK("http://exon.niaid.nih.gov/transcriptome/Tx_amboinensis_sialome/Table_1/links/NR\TX-contig_31-NR.txt","PREDICTED: hypothetical protein")</f>
        <v>PREDICTED: hypothetical protein</v>
      </c>
      <c r="S113" s="4" t="str">
        <f>HYPERLINK("http://www.ncbi.nlm.nih.gov/sutils/blink.cgi?pid=109500732","5.2")</f>
        <v>5.2</v>
      </c>
      <c r="T113" t="s">
        <v>30</v>
      </c>
      <c r="U113" s="4">
        <v>29</v>
      </c>
      <c r="V113" s="4">
        <v>5</v>
      </c>
      <c r="W113" t="s">
        <v>257</v>
      </c>
      <c r="X113" t="s">
        <v>31</v>
      </c>
      <c r="Y113" t="s">
        <v>258</v>
      </c>
      <c r="Z113" s="2" t="s">
        <v>324</v>
      </c>
      <c r="AA113" t="s">
        <v>324</v>
      </c>
      <c r="AB113" t="s">
        <v>324</v>
      </c>
      <c r="AC113" t="s">
        <v>324</v>
      </c>
      <c r="AD113" t="s">
        <v>324</v>
      </c>
      <c r="AE113" t="s">
        <v>324</v>
      </c>
      <c r="AF113" t="s">
        <v>324</v>
      </c>
      <c r="AG113" s="2" t="str">
        <f>HYPERLINK("http://exon.niaid.nih.gov/transcriptome/Tx_amboinensis_sialome/Table_1/links/KOG\TX-contig_31-KOG.txt","Negative regulator of transcription")</f>
        <v>Negative regulator of transcription</v>
      </c>
      <c r="AH113" t="str">
        <f>HYPERLINK("http://www.ncbi.nlm.nih.gov/COG/new/shokog.cgi?KOG1831","0.45")</f>
        <v>0.45</v>
      </c>
      <c r="AI113" t="s">
        <v>855</v>
      </c>
      <c r="AJ113" s="2" t="s">
        <v>324</v>
      </c>
      <c r="AK113" t="s">
        <v>324</v>
      </c>
      <c r="AL113" t="s">
        <v>324</v>
      </c>
      <c r="AM113" s="2" t="str">
        <f>HYPERLINK("http://exon.niaid.nih.gov/transcriptome/Tx_amboinensis_sialome/Table_1/links/PFAM\TX-contig_31-PFAM.txt","Pox_F16")</f>
        <v>Pox_F16</v>
      </c>
      <c r="AN113" t="str">
        <f>HYPERLINK("http://pfam.wustl.edu/cgi-bin/getdesc?acc=PF04708","0.29")</f>
        <v>0.29</v>
      </c>
      <c r="AO113" s="2" t="s">
        <v>324</v>
      </c>
      <c r="AP113" t="s">
        <v>324</v>
      </c>
      <c r="AQ113" s="2" t="s">
        <v>324</v>
      </c>
      <c r="AR113" t="s">
        <v>324</v>
      </c>
      <c r="AS113" s="2" t="s">
        <v>324</v>
      </c>
      <c r="AT113" t="s">
        <v>324</v>
      </c>
    </row>
    <row r="114" spans="1:46" ht="11.25">
      <c r="A114" t="str">
        <f>HYPERLINK("http://exon.niaid.nih.gov/transcriptome/Tx_amboinensis_sialome/Table_1/links/TX-contig_27.txt","TX-contig_27")</f>
        <v>TX-contig_27</v>
      </c>
      <c r="B114" t="str">
        <f>HYPERLINK("http://exon.niaid.nih.gov/transcriptome/Tx_amboinensis_sialome/Table_1/links/TX-5-90-90-asb-27.txt","Contig-27")</f>
        <v>Contig-27</v>
      </c>
      <c r="C114" t="str">
        <f>HYPERLINK("http://exon.niaid.nih.gov/transcriptome/Tx_amboinensis_sialome/Table_1/links/TX-5-90-90-27-CLU.txt","Contig27")</f>
        <v>Contig27</v>
      </c>
      <c r="D114" s="4">
        <v>2</v>
      </c>
      <c r="E114">
        <v>187</v>
      </c>
      <c r="F114" t="s">
        <v>322</v>
      </c>
      <c r="G114">
        <v>65.8</v>
      </c>
      <c r="H114">
        <v>168</v>
      </c>
      <c r="I114">
        <v>27</v>
      </c>
      <c r="J114" t="s">
        <v>350</v>
      </c>
      <c r="K114">
        <v>146</v>
      </c>
      <c r="L114" s="3" t="s">
        <v>1035</v>
      </c>
      <c r="M114" s="4">
        <v>0</v>
      </c>
      <c r="N114" s="4">
        <v>0</v>
      </c>
      <c r="O114" s="4">
        <v>4</v>
      </c>
      <c r="P114" s="4">
        <v>0</v>
      </c>
      <c r="Q114" s="5" t="s">
        <v>1039</v>
      </c>
      <c r="R114" s="2" t="str">
        <f>HYPERLINK("http://exon.niaid.nih.gov/transcriptome/Tx_amboinensis_sialome/Table_1/links/NR\TX-contig_27-NR.txt","hypothetical protein MG01298.4 [Mag")</f>
        <v>hypothetical protein MG01298.4 [Mag</v>
      </c>
      <c r="S114" s="4" t="str">
        <f>HYPERLINK("http://www.ncbi.nlm.nih.gov/sutils/blink.cgi?pid=39951299","2.4")</f>
        <v>2.4</v>
      </c>
      <c r="T114" t="s">
        <v>237</v>
      </c>
      <c r="U114" s="4">
        <v>40</v>
      </c>
      <c r="V114" s="4">
        <v>11</v>
      </c>
      <c r="W114" t="s">
        <v>238</v>
      </c>
      <c r="X114" t="s">
        <v>32</v>
      </c>
      <c r="Y114" t="s">
        <v>239</v>
      </c>
      <c r="Z114" s="2" t="s">
        <v>324</v>
      </c>
      <c r="AA114" t="s">
        <v>324</v>
      </c>
      <c r="AB114" t="s">
        <v>324</v>
      </c>
      <c r="AC114" t="s">
        <v>324</v>
      </c>
      <c r="AD114" t="s">
        <v>324</v>
      </c>
      <c r="AE114" t="s">
        <v>324</v>
      </c>
      <c r="AF114" t="s">
        <v>324</v>
      </c>
      <c r="AG114" s="2" t="str">
        <f>HYPERLINK("http://exon.niaid.nih.gov/transcriptome/Tx_amboinensis_sialome/Table_1/links/KOG\TX-contig_27-KOG.txt","Sterol reductase/lamin B receptor")</f>
        <v>Sterol reductase/lamin B receptor</v>
      </c>
      <c r="AH114" t="str">
        <f>HYPERLINK("http://www.ncbi.nlm.nih.gov/COG/new/shokog.cgi?KOG1435","0.39")</f>
        <v>0.39</v>
      </c>
      <c r="AI114" t="s">
        <v>240</v>
      </c>
      <c r="AJ114" s="2" t="str">
        <f>HYPERLINK("http://exon.niaid.nih.gov/transcriptome/Tx_amboinensis_sialome/Table_1/links/CDD\TX-contig_27-CDD.txt","Rbn")</f>
        <v>Rbn</v>
      </c>
      <c r="AK114" t="str">
        <f>HYPERLINK("http://www.ncbi.nlm.nih.gov/Structure/cdd/cddsrv.cgi?uid=COG1295&amp;version=v4.0","0.066")</f>
        <v>0.066</v>
      </c>
      <c r="AL114" t="s">
        <v>241</v>
      </c>
      <c r="AM114" s="2" t="str">
        <f>HYPERLINK("http://exon.niaid.nih.gov/transcriptome/Tx_amboinensis_sialome/Table_1/links/PFAM\TX-contig_27-PFAM.txt","Ribonuclease_BN")</f>
        <v>Ribonuclease_BN</v>
      </c>
      <c r="AN114" t="str">
        <f>HYPERLINK("http://pfam.wustl.edu/cgi-bin/getdesc?acc=PF03631","0.49")</f>
        <v>0.49</v>
      </c>
      <c r="AO114" s="2" t="str">
        <f>HYPERLINK("http://exon.niaid.nih.gov/transcriptome/Tx_amboinensis_sialome/Table_1/links/SMART\TX-contig_27-SMART.txt","TLC")</f>
        <v>TLC</v>
      </c>
      <c r="AP114" t="str">
        <f>HYPERLINK("http://smart.embl-heidelberg.de/smart/do_annotation.pl?DOMAIN=TLC&amp;BLAST=DUMMY","0.33")</f>
        <v>0.33</v>
      </c>
      <c r="AQ114" s="2" t="s">
        <v>324</v>
      </c>
      <c r="AR114" t="s">
        <v>324</v>
      </c>
      <c r="AS114" s="2" t="s">
        <v>324</v>
      </c>
      <c r="AT114" t="s">
        <v>324</v>
      </c>
    </row>
    <row r="115" spans="1:46" ht="11.25">
      <c r="A115" t="str">
        <f>HYPERLINK("http://exon.niaid.nih.gov/transcriptome/Tx_amboinensis_sialome/Table_1/links/TX-contig_32.txt","TX-contig_32")</f>
        <v>TX-contig_32</v>
      </c>
      <c r="B115" t="str">
        <f>HYPERLINK("http://exon.niaid.nih.gov/transcriptome/Tx_amboinensis_sialome/Table_1/links/TX-5-90-90-asb-32.txt","Contig-32")</f>
        <v>Contig-32</v>
      </c>
      <c r="C115" t="str">
        <f>HYPERLINK("http://exon.niaid.nih.gov/transcriptome/Tx_amboinensis_sialome/Table_1/links/TX-5-90-90-32-CLU.txt","Contig32")</f>
        <v>Contig32</v>
      </c>
      <c r="D115" s="4">
        <v>2</v>
      </c>
      <c r="E115">
        <v>128</v>
      </c>
      <c r="F115" t="s">
        <v>322</v>
      </c>
      <c r="G115">
        <v>65.6</v>
      </c>
      <c r="H115">
        <v>109</v>
      </c>
      <c r="I115">
        <v>32</v>
      </c>
      <c r="J115" t="s">
        <v>355</v>
      </c>
      <c r="K115">
        <v>107</v>
      </c>
      <c r="L115" s="3" t="s">
        <v>1035</v>
      </c>
      <c r="M115" s="4">
        <v>0</v>
      </c>
      <c r="N115" s="4">
        <v>0</v>
      </c>
      <c r="O115" s="4">
        <v>3</v>
      </c>
      <c r="P115" s="4">
        <v>0</v>
      </c>
      <c r="Q115" s="5" t="s">
        <v>1039</v>
      </c>
      <c r="Y115" t="s">
        <v>324</v>
      </c>
      <c r="Z115" s="2" t="s">
        <v>324</v>
      </c>
      <c r="AA115" t="s">
        <v>324</v>
      </c>
      <c r="AB115" t="s">
        <v>324</v>
      </c>
      <c r="AC115" t="s">
        <v>324</v>
      </c>
      <c r="AD115" t="s">
        <v>324</v>
      </c>
      <c r="AE115" t="s">
        <v>324</v>
      </c>
      <c r="AF115" t="s">
        <v>324</v>
      </c>
      <c r="AG115" s="2" t="s">
        <v>324</v>
      </c>
      <c r="AH115" t="s">
        <v>324</v>
      </c>
      <c r="AI115" t="s">
        <v>324</v>
      </c>
      <c r="AJ115" s="2" t="s">
        <v>324</v>
      </c>
      <c r="AK115" t="s">
        <v>324</v>
      </c>
      <c r="AL115" t="s">
        <v>324</v>
      </c>
      <c r="AM115" s="2" t="s">
        <v>324</v>
      </c>
      <c r="AN115" t="s">
        <v>324</v>
      </c>
      <c r="AO115" s="2" t="s">
        <v>324</v>
      </c>
      <c r="AP115" t="s">
        <v>324</v>
      </c>
      <c r="AQ115" s="2" t="s">
        <v>324</v>
      </c>
      <c r="AR115" t="s">
        <v>324</v>
      </c>
      <c r="AS115" s="2" t="s">
        <v>324</v>
      </c>
      <c r="AT115" t="s">
        <v>324</v>
      </c>
    </row>
    <row r="116" spans="1:46" ht="11.25">
      <c r="A116" t="str">
        <f>HYPERLINK("http://exon.niaid.nih.gov/transcriptome/Tx_amboinensis_sialome/Table_1/links/TX-contig_36.txt","TX-contig_36")</f>
        <v>TX-contig_36</v>
      </c>
      <c r="B116" t="str">
        <f>HYPERLINK("http://exon.niaid.nih.gov/transcriptome/Tx_amboinensis_sialome/Table_1/links/TX-5-90-90-asb-36.txt","Contig-36")</f>
        <v>Contig-36</v>
      </c>
      <c r="C116" t="str">
        <f>HYPERLINK("http://exon.niaid.nih.gov/transcriptome/Tx_amboinensis_sialome/Table_1/links/TX-5-90-90-36-CLU.txt","Contig36")</f>
        <v>Contig36</v>
      </c>
      <c r="D116" s="4">
        <v>2</v>
      </c>
      <c r="E116">
        <v>151</v>
      </c>
      <c r="F116" t="s">
        <v>322</v>
      </c>
      <c r="G116">
        <v>66.9</v>
      </c>
      <c r="H116">
        <v>132</v>
      </c>
      <c r="I116">
        <v>36</v>
      </c>
      <c r="J116" t="s">
        <v>359</v>
      </c>
      <c r="K116">
        <v>118</v>
      </c>
      <c r="L116" s="3" t="s">
        <v>1035</v>
      </c>
      <c r="M116" s="4">
        <v>0</v>
      </c>
      <c r="N116" s="4">
        <v>0</v>
      </c>
      <c r="O116" s="4">
        <v>1</v>
      </c>
      <c r="P116" s="4">
        <v>0</v>
      </c>
      <c r="Q116" s="5" t="s">
        <v>1039</v>
      </c>
      <c r="Y116" t="s">
        <v>324</v>
      </c>
      <c r="Z116" s="2" t="s">
        <v>324</v>
      </c>
      <c r="AA116" t="s">
        <v>324</v>
      </c>
      <c r="AB116" t="s">
        <v>324</v>
      </c>
      <c r="AC116" t="s">
        <v>324</v>
      </c>
      <c r="AD116" t="s">
        <v>324</v>
      </c>
      <c r="AE116" t="s">
        <v>324</v>
      </c>
      <c r="AF116" t="s">
        <v>324</v>
      </c>
      <c r="AG116" s="2" t="s">
        <v>324</v>
      </c>
      <c r="AH116" t="s">
        <v>324</v>
      </c>
      <c r="AI116" t="s">
        <v>324</v>
      </c>
      <c r="AJ116" s="2" t="str">
        <f>HYPERLINK("http://exon.niaid.nih.gov/transcriptome/Tx_amboinensis_sialome/Table_1/links/CDD\TX-contig_36-CDD.txt","Peptidase_C1B")</f>
        <v>Peptidase_C1B</v>
      </c>
      <c r="AK116" t="str">
        <f>HYPERLINK("http://www.ncbi.nlm.nih.gov/Structure/cdd/cddsrv.cgi?uid=cd00585&amp;version=v4.0","0.57")</f>
        <v>0.57</v>
      </c>
      <c r="AL116" t="s">
        <v>271</v>
      </c>
      <c r="AM116" s="2" t="s">
        <v>324</v>
      </c>
      <c r="AN116" t="s">
        <v>324</v>
      </c>
      <c r="AO116" s="2" t="str">
        <f>HYPERLINK("http://exon.niaid.nih.gov/transcriptome/Tx_amboinensis_sialome/Table_1/links/SMART\TX-contig_36-SMART.txt","Sema")</f>
        <v>Sema</v>
      </c>
      <c r="AP116" t="str">
        <f>HYPERLINK("http://smart.embl-heidelberg.de/smart/do_annotation.pl?DOMAIN=Sema&amp;BLAST=DUMMY","0.85")</f>
        <v>0.85</v>
      </c>
      <c r="AQ116" s="2" t="s">
        <v>324</v>
      </c>
      <c r="AR116" t="s">
        <v>324</v>
      </c>
      <c r="AS116" s="2" t="s">
        <v>324</v>
      </c>
      <c r="AT116" t="s">
        <v>324</v>
      </c>
    </row>
    <row r="117" spans="1:46" ht="11.25">
      <c r="A117" t="str">
        <f>HYPERLINK("http://exon.niaid.nih.gov/transcriptome/Tx_amboinensis_sialome/Table_1/links/TX-contig_38.txt","TX-contig_38")</f>
        <v>TX-contig_38</v>
      </c>
      <c r="B117" t="str">
        <f>HYPERLINK("http://exon.niaid.nih.gov/transcriptome/Tx_amboinensis_sialome/Table_1/links/TX-5-90-90-asb-38.txt","Contig-38")</f>
        <v>Contig-38</v>
      </c>
      <c r="C117" t="str">
        <f>HYPERLINK("http://exon.niaid.nih.gov/transcriptome/Tx_amboinensis_sialome/Table_1/links/TX-5-90-90-38-CLU.txt","Contig38")</f>
        <v>Contig38</v>
      </c>
      <c r="D117" s="4">
        <v>2</v>
      </c>
      <c r="E117">
        <v>169</v>
      </c>
      <c r="F117">
        <v>0.6</v>
      </c>
      <c r="G117">
        <v>58.6</v>
      </c>
      <c r="H117">
        <v>150</v>
      </c>
      <c r="I117">
        <v>38</v>
      </c>
      <c r="J117" t="s">
        <v>361</v>
      </c>
      <c r="K117">
        <v>114</v>
      </c>
      <c r="L117" s="3" t="s">
        <v>1035</v>
      </c>
      <c r="M117" s="4">
        <v>0</v>
      </c>
      <c r="N117" s="4">
        <v>0</v>
      </c>
      <c r="O117" s="4">
        <v>2</v>
      </c>
      <c r="P117" s="4">
        <v>0</v>
      </c>
      <c r="Q117" s="5" t="s">
        <v>1039</v>
      </c>
      <c r="R117" s="2" t="str">
        <f>HYPERLINK("http://exon.niaid.nih.gov/transcriptome/Tx_amboinensis_sialome/Table_1/links/NR\TX-contig_38-NR.txt","hypothetical protein, conserved [Tryp")</f>
        <v>hypothetical protein, conserved [Tryp</v>
      </c>
      <c r="S117" s="4" t="str">
        <f>HYPERLINK("http://www.ncbi.nlm.nih.gov/sutils/blink.cgi?pid=62360073","15")</f>
        <v>15</v>
      </c>
      <c r="T117" t="s">
        <v>33</v>
      </c>
      <c r="U117" s="4">
        <v>46</v>
      </c>
      <c r="V117" s="4">
        <v>3</v>
      </c>
      <c r="W117" t="s">
        <v>34</v>
      </c>
      <c r="X117" t="s">
        <v>35</v>
      </c>
      <c r="Y117" t="s">
        <v>324</v>
      </c>
      <c r="Z117" s="2" t="s">
        <v>324</v>
      </c>
      <c r="AA117" t="s">
        <v>324</v>
      </c>
      <c r="AB117" t="s">
        <v>324</v>
      </c>
      <c r="AC117" t="s">
        <v>324</v>
      </c>
      <c r="AD117" t="s">
        <v>324</v>
      </c>
      <c r="AE117" t="s">
        <v>324</v>
      </c>
      <c r="AF117" t="s">
        <v>324</v>
      </c>
      <c r="AG117" s="2" t="s">
        <v>324</v>
      </c>
      <c r="AH117" t="s">
        <v>324</v>
      </c>
      <c r="AI117" t="s">
        <v>324</v>
      </c>
      <c r="AJ117" s="2" t="s">
        <v>324</v>
      </c>
      <c r="AK117" t="s">
        <v>324</v>
      </c>
      <c r="AL117" t="s">
        <v>324</v>
      </c>
      <c r="AM117" s="2" t="s">
        <v>324</v>
      </c>
      <c r="AN117" t="s">
        <v>324</v>
      </c>
      <c r="AO117" s="2" t="str">
        <f>HYPERLINK("http://exon.niaid.nih.gov/transcriptome/Tx_amboinensis_sialome/Table_1/links/SMART\TX-contig_38-SMART.txt","CYCc")</f>
        <v>CYCc</v>
      </c>
      <c r="AP117" t="str">
        <f>HYPERLINK("http://smart.embl-heidelberg.de/smart/do_annotation.pl?DOMAIN=CYCc&amp;BLAST=DUMMY","0.81")</f>
        <v>0.81</v>
      </c>
      <c r="AQ117" s="2" t="s">
        <v>324</v>
      </c>
      <c r="AR117" t="s">
        <v>324</v>
      </c>
      <c r="AS117" s="2" t="s">
        <v>324</v>
      </c>
      <c r="AT117" t="s">
        <v>324</v>
      </c>
    </row>
    <row r="118" spans="1:46" ht="11.25">
      <c r="A118" t="str">
        <f>HYPERLINK("http://exon.niaid.nih.gov/transcriptome/Tx_amboinensis_sialome/Table_1/links/TX-contig_40.txt","TX-contig_40")</f>
        <v>TX-contig_40</v>
      </c>
      <c r="B118" t="str">
        <f>HYPERLINK("http://exon.niaid.nih.gov/transcriptome/Tx_amboinensis_sialome/Table_1/links/TX-5-90-90-asb-40.txt","Contig-40")</f>
        <v>Contig-40</v>
      </c>
      <c r="C118" t="str">
        <f>HYPERLINK("http://exon.niaid.nih.gov/transcriptome/Tx_amboinensis_sialome/Table_1/links/TX-5-90-90-40-CLU.txt","Contig40")</f>
        <v>Contig40</v>
      </c>
      <c r="D118" s="4">
        <v>2</v>
      </c>
      <c r="E118">
        <v>131</v>
      </c>
      <c r="F118" t="s">
        <v>322</v>
      </c>
      <c r="G118">
        <v>72.5</v>
      </c>
      <c r="H118">
        <v>112</v>
      </c>
      <c r="I118">
        <v>40</v>
      </c>
      <c r="J118" t="s">
        <v>363</v>
      </c>
      <c r="K118">
        <v>93</v>
      </c>
      <c r="L118" s="3" t="s">
        <v>1035</v>
      </c>
      <c r="M118" s="4">
        <v>0</v>
      </c>
      <c r="N118" s="4">
        <v>0</v>
      </c>
      <c r="O118" s="4">
        <v>3</v>
      </c>
      <c r="P118" s="4">
        <v>0</v>
      </c>
      <c r="Q118" s="5" t="s">
        <v>1039</v>
      </c>
      <c r="Y118" t="s">
        <v>324</v>
      </c>
      <c r="Z118" s="2" t="s">
        <v>324</v>
      </c>
      <c r="AA118" t="s">
        <v>324</v>
      </c>
      <c r="AB118" t="s">
        <v>324</v>
      </c>
      <c r="AC118" t="s">
        <v>324</v>
      </c>
      <c r="AD118" t="s">
        <v>324</v>
      </c>
      <c r="AE118" t="s">
        <v>324</v>
      </c>
      <c r="AF118" t="s">
        <v>324</v>
      </c>
      <c r="AG118" s="2" t="s">
        <v>324</v>
      </c>
      <c r="AH118" t="s">
        <v>324</v>
      </c>
      <c r="AI118" t="s">
        <v>324</v>
      </c>
      <c r="AJ118" s="2" t="s">
        <v>324</v>
      </c>
      <c r="AK118" t="s">
        <v>324</v>
      </c>
      <c r="AL118" t="s">
        <v>324</v>
      </c>
      <c r="AM118" s="2" t="s">
        <v>324</v>
      </c>
      <c r="AN118" t="s">
        <v>324</v>
      </c>
      <c r="AO118" s="2" t="str">
        <f>HYPERLINK("http://exon.niaid.nih.gov/transcriptome/Tx_amboinensis_sialome/Table_1/links/SMART\TX-contig_40-SMART.txt","IL2")</f>
        <v>IL2</v>
      </c>
      <c r="AP118" t="str">
        <f>HYPERLINK("http://smart.embl-heidelberg.de/smart/do_annotation.pl?DOMAIN=IL2&amp;BLAST=DUMMY","0.23")</f>
        <v>0.23</v>
      </c>
      <c r="AQ118" s="2" t="s">
        <v>324</v>
      </c>
      <c r="AR118" t="s">
        <v>324</v>
      </c>
      <c r="AS118" s="2" t="s">
        <v>324</v>
      </c>
      <c r="AT118" t="s">
        <v>324</v>
      </c>
    </row>
    <row r="119" spans="1:46" ht="11.25">
      <c r="A119" t="str">
        <f>HYPERLINK("http://exon.niaid.nih.gov/transcriptome/Tx_amboinensis_sialome/Table_1/links/TX-contig_41.txt","TX-contig_41")</f>
        <v>TX-contig_41</v>
      </c>
      <c r="B119" t="str">
        <f>HYPERLINK("http://exon.niaid.nih.gov/transcriptome/Tx_amboinensis_sialome/Table_1/links/TX-5-90-90-asb-41.txt","Contig-41")</f>
        <v>Contig-41</v>
      </c>
      <c r="C119" t="str">
        <f>HYPERLINK("http://exon.niaid.nih.gov/transcriptome/Tx_amboinensis_sialome/Table_1/links/TX-5-90-90-41-CLU.txt","Contig41")</f>
        <v>Contig41</v>
      </c>
      <c r="D119" s="4">
        <v>2</v>
      </c>
      <c r="E119">
        <v>117</v>
      </c>
      <c r="F119" t="s">
        <v>322</v>
      </c>
      <c r="G119">
        <v>61.5</v>
      </c>
      <c r="H119">
        <v>98</v>
      </c>
      <c r="I119">
        <v>41</v>
      </c>
      <c r="J119" t="s">
        <v>364</v>
      </c>
      <c r="K119">
        <v>89</v>
      </c>
      <c r="L119" s="3" t="s">
        <v>1035</v>
      </c>
      <c r="M119" s="4">
        <v>0</v>
      </c>
      <c r="N119" s="4">
        <v>0</v>
      </c>
      <c r="O119" s="4">
        <v>2</v>
      </c>
      <c r="P119" s="4">
        <v>0</v>
      </c>
      <c r="Q119" s="5" t="s">
        <v>1039</v>
      </c>
      <c r="Y119" t="s">
        <v>324</v>
      </c>
      <c r="Z119" s="2" t="s">
        <v>324</v>
      </c>
      <c r="AA119" t="s">
        <v>324</v>
      </c>
      <c r="AB119" t="s">
        <v>324</v>
      </c>
      <c r="AC119" t="s">
        <v>324</v>
      </c>
      <c r="AD119" t="s">
        <v>324</v>
      </c>
      <c r="AE119" t="s">
        <v>324</v>
      </c>
      <c r="AF119" t="s">
        <v>324</v>
      </c>
      <c r="AG119" s="2" t="s">
        <v>324</v>
      </c>
      <c r="AH119" t="s">
        <v>324</v>
      </c>
      <c r="AI119" t="s">
        <v>324</v>
      </c>
      <c r="AJ119" s="2" t="s">
        <v>324</v>
      </c>
      <c r="AK119" t="s">
        <v>324</v>
      </c>
      <c r="AL119" t="s">
        <v>324</v>
      </c>
      <c r="AM119" s="2" t="s">
        <v>324</v>
      </c>
      <c r="AN119" t="s">
        <v>324</v>
      </c>
      <c r="AO119" s="2" t="s">
        <v>324</v>
      </c>
      <c r="AP119" t="s">
        <v>324</v>
      </c>
      <c r="AQ119" s="2" t="s">
        <v>324</v>
      </c>
      <c r="AR119" t="s">
        <v>324</v>
      </c>
      <c r="AS119" s="2" t="s">
        <v>324</v>
      </c>
      <c r="AT119" t="s">
        <v>324</v>
      </c>
    </row>
    <row r="120" spans="1:46" ht="11.25">
      <c r="A120" t="str">
        <f>HYPERLINK("http://exon.niaid.nih.gov/transcriptome/Tx_amboinensis_sialome/Table_1/links/TX-contig_115.txt","TX-contig_115")</f>
        <v>TX-contig_115</v>
      </c>
      <c r="B120" t="str">
        <f>HYPERLINK("http://exon.niaid.nih.gov/transcriptome/Tx_amboinensis_sialome/Table_1/links/TX-5-90-90-asb-115.txt","Contig-115")</f>
        <v>Contig-115</v>
      </c>
      <c r="C120" t="str">
        <f>HYPERLINK("http://exon.niaid.nih.gov/transcriptome/Tx_amboinensis_sialome/Table_1/links/TX-5-90-90-115-CLU.txt","Contig115")</f>
        <v>Contig115</v>
      </c>
      <c r="D120" s="4">
        <v>1</v>
      </c>
      <c r="E120">
        <v>199</v>
      </c>
      <c r="F120" t="s">
        <v>322</v>
      </c>
      <c r="G120">
        <v>67.8</v>
      </c>
      <c r="H120">
        <v>180</v>
      </c>
      <c r="I120">
        <v>115</v>
      </c>
      <c r="J120" t="s">
        <v>431</v>
      </c>
      <c r="K120">
        <v>180</v>
      </c>
      <c r="L120" s="3" t="s">
        <v>1037</v>
      </c>
      <c r="M120" s="4">
        <v>0</v>
      </c>
      <c r="N120" s="4">
        <v>1</v>
      </c>
      <c r="O120" s="4">
        <v>0</v>
      </c>
      <c r="P120" s="4">
        <v>0</v>
      </c>
      <c r="Q120" s="5" t="s">
        <v>1039</v>
      </c>
      <c r="R120" s="2" t="str">
        <f>HYPERLINK("http://exon.niaid.nih.gov/transcriptome/Tx_amboinensis_sialome/Table_1/links/NR\TX-contig_115-NR.txt","hypothetical protein DDBDRAFT_01879")</f>
        <v>hypothetical protein DDBDRAFT_01879</v>
      </c>
      <c r="S120" s="4" t="str">
        <f>HYPERLINK("http://www.ncbi.nlm.nih.gov/sutils/blink.cgi?pid=66805949","3.1")</f>
        <v>3.1</v>
      </c>
      <c r="T120" t="s">
        <v>301</v>
      </c>
      <c r="U120" s="4">
        <v>31</v>
      </c>
      <c r="V120" s="4">
        <v>9</v>
      </c>
      <c r="W120" t="s">
        <v>132</v>
      </c>
      <c r="X120" t="s">
        <v>36</v>
      </c>
      <c r="Y120" t="s">
        <v>302</v>
      </c>
      <c r="Z120" s="2" t="s">
        <v>324</v>
      </c>
      <c r="AA120" t="s">
        <v>324</v>
      </c>
      <c r="AB120" t="s">
        <v>324</v>
      </c>
      <c r="AC120" t="s">
        <v>324</v>
      </c>
      <c r="AD120" t="s">
        <v>324</v>
      </c>
      <c r="AE120" t="s">
        <v>324</v>
      </c>
      <c r="AF120" t="s">
        <v>324</v>
      </c>
      <c r="AG120" s="2" t="str">
        <f>HYPERLINK("http://exon.niaid.nih.gov/transcriptome/Tx_amboinensis_sialome/Table_1/links/KOG\TX-contig_115-KOG.txt","COPII vesicle protein")</f>
        <v>COPII vesicle protein</v>
      </c>
      <c r="AH120" t="str">
        <f>HYPERLINK("http://www.ncbi.nlm.nih.gov/COG/new/shokog.cgi?KOG2667","0.17")</f>
        <v>0.17</v>
      </c>
      <c r="AI120" t="s">
        <v>233</v>
      </c>
      <c r="AJ120" s="2" t="str">
        <f>HYPERLINK("http://exon.niaid.nih.gov/transcriptome/Tx_amboinensis_sialome/Table_1/links/CDD\TX-contig_115-CDD.txt","MglC")</f>
        <v>MglC</v>
      </c>
      <c r="AK120" t="str">
        <f>HYPERLINK("http://www.ncbi.nlm.nih.gov/Structure/cdd/cddsrv.cgi?uid=COG4211&amp;version=v4.0","0.12")</f>
        <v>0.12</v>
      </c>
      <c r="AL120" t="s">
        <v>303</v>
      </c>
      <c r="AM120" s="2" t="str">
        <f>HYPERLINK("http://exon.niaid.nih.gov/transcriptome/Tx_amboinensis_sialome/Table_1/links/PFAM\TX-contig_115-PFAM.txt","DUF673")</f>
        <v>DUF673</v>
      </c>
      <c r="AN120" t="str">
        <f>HYPERLINK("http://pfam.wustl.edu/cgi-bin/getdesc?acc=PF05054","0.018")</f>
        <v>0.018</v>
      </c>
      <c r="AO120" s="2" t="str">
        <f>HYPERLINK("http://exon.niaid.nih.gov/transcriptome/Tx_amboinensis_sialome/Table_1/links/SMART\TX-contig_115-SMART.txt","ZnF_GATA")</f>
        <v>ZnF_GATA</v>
      </c>
      <c r="AP120" t="str">
        <f>HYPERLINK("http://smart.embl-heidelberg.de/smart/do_annotation.pl?DOMAIN=ZnF_GATA&amp;BLAST=DUMMY","0.24")</f>
        <v>0.24</v>
      </c>
      <c r="AQ120" s="2" t="s">
        <v>324</v>
      </c>
      <c r="AR120" t="s">
        <v>324</v>
      </c>
      <c r="AS120" s="2" t="s">
        <v>324</v>
      </c>
      <c r="AT120" t="s">
        <v>324</v>
      </c>
    </row>
    <row r="121" spans="1:46" ht="11.25">
      <c r="A121" t="str">
        <f>HYPERLINK("http://exon.niaid.nih.gov/transcriptome/Tx_amboinensis_sialome/Table_1/links/TX-contig_328.txt","TX-contig_328")</f>
        <v>TX-contig_328</v>
      </c>
      <c r="B121" t="str">
        <f>HYPERLINK("http://exon.niaid.nih.gov/transcriptome/Tx_amboinensis_sialome/Table_1/links/TX-5-90-90-asb-328.txt","Contig-328")</f>
        <v>Contig-328</v>
      </c>
      <c r="C121" t="str">
        <f>HYPERLINK("http://exon.niaid.nih.gov/transcriptome/Tx_amboinensis_sialome/Table_1/links/TX-5-90-90-328-CLU.txt","Contig328")</f>
        <v>Contig328</v>
      </c>
      <c r="D121" s="4">
        <v>1</v>
      </c>
      <c r="E121">
        <v>155</v>
      </c>
      <c r="F121" t="s">
        <v>322</v>
      </c>
      <c r="G121">
        <v>77.4</v>
      </c>
      <c r="H121">
        <v>136</v>
      </c>
      <c r="I121">
        <v>328</v>
      </c>
      <c r="J121" t="s">
        <v>1182</v>
      </c>
      <c r="K121">
        <v>136</v>
      </c>
      <c r="L121" s="3" t="s">
        <v>1037</v>
      </c>
      <c r="M121" s="4">
        <v>0</v>
      </c>
      <c r="N121" s="4">
        <v>1</v>
      </c>
      <c r="O121" s="4">
        <v>0</v>
      </c>
      <c r="P121" s="4">
        <v>0</v>
      </c>
      <c r="Q121" s="5" t="s">
        <v>1039</v>
      </c>
      <c r="R121" s="2" t="str">
        <f>HYPERLINK("http://exon.niaid.nih.gov/transcriptome/Tx_amboinensis_sialome/Table_1/links/NR\TX-contig_328-NR.txt","hypothetical protein [Plasmodium falc")</f>
        <v>hypothetical protein [Plasmodium falc</v>
      </c>
      <c r="S121" s="4" t="str">
        <f>HYPERLINK("http://www.ncbi.nlm.nih.gov/sutils/blink.cgi?pid=4493974","9.1")</f>
        <v>9.1</v>
      </c>
      <c r="T121" t="s">
        <v>37</v>
      </c>
      <c r="U121" s="4">
        <v>34</v>
      </c>
      <c r="V121" s="4">
        <v>2</v>
      </c>
      <c r="W121" t="s">
        <v>978</v>
      </c>
      <c r="X121" t="s">
        <v>38</v>
      </c>
      <c r="Y121" t="s">
        <v>753</v>
      </c>
      <c r="Z121" s="2" t="s">
        <v>324</v>
      </c>
      <c r="AA121" t="s">
        <v>324</v>
      </c>
      <c r="AB121" t="s">
        <v>324</v>
      </c>
      <c r="AC121" t="s">
        <v>324</v>
      </c>
      <c r="AD121" t="s">
        <v>324</v>
      </c>
      <c r="AE121" t="s">
        <v>324</v>
      </c>
      <c r="AF121" t="s">
        <v>324</v>
      </c>
      <c r="AG121" s="2" t="str">
        <f>HYPERLINK("http://exon.niaid.nih.gov/transcriptome/Tx_amboinensis_sialome/Table_1/links/KOG\TX-contig_328-KOG.txt","Predicted 3'-5' exonuclease")</f>
        <v>Predicted 3'-5' exonuclease</v>
      </c>
      <c r="AH121" t="str">
        <f>HYPERLINK("http://www.ncbi.nlm.nih.gov/COG/new/shokog.cgi?KOG4373","0.72")</f>
        <v>0.72</v>
      </c>
      <c r="AI121" t="s">
        <v>1331</v>
      </c>
      <c r="AJ121" s="2" t="str">
        <f>HYPERLINK("http://exon.niaid.nih.gov/transcriptome/Tx_amboinensis_sialome/Table_1/links/CDD\TX-contig_328-CDD.txt","COG4814")</f>
        <v>COG4814</v>
      </c>
      <c r="AK121" t="str">
        <f>HYPERLINK("http://www.ncbi.nlm.nih.gov/Structure/cdd/cddsrv.cgi?uid=COG4814&amp;version=v4.0","0.61")</f>
        <v>0.61</v>
      </c>
      <c r="AL121" t="s">
        <v>754</v>
      </c>
      <c r="AM121" s="2" t="str">
        <f>HYPERLINK("http://exon.niaid.nih.gov/transcriptome/Tx_amboinensis_sialome/Table_1/links/PFAM\TX-contig_328-PFAM.txt","Baculo_p47")</f>
        <v>Baculo_p47</v>
      </c>
      <c r="AN121" t="str">
        <f>HYPERLINK("http://pfam.wustl.edu/cgi-bin/getdesc?acc=PF05112","0.90")</f>
        <v>0.90</v>
      </c>
      <c r="AO121" s="2" t="str">
        <f>HYPERLINK("http://exon.niaid.nih.gov/transcriptome/Tx_amboinensis_sialome/Table_1/links/SMART\TX-contig_328-SMART.txt","DSL")</f>
        <v>DSL</v>
      </c>
      <c r="AP121" t="str">
        <f>HYPERLINK("http://smart.embl-heidelberg.de/smart/do_annotation.pl?DOMAIN=DSL&amp;BLAST=DUMMY","0.24")</f>
        <v>0.24</v>
      </c>
      <c r="AQ121" s="2" t="s">
        <v>324</v>
      </c>
      <c r="AR121" t="s">
        <v>324</v>
      </c>
      <c r="AS121" s="2" t="s">
        <v>324</v>
      </c>
      <c r="AT121" t="s">
        <v>324</v>
      </c>
    </row>
    <row r="122" spans="1:46" ht="11.25">
      <c r="A122" t="str">
        <f>HYPERLINK("http://exon.niaid.nih.gov/transcriptome/Tx_amboinensis_sialome/Table_1/links/TX-contig_87.txt","TX-contig_87")</f>
        <v>TX-contig_87</v>
      </c>
      <c r="B122" t="str">
        <f>HYPERLINK("http://exon.niaid.nih.gov/transcriptome/Tx_amboinensis_sialome/Table_1/links/TX-5-90-90-asb-87.txt","Contig-87")</f>
        <v>Contig-87</v>
      </c>
      <c r="C122" t="str">
        <f>HYPERLINK("http://exon.niaid.nih.gov/transcriptome/Tx_amboinensis_sialome/Table_1/links/TX-5-90-90-87-CLU.txt","Contig87")</f>
        <v>Contig87</v>
      </c>
      <c r="D122" s="4">
        <v>1</v>
      </c>
      <c r="E122">
        <v>375</v>
      </c>
      <c r="F122" t="s">
        <v>322</v>
      </c>
      <c r="G122">
        <v>64.5</v>
      </c>
      <c r="H122">
        <v>356</v>
      </c>
      <c r="I122">
        <v>87</v>
      </c>
      <c r="J122" t="s">
        <v>405</v>
      </c>
      <c r="K122">
        <v>356</v>
      </c>
      <c r="L122" s="3" t="s">
        <v>1037</v>
      </c>
      <c r="M122" s="4">
        <v>0</v>
      </c>
      <c r="N122" s="4">
        <v>1</v>
      </c>
      <c r="O122" s="4">
        <v>0</v>
      </c>
      <c r="P122" s="4">
        <v>0</v>
      </c>
      <c r="Q122" s="5" t="s">
        <v>1039</v>
      </c>
      <c r="R122" s="2" t="str">
        <f>HYPERLINK("http://exon.niaid.nih.gov/transcriptome/Tx_amboinensis_sialome/Table_1/links/NR\TX-contig_87-NR.txt","Protein kinase domain containing prot")</f>
        <v>Protein kinase domain containing prot</v>
      </c>
      <c r="S122" s="4" t="str">
        <f>HYPERLINK("http://www.ncbi.nlm.nih.gov/sutils/blink.cgi?pid=89304469","12")</f>
        <v>12</v>
      </c>
      <c r="T122" t="s">
        <v>39</v>
      </c>
      <c r="U122" s="4">
        <v>28</v>
      </c>
      <c r="V122" s="4">
        <v>9</v>
      </c>
      <c r="W122" t="s">
        <v>40</v>
      </c>
      <c r="X122" t="s">
        <v>41</v>
      </c>
      <c r="Y122" t="s">
        <v>324</v>
      </c>
      <c r="Z122" s="2" t="s">
        <v>324</v>
      </c>
      <c r="AA122" t="s">
        <v>324</v>
      </c>
      <c r="AB122" t="s">
        <v>324</v>
      </c>
      <c r="AC122" t="s">
        <v>324</v>
      </c>
      <c r="AD122" t="s">
        <v>324</v>
      </c>
      <c r="AE122" t="s">
        <v>324</v>
      </c>
      <c r="AF122" t="s">
        <v>324</v>
      </c>
      <c r="AG122" s="2" t="str">
        <f>HYPERLINK("http://exon.niaid.nih.gov/transcriptome/Tx_amboinensis_sialome/Table_1/links/KOG\TX-contig_87-KOG.txt","Signal peptidase complex subunit")</f>
        <v>Signal peptidase complex subunit</v>
      </c>
      <c r="AH122" t="str">
        <f>HYPERLINK("http://www.ncbi.nlm.nih.gov/COG/new/shokog.cgi?KOG3372","0.16")</f>
        <v>0.16</v>
      </c>
      <c r="AI122" t="s">
        <v>233</v>
      </c>
      <c r="AJ122" s="2" t="str">
        <f>HYPERLINK("http://exon.niaid.nih.gov/transcriptome/Tx_amboinensis_sialome/Table_1/links/CDD\TX-contig_87-CDD.txt","COG5038")</f>
        <v>COG5038</v>
      </c>
      <c r="AK122" t="str">
        <f>HYPERLINK("http://www.ncbi.nlm.nih.gov/Structure/cdd/cddsrv.cgi?uid=COG5038&amp;version=v4.0","0.42")</f>
        <v>0.42</v>
      </c>
      <c r="AL122" t="s">
        <v>977</v>
      </c>
      <c r="AM122" s="2" t="str">
        <f>HYPERLINK("http://exon.niaid.nih.gov/transcriptome/Tx_amboinensis_sialome/Table_1/links/PFAM\TX-contig_87-PFAM.txt","Cytochrom_B561")</f>
        <v>Cytochrom_B561</v>
      </c>
      <c r="AN122" t="str">
        <f>HYPERLINK("http://pfam.wustl.edu/cgi-bin/getdesc?acc=PF03188","0.93")</f>
        <v>0.93</v>
      </c>
      <c r="AO122" s="2" t="str">
        <f>HYPERLINK("http://exon.niaid.nih.gov/transcriptome/Tx_amboinensis_sialome/Table_1/links/SMART\TX-contig_87-SMART.txt","ZnF_TAZ")</f>
        <v>ZnF_TAZ</v>
      </c>
      <c r="AP122" t="str">
        <f>HYPERLINK("http://smart.embl-heidelberg.de/smart/do_annotation.pl?DOMAIN=ZnF_TAZ&amp;BLAST=DUMMY","0.081")</f>
        <v>0.081</v>
      </c>
      <c r="AQ122" s="2" t="s">
        <v>324</v>
      </c>
      <c r="AR122" t="s">
        <v>324</v>
      </c>
      <c r="AS122" s="2" t="s">
        <v>324</v>
      </c>
      <c r="AT122" t="s">
        <v>324</v>
      </c>
    </row>
    <row r="123" spans="1:46" ht="11.25">
      <c r="A123" t="str">
        <f>HYPERLINK("http://exon.niaid.nih.gov/transcriptome/Tx_amboinensis_sialome/Table_1/links/TX-contig_117.txt","TX-contig_117")</f>
        <v>TX-contig_117</v>
      </c>
      <c r="B123" t="str">
        <f>HYPERLINK("http://exon.niaid.nih.gov/transcriptome/Tx_amboinensis_sialome/Table_1/links/TX-5-90-90-asb-117.txt","Contig-117")</f>
        <v>Contig-117</v>
      </c>
      <c r="C123" t="str">
        <f>HYPERLINK("http://exon.niaid.nih.gov/transcriptome/Tx_amboinensis_sialome/Table_1/links/TX-5-90-90-117-CLU.txt","Contig117")</f>
        <v>Contig117</v>
      </c>
      <c r="D123" s="4">
        <v>1</v>
      </c>
      <c r="E123">
        <v>233</v>
      </c>
      <c r="F123" t="s">
        <v>322</v>
      </c>
      <c r="G123">
        <v>62.7</v>
      </c>
      <c r="H123">
        <v>214</v>
      </c>
      <c r="I123">
        <v>117</v>
      </c>
      <c r="J123" t="s">
        <v>433</v>
      </c>
      <c r="K123">
        <v>214</v>
      </c>
      <c r="L123" s="3" t="s">
        <v>1037</v>
      </c>
      <c r="M123" s="4">
        <v>0</v>
      </c>
      <c r="N123" s="4">
        <v>1</v>
      </c>
      <c r="O123" s="4">
        <v>0</v>
      </c>
      <c r="P123" s="4">
        <v>0</v>
      </c>
      <c r="Q123" s="5" t="s">
        <v>1039</v>
      </c>
      <c r="Y123" t="s">
        <v>324</v>
      </c>
      <c r="Z123" s="2" t="s">
        <v>324</v>
      </c>
      <c r="AA123" t="s">
        <v>324</v>
      </c>
      <c r="AB123" t="s">
        <v>324</v>
      </c>
      <c r="AC123" t="s">
        <v>324</v>
      </c>
      <c r="AD123" t="s">
        <v>324</v>
      </c>
      <c r="AE123" t="s">
        <v>324</v>
      </c>
      <c r="AF123" t="s">
        <v>324</v>
      </c>
      <c r="AG123" s="2" t="s">
        <v>324</v>
      </c>
      <c r="AH123" t="s">
        <v>324</v>
      </c>
      <c r="AI123" t="s">
        <v>324</v>
      </c>
      <c r="AJ123" s="2" t="str">
        <f>HYPERLINK("http://exon.niaid.nih.gov/transcriptome/Tx_amboinensis_sialome/Table_1/links/CDD\TX-contig_117-CDD.txt","XtmA")</f>
        <v>XtmA</v>
      </c>
      <c r="AK123" t="str">
        <f>HYPERLINK("http://www.ncbi.nlm.nih.gov/Structure/cdd/cddsrv.cgi?uid=COG3728&amp;version=v4.0","0.85")</f>
        <v>0.85</v>
      </c>
      <c r="AL123" t="s">
        <v>1104</v>
      </c>
      <c r="AM123" s="2" t="str">
        <f>HYPERLINK("http://exon.niaid.nih.gov/transcriptome/Tx_amboinensis_sialome/Table_1/links/PFAM\TX-contig_117-PFAM.txt","Methyltransf_7")</f>
        <v>Methyltransf_7</v>
      </c>
      <c r="AN123" t="str">
        <f>HYPERLINK("http://pfam.wustl.edu/cgi-bin/getdesc?acc=PF03492","0.90")</f>
        <v>0.90</v>
      </c>
      <c r="AO123" s="2" t="str">
        <f>HYPERLINK("http://exon.niaid.nih.gov/transcriptome/Tx_amboinensis_sialome/Table_1/links/SMART\TX-contig_117-SMART.txt","PP2Ac")</f>
        <v>PP2Ac</v>
      </c>
      <c r="AP123" t="str">
        <f>HYPERLINK("http://smart.embl-heidelberg.de/smart/do_annotation.pl?DOMAIN=PP2Ac&amp;BLAST=DUMMY","0.46")</f>
        <v>0.46</v>
      </c>
      <c r="AQ123" s="2" t="s">
        <v>324</v>
      </c>
      <c r="AR123" t="s">
        <v>324</v>
      </c>
      <c r="AS123" s="2" t="s">
        <v>324</v>
      </c>
      <c r="AT123" t="s">
        <v>324</v>
      </c>
    </row>
    <row r="124" spans="1:46" ht="11.25">
      <c r="A124" t="str">
        <f>HYPERLINK("http://exon.niaid.nih.gov/transcriptome/Tx_amboinensis_sialome/Table_1/links/TX-contig_199.txt","TX-contig_199")</f>
        <v>TX-contig_199</v>
      </c>
      <c r="B124" t="str">
        <f>HYPERLINK("http://exon.niaid.nih.gov/transcriptome/Tx_amboinensis_sialome/Table_1/links/TX-5-90-90-asb-199.txt","Contig-199")</f>
        <v>Contig-199</v>
      </c>
      <c r="C124" t="str">
        <f>HYPERLINK("http://exon.niaid.nih.gov/transcriptome/Tx_amboinensis_sialome/Table_1/links/TX-5-90-90-199-CLU.txt","Contig199")</f>
        <v>Contig199</v>
      </c>
      <c r="D124" s="4">
        <v>1</v>
      </c>
      <c r="E124">
        <v>173</v>
      </c>
      <c r="F124" t="s">
        <v>322</v>
      </c>
      <c r="G124">
        <v>62.4</v>
      </c>
      <c r="H124">
        <v>154</v>
      </c>
      <c r="I124">
        <v>199</v>
      </c>
      <c r="J124" t="s">
        <v>512</v>
      </c>
      <c r="K124">
        <v>154</v>
      </c>
      <c r="L124" s="3" t="s">
        <v>1035</v>
      </c>
      <c r="M124" s="4">
        <v>0</v>
      </c>
      <c r="N124" s="4">
        <v>0</v>
      </c>
      <c r="O124" s="4">
        <v>1</v>
      </c>
      <c r="P124" s="4">
        <v>0</v>
      </c>
      <c r="Q124" s="5" t="s">
        <v>1039</v>
      </c>
      <c r="R124" s="2" t="str">
        <f>HYPERLINK("http://exon.niaid.nih.gov/transcriptome/Tx_amboinensis_sialome/Table_1/links/NR\TX-contig_199-NR.txt","PREDICTED: similar to progestin and")</f>
        <v>PREDICTED: similar to progestin and</v>
      </c>
      <c r="S124" s="4" t="str">
        <f>HYPERLINK("http://www.ncbi.nlm.nih.gov/sutils/blink.cgi?pid=72058996","0.28")</f>
        <v>0.28</v>
      </c>
      <c r="T124" t="s">
        <v>871</v>
      </c>
      <c r="U124" s="4">
        <v>38</v>
      </c>
      <c r="V124" s="4">
        <v>13</v>
      </c>
      <c r="W124" t="s">
        <v>1150</v>
      </c>
      <c r="X124" t="s">
        <v>42</v>
      </c>
      <c r="Y124" t="s">
        <v>872</v>
      </c>
      <c r="Z124" s="2" t="s">
        <v>873</v>
      </c>
      <c r="AA124">
        <f>HYPERLINK("http://exon.niaid.nih.gov/transcriptome/Tx_amboinensis_sialome/Table_1/links/GO\TX-contig_199-GO.txt",0.004)</f>
        <v>0</v>
      </c>
      <c r="AB124" t="s">
        <v>874</v>
      </c>
      <c r="AC124" t="s">
        <v>1127</v>
      </c>
      <c r="AD124" t="s">
        <v>875</v>
      </c>
      <c r="AE124" t="s">
        <v>876</v>
      </c>
      <c r="AF124">
        <v>0.004</v>
      </c>
      <c r="AG124" s="2" t="str">
        <f>HYPERLINK("http://exon.niaid.nih.gov/transcriptome/Tx_amboinensis_sialome/Table_1/links/KOG\TX-contig_199-KOG.txt","Polytopic membrane protein Prominin")</f>
        <v>Polytopic membrane protein Prominin</v>
      </c>
      <c r="AH124" t="str">
        <f>HYPERLINK("http://www.ncbi.nlm.nih.gov/COG/new/shokog.cgi?KOG4331","0.16")</f>
        <v>0.16</v>
      </c>
      <c r="AI124" t="s">
        <v>1331</v>
      </c>
      <c r="AJ124" s="2" t="str">
        <f>HYPERLINK("http://exon.niaid.nih.gov/transcriptome/Tx_amboinensis_sialome/Table_1/links/CDD\TX-contig_199-CDD.txt","Prominin")</f>
        <v>Prominin</v>
      </c>
      <c r="AK124" t="str">
        <f>HYPERLINK("http://www.ncbi.nlm.nih.gov/Structure/cdd/cddsrv.cgi?uid=pfam05478&amp;version=v4.0","0.051")</f>
        <v>0.051</v>
      </c>
      <c r="AL124" t="s">
        <v>877</v>
      </c>
      <c r="AM124" s="2" t="str">
        <f>HYPERLINK("http://exon.niaid.nih.gov/transcriptome/Tx_amboinensis_sialome/Table_1/links/PFAM\TX-contig_199-PFAM.txt","Prominin")</f>
        <v>Prominin</v>
      </c>
      <c r="AN124" t="str">
        <f>HYPERLINK("http://pfam.wustl.edu/cgi-bin/getdesc?acc=PF05478","0.028")</f>
        <v>0.028</v>
      </c>
      <c r="AO124" s="2" t="str">
        <f>HYPERLINK("http://exon.niaid.nih.gov/transcriptome/Tx_amboinensis_sialome/Table_1/links/SMART\TX-contig_199-SMART.txt","HTTM")</f>
        <v>HTTM</v>
      </c>
      <c r="AP124" t="str">
        <f>HYPERLINK("http://smart.embl-heidelberg.de/smart/do_annotation.pl?DOMAIN=HTTM&amp;BLAST=DUMMY","0.25")</f>
        <v>0.25</v>
      </c>
      <c r="AQ124" s="2" t="s">
        <v>324</v>
      </c>
      <c r="AR124" t="s">
        <v>324</v>
      </c>
      <c r="AS124" s="2" t="s">
        <v>324</v>
      </c>
      <c r="AT124" t="s">
        <v>324</v>
      </c>
    </row>
    <row r="125" spans="1:46" ht="11.25">
      <c r="A125" t="str">
        <f>HYPERLINK("http://exon.niaid.nih.gov/transcriptome/Tx_amboinensis_sialome/Table_1/links/TX-contig_163.txt","TX-contig_163")</f>
        <v>TX-contig_163</v>
      </c>
      <c r="B125" t="str">
        <f>HYPERLINK("http://exon.niaid.nih.gov/transcriptome/Tx_amboinensis_sialome/Table_1/links/TX-5-90-90-asb-163.txt","Contig-163")</f>
        <v>Contig-163</v>
      </c>
      <c r="C125" t="str">
        <f>HYPERLINK("http://exon.niaid.nih.gov/transcriptome/Tx_amboinensis_sialome/Table_1/links/TX-5-90-90-163-CLU.txt","Contig163")</f>
        <v>Contig163</v>
      </c>
      <c r="D125" s="4">
        <v>1</v>
      </c>
      <c r="E125">
        <v>362</v>
      </c>
      <c r="F125">
        <v>3.3</v>
      </c>
      <c r="G125">
        <v>46.4</v>
      </c>
      <c r="H125" t="s">
        <v>324</v>
      </c>
      <c r="I125">
        <v>163</v>
      </c>
      <c r="J125" t="s">
        <v>476</v>
      </c>
      <c r="K125" t="s">
        <v>324</v>
      </c>
      <c r="L125" s="3" t="s">
        <v>1035</v>
      </c>
      <c r="M125" s="4">
        <v>0</v>
      </c>
      <c r="N125" s="4">
        <v>0</v>
      </c>
      <c r="O125" s="4">
        <v>2</v>
      </c>
      <c r="P125" s="4">
        <v>0</v>
      </c>
      <c r="Q125" s="5" t="s">
        <v>1039</v>
      </c>
      <c r="R125" s="2" t="str">
        <f>HYPERLINK("http://exon.niaid.nih.gov/transcriptome/Tx_amboinensis_sialome/Table_1/links/NR\TX-contig_163-NR.txt","cryptdin related sequence peptide [M")</f>
        <v>cryptdin related sequence peptide [M</v>
      </c>
      <c r="S125" s="4" t="str">
        <f>HYPERLINK("http://www.ncbi.nlm.nih.gov/sutils/blink.cgi?pid=41223180","0.36")</f>
        <v>0.36</v>
      </c>
      <c r="T125" t="s">
        <v>674</v>
      </c>
      <c r="U125" s="4">
        <v>75</v>
      </c>
      <c r="V125" s="4">
        <v>18</v>
      </c>
      <c r="W125" t="s">
        <v>223</v>
      </c>
      <c r="X125" t="s">
        <v>43</v>
      </c>
      <c r="Y125" t="s">
        <v>675</v>
      </c>
      <c r="Z125" s="2" t="s">
        <v>676</v>
      </c>
      <c r="AA125">
        <f>HYPERLINK("http://exon.niaid.nih.gov/transcriptome/Tx_amboinensis_sialome/Table_1/links/GO\TX-contig_163-GO.txt",0.049)</f>
        <v>0</v>
      </c>
      <c r="AB125" t="s">
        <v>677</v>
      </c>
      <c r="AC125" t="s">
        <v>911</v>
      </c>
      <c r="AD125" t="s">
        <v>678</v>
      </c>
      <c r="AE125" t="s">
        <v>679</v>
      </c>
      <c r="AF125">
        <v>0.049</v>
      </c>
      <c r="AG125" s="2" t="str">
        <f>HYPERLINK("http://exon.niaid.nih.gov/transcriptome/Tx_amboinensis_sialome/Table_1/links/KOG\TX-contig_163-KOG.txt","Splicing factor, arginine/serine-rich")</f>
        <v>Splicing factor, arginine/serine-rich</v>
      </c>
      <c r="AH125" t="str">
        <f>HYPERLINK("http://www.ncbi.nlm.nih.gov/COG/new/shokog.cgi?KOG4676","0.11")</f>
        <v>0.11</v>
      </c>
      <c r="AI125" t="s">
        <v>906</v>
      </c>
      <c r="AJ125" s="2" t="str">
        <f>HYPERLINK("http://exon.niaid.nih.gov/transcriptome/Tx_amboinensis_sialome/Table_1/links/CDD\TX-contig_163-CDD.txt","Collagen")</f>
        <v>Collagen</v>
      </c>
      <c r="AK125" t="str">
        <f>HYPERLINK("http://www.ncbi.nlm.nih.gov/Structure/cdd/cddsrv.cgi?uid=pfam01391&amp;version=v4.0","0.65")</f>
        <v>0.65</v>
      </c>
      <c r="AL125" t="s">
        <v>680</v>
      </c>
      <c r="AM125" s="2" t="str">
        <f>HYPERLINK("http://exon.niaid.nih.gov/transcriptome/Tx_amboinensis_sialome/Table_1/links/PFAM\TX-contig_163-PFAM.txt","Collagen")</f>
        <v>Collagen</v>
      </c>
      <c r="AN125" t="str">
        <f>HYPERLINK("http://pfam.wustl.edu/cgi-bin/getdesc?acc=PF01391","0.37")</f>
        <v>0.37</v>
      </c>
      <c r="AO125" s="2" t="str">
        <f>HYPERLINK("http://exon.niaid.nih.gov/transcriptome/Tx_amboinensis_sialome/Table_1/links/SMART\TX-contig_163-SMART.txt","SO")</f>
        <v>SO</v>
      </c>
      <c r="AP125" t="str">
        <f>HYPERLINK("http://smart.embl-heidelberg.de/smart/do_annotation.pl?DOMAIN=SO&amp;BLAST=DUMMY","0.23")</f>
        <v>0.23</v>
      </c>
      <c r="AQ125" s="2" t="s">
        <v>324</v>
      </c>
      <c r="AR125" t="s">
        <v>324</v>
      </c>
      <c r="AS125" s="2" t="s">
        <v>324</v>
      </c>
      <c r="AT125" t="s">
        <v>324</v>
      </c>
    </row>
    <row r="126" spans="1:46" ht="11.25">
      <c r="A126" t="str">
        <f>HYPERLINK("http://exon.niaid.nih.gov/transcriptome/Tx_amboinensis_sialome/Table_1/links/TX-contig_2.txt","TX-contig_2")</f>
        <v>TX-contig_2</v>
      </c>
      <c r="B126" t="str">
        <f>HYPERLINK("http://exon.niaid.nih.gov/transcriptome/Tx_amboinensis_sialome/Table_1/links/TX-5-90-90-asb-2.txt","Contig-2")</f>
        <v>Contig-2</v>
      </c>
      <c r="C126" t="str">
        <f>HYPERLINK("http://exon.niaid.nih.gov/transcriptome/Tx_amboinensis_sialome/Table_1/links/TX-5-90-90-2-CLU.txt","Contig2")</f>
        <v>Contig2</v>
      </c>
      <c r="D126" s="4">
        <v>1</v>
      </c>
      <c r="E126">
        <v>237</v>
      </c>
      <c r="F126">
        <v>2.5</v>
      </c>
      <c r="G126">
        <v>60.8</v>
      </c>
      <c r="H126" t="s">
        <v>324</v>
      </c>
      <c r="I126">
        <v>2</v>
      </c>
      <c r="J126" t="s">
        <v>325</v>
      </c>
      <c r="K126" t="s">
        <v>324</v>
      </c>
      <c r="L126" s="3" t="s">
        <v>1035</v>
      </c>
      <c r="M126" s="4">
        <v>0</v>
      </c>
      <c r="N126" s="4">
        <v>0</v>
      </c>
      <c r="O126" s="4">
        <v>1</v>
      </c>
      <c r="P126" s="4">
        <v>0</v>
      </c>
      <c r="Q126" s="5" t="s">
        <v>1039</v>
      </c>
      <c r="R126" s="2" t="str">
        <f>HYPERLINK("http://exon.niaid.nih.gov/transcriptome/Tx_amboinensis_sialome/Table_1/links/NR\TX-contig_2-NR.txt","unknown [Schistosoma japonicum]             36   0.63")</f>
        <v>unknown [Schistosoma japonicum]             36   0.63</v>
      </c>
      <c r="S126" s="4" t="str">
        <f>HYPERLINK("http://www.ncbi.nlm.nih.gov/sutils/blink.cgi?pid=60602908","0.63")</f>
        <v>0.63</v>
      </c>
      <c r="T126" t="s">
        <v>842</v>
      </c>
      <c r="U126" s="4">
        <v>50</v>
      </c>
      <c r="V126" s="4">
        <v>29</v>
      </c>
      <c r="W126" t="s">
        <v>843</v>
      </c>
      <c r="X126" t="s">
        <v>44</v>
      </c>
      <c r="Y126" t="s">
        <v>844</v>
      </c>
      <c r="Z126" s="2" t="s">
        <v>324</v>
      </c>
      <c r="AA126" t="s">
        <v>324</v>
      </c>
      <c r="AB126" t="s">
        <v>324</v>
      </c>
      <c r="AC126" t="s">
        <v>324</v>
      </c>
      <c r="AD126" t="s">
        <v>324</v>
      </c>
      <c r="AE126" t="s">
        <v>324</v>
      </c>
      <c r="AF126" t="s">
        <v>324</v>
      </c>
      <c r="AG126" s="2" t="s">
        <v>324</v>
      </c>
      <c r="AH126" t="s">
        <v>324</v>
      </c>
      <c r="AI126" t="s">
        <v>324</v>
      </c>
      <c r="AJ126" s="2" t="str">
        <f>HYPERLINK("http://exon.niaid.nih.gov/transcriptome/Tx_amboinensis_sialome/Table_1/links/CDD\TX-contig_2-CDD.txt","COG4398")</f>
        <v>COG4398</v>
      </c>
      <c r="AK126" t="str">
        <f>HYPERLINK("http://www.ncbi.nlm.nih.gov/Structure/cdd/cddsrv.cgi?uid=COG4398&amp;version=v4.0","1.00")</f>
        <v>1.00</v>
      </c>
      <c r="AL126" t="s">
        <v>845</v>
      </c>
      <c r="AM126" s="2" t="str">
        <f>HYPERLINK("http://exon.niaid.nih.gov/transcriptome/Tx_amboinensis_sialome/Table_1/links/PFAM\TX-contig_2-PFAM.txt","Ycf4")</f>
        <v>Ycf4</v>
      </c>
      <c r="AN126" t="str">
        <f>HYPERLINK("http://pfam.wustl.edu/cgi-bin/getdesc?acc=PF02392","0.53")</f>
        <v>0.53</v>
      </c>
      <c r="AO126" s="2" t="str">
        <f>HYPERLINK("http://exon.niaid.nih.gov/transcriptome/Tx_amboinensis_sialome/Table_1/links/SMART\TX-contig_2-SMART.txt","B561")</f>
        <v>B561</v>
      </c>
      <c r="AP126" t="str">
        <f>HYPERLINK("http://smart.embl-heidelberg.de/smart/do_annotation.pl?DOMAIN=B561&amp;BLAST=DUMMY","0.14")</f>
        <v>0.14</v>
      </c>
      <c r="AQ126" s="2" t="s">
        <v>324</v>
      </c>
      <c r="AR126" t="s">
        <v>324</v>
      </c>
      <c r="AS126" s="2" t="s">
        <v>324</v>
      </c>
      <c r="AT126" t="s">
        <v>324</v>
      </c>
    </row>
    <row r="127" spans="1:46" ht="11.25">
      <c r="A127" t="str">
        <f>HYPERLINK("http://exon.niaid.nih.gov/transcriptome/Tx_amboinensis_sialome/Table_1/links/TX-contig_128.txt","TX-contig_128")</f>
        <v>TX-contig_128</v>
      </c>
      <c r="B127" t="str">
        <f>HYPERLINK("http://exon.niaid.nih.gov/transcriptome/Tx_amboinensis_sialome/Table_1/links/TX-5-90-90-asb-128.txt","Contig-128")</f>
        <v>Contig-128</v>
      </c>
      <c r="C127" t="str">
        <f>HYPERLINK("http://exon.niaid.nih.gov/transcriptome/Tx_amboinensis_sialome/Table_1/links/TX-5-90-90-128-CLU.txt","Contig128")</f>
        <v>Contig128</v>
      </c>
      <c r="D127" s="4">
        <v>1</v>
      </c>
      <c r="E127">
        <v>482</v>
      </c>
      <c r="F127">
        <v>0.6</v>
      </c>
      <c r="G127">
        <v>50.4</v>
      </c>
      <c r="H127">
        <v>463</v>
      </c>
      <c r="I127">
        <v>128</v>
      </c>
      <c r="J127" t="s">
        <v>444</v>
      </c>
      <c r="K127">
        <v>463</v>
      </c>
      <c r="L127" s="3" t="s">
        <v>1035</v>
      </c>
      <c r="M127" s="4">
        <v>0</v>
      </c>
      <c r="N127" s="4">
        <v>0</v>
      </c>
      <c r="O127" s="4">
        <v>1</v>
      </c>
      <c r="P127" s="4">
        <v>0</v>
      </c>
      <c r="Q127" s="5" t="s">
        <v>1039</v>
      </c>
      <c r="R127" s="2" t="str">
        <f>HYPERLINK("http://exon.niaid.nih.gov/transcriptome/Tx_amboinensis_sialome/Table_1/links/NR\TX-contig_128-NR.txt","hypothetical protein FG00546.1 [Gib")</f>
        <v>hypothetical protein FG00546.1 [Gib</v>
      </c>
      <c r="S127" s="4" t="str">
        <f>HYPERLINK("http://www.ncbi.nlm.nih.gov/sutils/blink.cgi?pid=46107326","0.86")</f>
        <v>0.86</v>
      </c>
      <c r="T127" t="s">
        <v>45</v>
      </c>
      <c r="U127" s="4">
        <v>33</v>
      </c>
      <c r="V127" s="4">
        <v>9</v>
      </c>
      <c r="W127" t="s">
        <v>1112</v>
      </c>
      <c r="X127" t="s">
        <v>46</v>
      </c>
      <c r="Y127" t="s">
        <v>1113</v>
      </c>
      <c r="Z127" s="2" t="s">
        <v>324</v>
      </c>
      <c r="AA127" t="s">
        <v>324</v>
      </c>
      <c r="AB127" t="s">
        <v>324</v>
      </c>
      <c r="AC127" t="s">
        <v>324</v>
      </c>
      <c r="AD127" t="s">
        <v>324</v>
      </c>
      <c r="AE127" t="s">
        <v>324</v>
      </c>
      <c r="AF127" t="s">
        <v>324</v>
      </c>
      <c r="AG127" s="2" t="str">
        <f>HYPERLINK("http://exon.niaid.nih.gov/transcriptome/Tx_amboinensis_sialome/Table_1/links/KOG\TX-contig_128-KOG.txt","Smad anchor for receptor activation")</f>
        <v>Smad anchor for receptor activation</v>
      </c>
      <c r="AH127" t="str">
        <f>HYPERLINK("http://www.ncbi.nlm.nih.gov/COG/new/shokog.cgi?KOG1841","0.26")</f>
        <v>0.26</v>
      </c>
      <c r="AI127" t="s">
        <v>1114</v>
      </c>
      <c r="AJ127" s="2" t="str">
        <f>HYPERLINK("http://exon.niaid.nih.gov/transcriptome/Tx_amboinensis_sialome/Table_1/links/CDD\TX-contig_128-CDD.txt","Lig_chan")</f>
        <v>Lig_chan</v>
      </c>
      <c r="AK127" t="str">
        <f>HYPERLINK("http://www.ncbi.nlm.nih.gov/Structure/cdd/cddsrv.cgi?uid=pfam00060&amp;version=v4.0","0.22")</f>
        <v>0.22</v>
      </c>
      <c r="AL127" t="s">
        <v>1115</v>
      </c>
      <c r="AM127" s="2" t="str">
        <f>HYPERLINK("http://exon.niaid.nih.gov/transcriptome/Tx_amboinensis_sialome/Table_1/links/PFAM\TX-contig_128-PFAM.txt","Phi-29_GP3")</f>
        <v>Phi-29_GP3</v>
      </c>
      <c r="AN127" t="str">
        <f>HYPERLINK("http://pfam.wustl.edu/cgi-bin/getdesc?acc=PF05435","0.040")</f>
        <v>0.040</v>
      </c>
      <c r="AO127" s="2" t="str">
        <f>HYPERLINK("http://exon.niaid.nih.gov/transcriptome/Tx_amboinensis_sialome/Table_1/links/SMART\TX-contig_128-SMART.txt","DCX")</f>
        <v>DCX</v>
      </c>
      <c r="AP127" t="str">
        <f>HYPERLINK("http://smart.embl-heidelberg.de/smart/do_annotation.pl?DOMAIN=DCX&amp;BLAST=DUMMY","0.18")</f>
        <v>0.18</v>
      </c>
      <c r="AQ127" s="2" t="s">
        <v>324</v>
      </c>
      <c r="AR127" t="s">
        <v>324</v>
      </c>
      <c r="AS127" s="2" t="s">
        <v>324</v>
      </c>
      <c r="AT127" t="s">
        <v>324</v>
      </c>
    </row>
    <row r="128" spans="1:46" ht="11.25">
      <c r="A128" t="str">
        <f>HYPERLINK("http://exon.niaid.nih.gov/transcriptome/Tx_amboinensis_sialome/Table_1/links/TX-contig_258.txt","TX-contig_258")</f>
        <v>TX-contig_258</v>
      </c>
      <c r="B128" t="str">
        <f>HYPERLINK("http://exon.niaid.nih.gov/transcriptome/Tx_amboinensis_sialome/Table_1/links/TX-5-90-90-asb-258.txt","Contig-258")</f>
        <v>Contig-258</v>
      </c>
      <c r="C128" t="str">
        <f>HYPERLINK("http://exon.niaid.nih.gov/transcriptome/Tx_amboinensis_sialome/Table_1/links/TX-5-90-90-258-CLU.txt","Contig258")</f>
        <v>Contig258</v>
      </c>
      <c r="D128" s="4">
        <v>1</v>
      </c>
      <c r="E128">
        <v>130</v>
      </c>
      <c r="F128" t="s">
        <v>322</v>
      </c>
      <c r="G128">
        <v>76.9</v>
      </c>
      <c r="H128">
        <v>111</v>
      </c>
      <c r="I128">
        <v>258</v>
      </c>
      <c r="J128" t="s">
        <v>571</v>
      </c>
      <c r="K128">
        <v>111</v>
      </c>
      <c r="L128" s="3" t="s">
        <v>1035</v>
      </c>
      <c r="M128" s="4">
        <v>0</v>
      </c>
      <c r="N128" s="4">
        <v>0</v>
      </c>
      <c r="O128" s="4">
        <v>1</v>
      </c>
      <c r="P128" s="4">
        <v>0</v>
      </c>
      <c r="Q128" s="5" t="s">
        <v>1039</v>
      </c>
      <c r="R128" s="2" t="str">
        <f>HYPERLINK("http://exon.niaid.nih.gov/transcriptome/Tx_amboinensis_sialome/Table_1/links/NR\TX-contig_258-NR.txt","hypothetical protein, conserved [Ei")</f>
        <v>hypothetical protein, conserved [Ei</v>
      </c>
      <c r="S128" s="4" t="str">
        <f>HYPERLINK("http://www.ncbi.nlm.nih.gov/sutils/blink.cgi?pid=109238416","0.62")</f>
        <v>0.62</v>
      </c>
      <c r="T128" t="s">
        <v>47</v>
      </c>
      <c r="U128" s="4">
        <v>50</v>
      </c>
      <c r="V128" s="4">
        <v>2</v>
      </c>
      <c r="W128" t="s">
        <v>48</v>
      </c>
      <c r="X128" t="s">
        <v>49</v>
      </c>
      <c r="Y128" t="s">
        <v>898</v>
      </c>
      <c r="Z128" s="2" t="s">
        <v>324</v>
      </c>
      <c r="AA128" t="s">
        <v>324</v>
      </c>
      <c r="AB128" t="s">
        <v>324</v>
      </c>
      <c r="AC128" t="s">
        <v>324</v>
      </c>
      <c r="AD128" t="s">
        <v>324</v>
      </c>
      <c r="AE128" t="s">
        <v>324</v>
      </c>
      <c r="AF128" t="s">
        <v>324</v>
      </c>
      <c r="AG128" s="2" t="str">
        <f>HYPERLINK("http://exon.niaid.nih.gov/transcriptome/Tx_amboinensis_sialome/Table_1/links/KOG\TX-contig_258-KOG.txt","Na+/K+ ATPase, beta subunit")</f>
        <v>Na+/K+ ATPase, beta subunit</v>
      </c>
      <c r="AH128" t="str">
        <f>HYPERLINK("http://www.ncbi.nlm.nih.gov/COG/new/shokog.cgi?KOG3927","0.056")</f>
        <v>0.056</v>
      </c>
      <c r="AI128" t="s">
        <v>840</v>
      </c>
      <c r="AJ128" s="2" t="str">
        <f>HYPERLINK("http://exon.niaid.nih.gov/transcriptome/Tx_amboinensis_sialome/Table_1/links/CDD\TX-contig_258-CDD.txt","NuoM")</f>
        <v>NuoM</v>
      </c>
      <c r="AK128" t="str">
        <f>HYPERLINK("http://www.ncbi.nlm.nih.gov/Structure/cdd/cddsrv.cgi?uid=COG1008&amp;version=v4.0","0.22")</f>
        <v>0.22</v>
      </c>
      <c r="AL128" t="s">
        <v>965</v>
      </c>
      <c r="AM128" s="2" t="str">
        <f>HYPERLINK("http://exon.niaid.nih.gov/transcriptome/Tx_amboinensis_sialome/Table_1/links/PFAM\TX-contig_258-PFAM.txt","Papilloma_E5")</f>
        <v>Papilloma_E5</v>
      </c>
      <c r="AN128" t="str">
        <f>HYPERLINK("http://pfam.wustl.edu/cgi-bin/getdesc?acc=PF03025","0.14")</f>
        <v>0.14</v>
      </c>
      <c r="AO128" s="2" t="str">
        <f>HYPERLINK("http://exon.niaid.nih.gov/transcriptome/Tx_amboinensis_sialome/Table_1/links/SMART\TX-contig_258-SMART.txt","LITAF")</f>
        <v>LITAF</v>
      </c>
      <c r="AP128" t="str">
        <f>HYPERLINK("http://smart.embl-heidelberg.de/smart/do_annotation.pl?DOMAIN=LITAF&amp;BLAST=DUMMY","0.019")</f>
        <v>0.019</v>
      </c>
      <c r="AQ128" s="2" t="s">
        <v>324</v>
      </c>
      <c r="AR128" t="s">
        <v>324</v>
      </c>
      <c r="AS128" s="2" t="s">
        <v>324</v>
      </c>
      <c r="AT128" t="s">
        <v>324</v>
      </c>
    </row>
    <row r="129" spans="1:46" ht="11.25">
      <c r="A129" t="str">
        <f>HYPERLINK("http://exon.niaid.nih.gov/transcriptome/Tx_amboinensis_sialome/Table_1/links/TX-contig_263.txt","TX-contig_263")</f>
        <v>TX-contig_263</v>
      </c>
      <c r="B129" t="str">
        <f>HYPERLINK("http://exon.niaid.nih.gov/transcriptome/Tx_amboinensis_sialome/Table_1/links/TX-5-90-90-asb-263.txt","Contig-263")</f>
        <v>Contig-263</v>
      </c>
      <c r="C129" t="str">
        <f>HYPERLINK("http://exon.niaid.nih.gov/transcriptome/Tx_amboinensis_sialome/Table_1/links/TX-5-90-90-263-CLU.txt","Contig263")</f>
        <v>Contig263</v>
      </c>
      <c r="D129" s="4">
        <v>1</v>
      </c>
      <c r="E129">
        <v>260</v>
      </c>
      <c r="F129" t="s">
        <v>322</v>
      </c>
      <c r="G129">
        <v>56.2</v>
      </c>
      <c r="H129">
        <v>241</v>
      </c>
      <c r="I129">
        <v>263</v>
      </c>
      <c r="J129" t="s">
        <v>576</v>
      </c>
      <c r="K129">
        <v>241</v>
      </c>
      <c r="L129" s="3" t="s">
        <v>1035</v>
      </c>
      <c r="M129" s="4">
        <v>0</v>
      </c>
      <c r="N129" s="4">
        <v>0</v>
      </c>
      <c r="O129" s="4">
        <v>2</v>
      </c>
      <c r="P129" s="4">
        <v>0</v>
      </c>
      <c r="Q129" s="5" t="s">
        <v>1039</v>
      </c>
      <c r="R129" s="2" t="str">
        <f>HYPERLINK("http://exon.niaid.nih.gov/transcriptome/Tx_amboinensis_sialome/Table_1/links/NR\TX-contig_263-NR.txt","hypothetical protein UM06294.1 [Ust")</f>
        <v>hypothetical protein UM06294.1 [Ust</v>
      </c>
      <c r="S129" s="4" t="str">
        <f>HYPERLINK("http://www.ncbi.nlm.nih.gov/sutils/blink.cgi?pid=71024423","2.4")</f>
        <v>2.4</v>
      </c>
      <c r="T129" t="s">
        <v>967</v>
      </c>
      <c r="U129" s="4">
        <v>27</v>
      </c>
      <c r="V129" s="4">
        <v>13</v>
      </c>
      <c r="W129" t="s">
        <v>968</v>
      </c>
      <c r="X129" t="s">
        <v>969</v>
      </c>
      <c r="Y129" t="s">
        <v>969</v>
      </c>
      <c r="Z129" s="2" t="s">
        <v>324</v>
      </c>
      <c r="AA129" t="s">
        <v>324</v>
      </c>
      <c r="AB129" t="s">
        <v>324</v>
      </c>
      <c r="AC129" t="s">
        <v>324</v>
      </c>
      <c r="AD129" t="s">
        <v>324</v>
      </c>
      <c r="AE129" t="s">
        <v>324</v>
      </c>
      <c r="AF129" t="s">
        <v>324</v>
      </c>
      <c r="AG129" s="2" t="s">
        <v>324</v>
      </c>
      <c r="AH129" t="s">
        <v>324</v>
      </c>
      <c r="AI129" t="s">
        <v>324</v>
      </c>
      <c r="AJ129" s="2" t="str">
        <f>HYPERLINK("http://exon.niaid.nih.gov/transcriptome/Tx_amboinensis_sialome/Table_1/links/CDD\TX-contig_263-CDD.txt","Peptidase_C19L")</f>
        <v>Peptidase_C19L</v>
      </c>
      <c r="AK129" t="str">
        <f>HYPERLINK("http://www.ncbi.nlm.nih.gov/Structure/cdd/cddsrv.cgi?uid=cd02668&amp;version=v4.0","0.056")</f>
        <v>0.056</v>
      </c>
      <c r="AL129" t="s">
        <v>970</v>
      </c>
      <c r="AM129" s="2" t="s">
        <v>324</v>
      </c>
      <c r="AN129" t="s">
        <v>324</v>
      </c>
      <c r="AO129" s="2" t="str">
        <f>HYPERLINK("http://exon.niaid.nih.gov/transcriptome/Tx_amboinensis_sialome/Table_1/links/SMART\TX-contig_263-SMART.txt","ZnF_TTF")</f>
        <v>ZnF_TTF</v>
      </c>
      <c r="AP129" t="str">
        <f>HYPERLINK("http://smart.embl-heidelberg.de/smart/do_annotation.pl?DOMAIN=ZnF_TTF&amp;BLAST=DUMMY","0.32")</f>
        <v>0.32</v>
      </c>
      <c r="AQ129" s="2" t="s">
        <v>324</v>
      </c>
      <c r="AR129" t="s">
        <v>324</v>
      </c>
      <c r="AS129" s="2" t="s">
        <v>324</v>
      </c>
      <c r="AT129" t="s">
        <v>324</v>
      </c>
    </row>
    <row r="130" spans="1:46" ht="11.25">
      <c r="A130" t="str">
        <f>HYPERLINK("http://exon.niaid.nih.gov/transcriptome/Tx_amboinensis_sialome/Table_1/links/TX-contig_205.txt","TX-contig_205")</f>
        <v>TX-contig_205</v>
      </c>
      <c r="B130" t="str">
        <f>HYPERLINK("http://exon.niaid.nih.gov/transcriptome/Tx_amboinensis_sialome/Table_1/links/TX-5-90-90-asb-205.txt","Contig-205")</f>
        <v>Contig-205</v>
      </c>
      <c r="C130" t="str">
        <f>HYPERLINK("http://exon.niaid.nih.gov/transcriptome/Tx_amboinensis_sialome/Table_1/links/TX-5-90-90-205-CLU.txt","Contig205")</f>
        <v>Contig205</v>
      </c>
      <c r="D130" s="4">
        <v>1</v>
      </c>
      <c r="E130">
        <v>204</v>
      </c>
      <c r="F130" t="s">
        <v>322</v>
      </c>
      <c r="G130">
        <v>70.6</v>
      </c>
      <c r="H130">
        <v>185</v>
      </c>
      <c r="I130">
        <v>205</v>
      </c>
      <c r="J130" t="s">
        <v>518</v>
      </c>
      <c r="K130">
        <v>185</v>
      </c>
      <c r="L130" s="3" t="s">
        <v>1035</v>
      </c>
      <c r="M130" s="4">
        <v>0</v>
      </c>
      <c r="N130" s="4">
        <v>0</v>
      </c>
      <c r="O130" s="4">
        <v>1</v>
      </c>
      <c r="P130" s="4">
        <v>0</v>
      </c>
      <c r="Q130" s="5" t="s">
        <v>1039</v>
      </c>
      <c r="R130" s="2" t="str">
        <f>HYPERLINK("http://exon.niaid.nih.gov/transcriptome/Tx_amboinensis_sialome/Table_1/links/NR\TX-contig_205-NR.txt","unnamed protein product [Tetraodon n")</f>
        <v>unnamed protein product [Tetraodon n</v>
      </c>
      <c r="S130" s="4" t="str">
        <f>HYPERLINK("http://www.ncbi.nlm.nih.gov/sutils/blink.cgi?pid=47216706","3.0")</f>
        <v>3.0</v>
      </c>
      <c r="T130" t="s">
        <v>881</v>
      </c>
      <c r="U130" s="4">
        <v>80</v>
      </c>
      <c r="V130" s="4">
        <v>1</v>
      </c>
      <c r="W130" t="s">
        <v>1105</v>
      </c>
      <c r="X130" t="s">
        <v>50</v>
      </c>
      <c r="Y130" t="s">
        <v>882</v>
      </c>
      <c r="Z130" s="2" t="s">
        <v>324</v>
      </c>
      <c r="AA130" t="s">
        <v>324</v>
      </c>
      <c r="AB130" t="s">
        <v>324</v>
      </c>
      <c r="AC130" t="s">
        <v>324</v>
      </c>
      <c r="AD130" t="s">
        <v>324</v>
      </c>
      <c r="AE130" t="s">
        <v>324</v>
      </c>
      <c r="AF130" t="s">
        <v>324</v>
      </c>
      <c r="AG130" s="2" t="str">
        <f>HYPERLINK("http://exon.niaid.nih.gov/transcriptome/Tx_amboinensis_sialome/Table_1/links/KOG\TX-contig_205-KOG.txt","Chaperonin complex component, TCP-1 zeta subunit (CCT6)")</f>
        <v>Chaperonin complex component, TCP-1 zeta subunit (CCT6)</v>
      </c>
      <c r="AH130" t="str">
        <f>HYPERLINK("http://www.ncbi.nlm.nih.gov/COG/new/shokog.cgi?KOG0359","0.22")</f>
        <v>0.22</v>
      </c>
      <c r="AI130" t="s">
        <v>221</v>
      </c>
      <c r="AJ130" s="2" t="str">
        <f>HYPERLINK("http://exon.niaid.nih.gov/transcriptome/Tx_amboinensis_sialome/Table_1/links/CDD\TX-contig_205-CDD.txt","Srg")</f>
        <v>Srg</v>
      </c>
      <c r="AK130" t="str">
        <f>HYPERLINK("http://www.ncbi.nlm.nih.gov/Structure/cdd/cddsrv.cgi?uid=pfam02118&amp;version=v4.0","0.19")</f>
        <v>0.19</v>
      </c>
      <c r="AL130" t="s">
        <v>883</v>
      </c>
      <c r="AM130" s="2" t="str">
        <f>HYPERLINK("http://exon.niaid.nih.gov/transcriptome/Tx_amboinensis_sialome/Table_1/links/PFAM\TX-contig_205-PFAM.txt","Srg")</f>
        <v>Srg</v>
      </c>
      <c r="AN130" t="str">
        <f>HYPERLINK("http://pfam.wustl.edu/cgi-bin/getdesc?acc=PF02118","0.10")</f>
        <v>0.10</v>
      </c>
      <c r="AO130" s="2" t="str">
        <f>HYPERLINK("http://exon.niaid.nih.gov/transcriptome/Tx_amboinensis_sialome/Table_1/links/SMART\TX-contig_205-SMART.txt","GED")</f>
        <v>GED</v>
      </c>
      <c r="AP130" t="str">
        <f>HYPERLINK("http://smart.embl-heidelberg.de/smart/do_annotation.pl?DOMAIN=GED&amp;BLAST=DUMMY","0.28")</f>
        <v>0.28</v>
      </c>
      <c r="AQ130" s="2" t="s">
        <v>324</v>
      </c>
      <c r="AR130" t="s">
        <v>324</v>
      </c>
      <c r="AS130" s="2" t="s">
        <v>324</v>
      </c>
      <c r="AT130" t="s">
        <v>324</v>
      </c>
    </row>
    <row r="131" spans="1:46" ht="11.25">
      <c r="A131" t="str">
        <f>HYPERLINK("http://exon.niaid.nih.gov/transcriptome/Tx_amboinensis_sialome/Table_1/links/TX-contig_221.txt","TX-contig_221")</f>
        <v>TX-contig_221</v>
      </c>
      <c r="B131" t="str">
        <f>HYPERLINK("http://exon.niaid.nih.gov/transcriptome/Tx_amboinensis_sialome/Table_1/links/TX-5-90-90-asb-221.txt","Contig-221")</f>
        <v>Contig-221</v>
      </c>
      <c r="C131" t="str">
        <f>HYPERLINK("http://exon.niaid.nih.gov/transcriptome/Tx_amboinensis_sialome/Table_1/links/TX-5-90-90-221-CLU.txt","Contig221")</f>
        <v>Contig221</v>
      </c>
      <c r="D131" s="4">
        <v>1</v>
      </c>
      <c r="E131">
        <v>334</v>
      </c>
      <c r="F131">
        <v>0.6</v>
      </c>
      <c r="G131">
        <v>65</v>
      </c>
      <c r="H131">
        <v>315</v>
      </c>
      <c r="I131">
        <v>221</v>
      </c>
      <c r="J131" t="s">
        <v>534</v>
      </c>
      <c r="K131">
        <v>315</v>
      </c>
      <c r="L131" s="3" t="s">
        <v>1035</v>
      </c>
      <c r="M131" s="4">
        <v>0</v>
      </c>
      <c r="N131" s="4">
        <v>0</v>
      </c>
      <c r="O131" s="4">
        <v>1</v>
      </c>
      <c r="P131" s="4">
        <v>0</v>
      </c>
      <c r="Q131" s="5" t="s">
        <v>1039</v>
      </c>
      <c r="R131" s="2" t="str">
        <f>HYPERLINK("http://exon.niaid.nih.gov/transcriptome/Tx_amboinensis_sialome/Table_1/links/NR\TX-contig_221-NR.txt","aaa family atpase [Eimeria tenella]       28   3.0")</f>
        <v>aaa family atpase [Eimeria tenella]       28   3.0</v>
      </c>
      <c r="S131" s="4" t="str">
        <f>HYPERLINK("http://www.ncbi.nlm.nih.gov/sutils/blink.cgi?pid=109238457","3.0")</f>
        <v>3.0</v>
      </c>
      <c r="T131" t="s">
        <v>51</v>
      </c>
      <c r="U131" s="4">
        <v>72</v>
      </c>
      <c r="V131" s="4">
        <v>1</v>
      </c>
      <c r="W131" t="s">
        <v>48</v>
      </c>
      <c r="X131" t="s">
        <v>52</v>
      </c>
      <c r="Y131" t="s">
        <v>887</v>
      </c>
      <c r="Z131" s="2" t="s">
        <v>888</v>
      </c>
      <c r="AA131">
        <f>HYPERLINK("http://exon.niaid.nih.gov/transcriptome/Tx_amboinensis_sialome/Table_1/links/GO\TX-contig_221-GO.txt",0.004)</f>
        <v>0</v>
      </c>
      <c r="AB131" t="s">
        <v>324</v>
      </c>
      <c r="AC131" t="s">
        <v>324</v>
      </c>
      <c r="AD131" t="s">
        <v>324</v>
      </c>
      <c r="AE131" t="s">
        <v>324</v>
      </c>
      <c r="AF131" t="s">
        <v>324</v>
      </c>
      <c r="AG131" s="2" t="str">
        <f>HYPERLINK("http://exon.niaid.nih.gov/transcriptome/Tx_amboinensis_sialome/Table_1/links/KOG\TX-contig_221-KOG.txt","Cyclic nucleotide phosphodiesterase")</f>
        <v>Cyclic nucleotide phosphodiesterase</v>
      </c>
      <c r="AH131" t="str">
        <f>HYPERLINK("http://www.ncbi.nlm.nih.gov/COG/new/shokog.cgi?KOG3689","0.74")</f>
        <v>0.74</v>
      </c>
      <c r="AI131" t="s">
        <v>1320</v>
      </c>
      <c r="AJ131" s="2" t="s">
        <v>324</v>
      </c>
      <c r="AK131" t="s">
        <v>324</v>
      </c>
      <c r="AL131" t="s">
        <v>324</v>
      </c>
      <c r="AM131" s="2" t="str">
        <f>HYPERLINK("http://exon.niaid.nih.gov/transcriptome/Tx_amboinensis_sialome/Table_1/links/PFAM\TX-contig_221-PFAM.txt","Cytochrom_CIII")</f>
        <v>Cytochrom_CIII</v>
      </c>
      <c r="AN131" t="str">
        <f>HYPERLINK("http://pfam.wustl.edu/cgi-bin/getdesc?acc=PF02085","0.42")</f>
        <v>0.42</v>
      </c>
      <c r="AO131" s="2" t="str">
        <f>HYPERLINK("http://exon.niaid.nih.gov/transcriptome/Tx_amboinensis_sialome/Table_1/links/SMART\TX-contig_221-SMART.txt","PhBP")</f>
        <v>PhBP</v>
      </c>
      <c r="AP131" t="str">
        <f>HYPERLINK("http://smart.embl-heidelberg.de/smart/do_annotation.pl?DOMAIN=PhBP&amp;BLAST=DUMMY","0.30")</f>
        <v>0.30</v>
      </c>
      <c r="AQ131" s="2" t="s">
        <v>324</v>
      </c>
      <c r="AR131" t="s">
        <v>324</v>
      </c>
      <c r="AS131" s="2" t="s">
        <v>324</v>
      </c>
      <c r="AT131" t="s">
        <v>324</v>
      </c>
    </row>
    <row r="132" spans="1:46" ht="11.25">
      <c r="A132" t="str">
        <f>HYPERLINK("http://exon.niaid.nih.gov/transcriptome/Tx_amboinensis_sialome/Table_1/links/TX-contig_67.txt","TX-contig_67")</f>
        <v>TX-contig_67</v>
      </c>
      <c r="B132" t="str">
        <f>HYPERLINK("http://exon.niaid.nih.gov/transcriptome/Tx_amboinensis_sialome/Table_1/links/TX-5-90-90-asb-67.txt","Contig-67")</f>
        <v>Contig-67</v>
      </c>
      <c r="C132" t="str">
        <f>HYPERLINK("http://exon.niaid.nih.gov/transcriptome/Tx_amboinensis_sialome/Table_1/links/TX-5-90-90-67-CLU.txt","Contig67")</f>
        <v>Contig67</v>
      </c>
      <c r="D132" s="4">
        <v>1</v>
      </c>
      <c r="E132">
        <v>171</v>
      </c>
      <c r="F132" t="s">
        <v>322</v>
      </c>
      <c r="G132">
        <v>56.1</v>
      </c>
      <c r="H132">
        <v>152</v>
      </c>
      <c r="I132">
        <v>67</v>
      </c>
      <c r="J132" t="s">
        <v>386</v>
      </c>
      <c r="K132">
        <v>152</v>
      </c>
      <c r="L132" s="3" t="s">
        <v>1035</v>
      </c>
      <c r="M132" s="4">
        <v>0</v>
      </c>
      <c r="N132" s="4">
        <v>0</v>
      </c>
      <c r="O132" s="4">
        <v>1</v>
      </c>
      <c r="P132" s="4">
        <v>0</v>
      </c>
      <c r="Q132" s="5" t="s">
        <v>1039</v>
      </c>
      <c r="R132" s="2" t="str">
        <f>HYPERLINK("http://exon.niaid.nih.gov/transcriptome/Tx_amboinensis_sialome/Table_1/links/NR\TX-contig_67-NR.txt","40S ribosomal protein SA [Aedes aegyp")</f>
        <v>40S ribosomal protein SA [Aedes aegyp</v>
      </c>
      <c r="S132" s="4" t="str">
        <f>HYPERLINK("http://www.ncbi.nlm.nih.gov/sutils/blink.cgi?pid=94468996","2E-004")</f>
        <v>2E-004</v>
      </c>
      <c r="T132" t="s">
        <v>53</v>
      </c>
      <c r="U132" s="4">
        <v>91</v>
      </c>
      <c r="V132" s="4">
        <v>8</v>
      </c>
      <c r="W132" t="s">
        <v>901</v>
      </c>
      <c r="X132" t="s">
        <v>54</v>
      </c>
      <c r="Y132" t="s">
        <v>942</v>
      </c>
      <c r="Z132" s="2" t="s">
        <v>324</v>
      </c>
      <c r="AA132" t="s">
        <v>324</v>
      </c>
      <c r="AB132" t="s">
        <v>324</v>
      </c>
      <c r="AC132" t="s">
        <v>324</v>
      </c>
      <c r="AD132" t="s">
        <v>324</v>
      </c>
      <c r="AE132" t="s">
        <v>324</v>
      </c>
      <c r="AF132" t="s">
        <v>324</v>
      </c>
      <c r="AG132" s="2" t="s">
        <v>324</v>
      </c>
      <c r="AH132" t="s">
        <v>324</v>
      </c>
      <c r="AI132" t="s">
        <v>324</v>
      </c>
      <c r="AJ132" s="2" t="s">
        <v>324</v>
      </c>
      <c r="AK132" t="s">
        <v>324</v>
      </c>
      <c r="AL132" t="s">
        <v>324</v>
      </c>
      <c r="AM132" s="2" t="str">
        <f>HYPERLINK("http://exon.niaid.nih.gov/transcriptome/Tx_amboinensis_sialome/Table_1/links/PFAM\TX-contig_67-PFAM.txt","DUF729")</f>
        <v>DUF729</v>
      </c>
      <c r="AN132" t="str">
        <f>HYPERLINK("http://pfam.wustl.edu/cgi-bin/getdesc?acc=PF05308","0.85")</f>
        <v>0.85</v>
      </c>
      <c r="AO132" s="2" t="str">
        <f>HYPERLINK("http://exon.niaid.nih.gov/transcriptome/Tx_amboinensis_sialome/Table_1/links/SMART\TX-contig_67-SMART.txt","DUSP")</f>
        <v>DUSP</v>
      </c>
      <c r="AP132" t="str">
        <f>HYPERLINK("http://smart.embl-heidelberg.de/smart/do_annotation.pl?DOMAIN=DUSP&amp;BLAST=DUMMY","0.99")</f>
        <v>0.99</v>
      </c>
      <c r="AQ132" s="2" t="s">
        <v>324</v>
      </c>
      <c r="AR132" t="s">
        <v>324</v>
      </c>
      <c r="AS132" s="2" t="s">
        <v>324</v>
      </c>
      <c r="AT132" t="s">
        <v>324</v>
      </c>
    </row>
    <row r="133" spans="1:46" ht="11.25">
      <c r="A133" t="str">
        <f>HYPERLINK("http://exon.niaid.nih.gov/transcriptome/Tx_amboinensis_sialome/Table_1/links/TX-contig_211.txt","TX-contig_211")</f>
        <v>TX-contig_211</v>
      </c>
      <c r="B133" t="str">
        <f>HYPERLINK("http://exon.niaid.nih.gov/transcriptome/Tx_amboinensis_sialome/Table_1/links/TX-5-90-90-asb-211.txt","Contig-211")</f>
        <v>Contig-211</v>
      </c>
      <c r="C133" t="str">
        <f>HYPERLINK("http://exon.niaid.nih.gov/transcriptome/Tx_amboinensis_sialome/Table_1/links/TX-5-90-90-211-CLU.txt","Contig211")</f>
        <v>Contig211</v>
      </c>
      <c r="D133" s="4">
        <v>1</v>
      </c>
      <c r="E133">
        <v>177</v>
      </c>
      <c r="F133" t="s">
        <v>322</v>
      </c>
      <c r="G133">
        <v>80.8</v>
      </c>
      <c r="H133">
        <v>103</v>
      </c>
      <c r="I133">
        <v>211</v>
      </c>
      <c r="J133" t="s">
        <v>524</v>
      </c>
      <c r="K133">
        <v>103</v>
      </c>
      <c r="L133" s="3" t="s">
        <v>1035</v>
      </c>
      <c r="M133" s="4">
        <v>0</v>
      </c>
      <c r="N133" s="4">
        <v>0</v>
      </c>
      <c r="O133" s="4">
        <v>2</v>
      </c>
      <c r="P133" s="4">
        <v>0</v>
      </c>
      <c r="Q133" s="5" t="s">
        <v>1039</v>
      </c>
      <c r="R133" s="2" t="str">
        <f>HYPERLINK("http://exon.niaid.nih.gov/transcriptome/Tx_amboinensis_sialome/Table_1/links/NR\TX-contig_211-NR.txt","Rap/Ran GTPase activating protein [")</f>
        <v>Rap/Ran GTPase activating protein [</v>
      </c>
      <c r="S133" s="4" t="str">
        <f>HYPERLINK("http://www.ncbi.nlm.nih.gov/sutils/blink.cgi?pid=67479501","5.2")</f>
        <v>5.2</v>
      </c>
      <c r="T133" t="s">
        <v>55</v>
      </c>
      <c r="U133" s="4">
        <v>61</v>
      </c>
      <c r="V133" s="4">
        <v>3</v>
      </c>
      <c r="W133" t="s">
        <v>886</v>
      </c>
      <c r="X133" t="s">
        <v>56</v>
      </c>
      <c r="Z133" s="2" t="s">
        <v>324</v>
      </c>
      <c r="AA133" t="s">
        <v>324</v>
      </c>
      <c r="AB133" t="s">
        <v>324</v>
      </c>
      <c r="AC133" t="s">
        <v>324</v>
      </c>
      <c r="AD133" t="s">
        <v>324</v>
      </c>
      <c r="AE133" t="s">
        <v>324</v>
      </c>
      <c r="AF133" t="s">
        <v>324</v>
      </c>
      <c r="AG133" s="2" t="s">
        <v>324</v>
      </c>
      <c r="AH133" t="s">
        <v>324</v>
      </c>
      <c r="AI133" t="s">
        <v>324</v>
      </c>
      <c r="AJ133" s="2" t="s">
        <v>324</v>
      </c>
      <c r="AK133" t="s">
        <v>324</v>
      </c>
      <c r="AL133" t="s">
        <v>324</v>
      </c>
      <c r="AM133" s="2" t="s">
        <v>324</v>
      </c>
      <c r="AN133" t="s">
        <v>324</v>
      </c>
      <c r="AO133" s="2" t="s">
        <v>324</v>
      </c>
      <c r="AP133" t="s">
        <v>324</v>
      </c>
      <c r="AQ133" s="2" t="s">
        <v>324</v>
      </c>
      <c r="AR133" t="s">
        <v>324</v>
      </c>
      <c r="AS133" s="2" t="s">
        <v>324</v>
      </c>
      <c r="AT133" t="s">
        <v>324</v>
      </c>
    </row>
    <row r="134" spans="1:46" ht="11.25">
      <c r="A134" t="str">
        <f>HYPERLINK("http://exon.niaid.nih.gov/transcriptome/Tx_amboinensis_sialome/Table_1/links/TX-contig_106.txt","TX-contig_106")</f>
        <v>TX-contig_106</v>
      </c>
      <c r="B134" t="str">
        <f>HYPERLINK("http://exon.niaid.nih.gov/transcriptome/Tx_amboinensis_sialome/Table_1/links/TX-5-90-90-asb-106.txt","Contig-106")</f>
        <v>Contig-106</v>
      </c>
      <c r="C134" t="str">
        <f>HYPERLINK("http://exon.niaid.nih.gov/transcriptome/Tx_amboinensis_sialome/Table_1/links/TX-5-90-90-106-CLU.txt","Contig106")</f>
        <v>Contig106</v>
      </c>
      <c r="D134" s="4">
        <v>1</v>
      </c>
      <c r="E134">
        <v>161</v>
      </c>
      <c r="F134" t="s">
        <v>322</v>
      </c>
      <c r="G134">
        <v>73.9</v>
      </c>
      <c r="H134">
        <v>142</v>
      </c>
      <c r="I134">
        <v>106</v>
      </c>
      <c r="J134" t="s">
        <v>423</v>
      </c>
      <c r="K134">
        <v>142</v>
      </c>
      <c r="L134" s="3" t="s">
        <v>1035</v>
      </c>
      <c r="M134" s="4">
        <v>0</v>
      </c>
      <c r="N134" s="4">
        <v>0</v>
      </c>
      <c r="O134" s="4">
        <v>1</v>
      </c>
      <c r="P134" s="4">
        <v>0</v>
      </c>
      <c r="Q134" s="5" t="s">
        <v>1039</v>
      </c>
      <c r="R134" s="2" t="str">
        <f>HYPERLINK("http://exon.niaid.nih.gov/transcriptome/Tx_amboinensis_sialome/Table_1/links/NR\TX-contig_106-NR.txt","ecdysteroid UDP-glucosyl transfera")</f>
        <v>ecdysteroid UDP-glucosyl transfera</v>
      </c>
      <c r="S134" s="4" t="str">
        <f>HYPERLINK("http://www.ncbi.nlm.nih.gov/sutils/blink.cgi?pid=113195531","5.3")</f>
        <v>5.3</v>
      </c>
      <c r="T134" t="s">
        <v>57</v>
      </c>
      <c r="U134" s="4">
        <v>44</v>
      </c>
      <c r="V134" s="4">
        <v>7</v>
      </c>
      <c r="W134" t="s">
        <v>58</v>
      </c>
      <c r="X134" t="s">
        <v>59</v>
      </c>
      <c r="Y134" t="s">
        <v>288</v>
      </c>
      <c r="Z134" s="2" t="s">
        <v>324</v>
      </c>
      <c r="AA134" t="s">
        <v>324</v>
      </c>
      <c r="AB134" t="s">
        <v>324</v>
      </c>
      <c r="AC134" t="s">
        <v>324</v>
      </c>
      <c r="AD134" t="s">
        <v>324</v>
      </c>
      <c r="AE134" t="s">
        <v>324</v>
      </c>
      <c r="AF134" t="s">
        <v>324</v>
      </c>
      <c r="AG134" s="2" t="str">
        <f>HYPERLINK("http://exon.niaid.nih.gov/transcriptome/Tx_amboinensis_sialome/Table_1/links/KOG\TX-contig_106-KOG.txt","Molecular chaperone (DnaJ superfamily)")</f>
        <v>Molecular chaperone (DnaJ superfamily)</v>
      </c>
      <c r="AH134" t="str">
        <f>HYPERLINK("http://www.ncbi.nlm.nih.gov/COG/new/shokog.cgi?KOG0721","0.086")</f>
        <v>0.086</v>
      </c>
      <c r="AI134" t="s">
        <v>221</v>
      </c>
      <c r="AJ134" s="2" t="str">
        <f>HYPERLINK("http://exon.niaid.nih.gov/transcriptome/Tx_amboinensis_sialome/Table_1/links/CDD\TX-contig_106-CDD.txt","COG4984")</f>
        <v>COG4984</v>
      </c>
      <c r="AK134" t="str">
        <f>HYPERLINK("http://www.ncbi.nlm.nih.gov/Structure/cdd/cddsrv.cgi?uid=COG4984&amp;version=v4.0","0.012")</f>
        <v>0.012</v>
      </c>
      <c r="AL134" t="s">
        <v>289</v>
      </c>
      <c r="AM134" s="2" t="str">
        <f>HYPERLINK("http://exon.niaid.nih.gov/transcriptome/Tx_amboinensis_sialome/Table_1/links/PFAM\TX-contig_106-PFAM.txt","PIG-U")</f>
        <v>PIG-U</v>
      </c>
      <c r="AN134" t="str">
        <f>HYPERLINK("http://pfam.wustl.edu/cgi-bin/getdesc?acc=PF06728","0.40")</f>
        <v>0.40</v>
      </c>
      <c r="AO134" s="2" t="str">
        <f>HYPERLINK("http://exon.niaid.nih.gov/transcriptome/Tx_amboinensis_sialome/Table_1/links/SMART\TX-contig_106-SMART.txt","PSN")</f>
        <v>PSN</v>
      </c>
      <c r="AP134" t="str">
        <f>HYPERLINK("http://smart.embl-heidelberg.de/smart/do_annotation.pl?DOMAIN=PSN&amp;BLAST=DUMMY","0.038")</f>
        <v>0.038</v>
      </c>
      <c r="AQ134" s="2" t="s">
        <v>324</v>
      </c>
      <c r="AR134" t="s">
        <v>324</v>
      </c>
      <c r="AS134" s="2" t="s">
        <v>324</v>
      </c>
      <c r="AT134" t="s">
        <v>324</v>
      </c>
    </row>
    <row r="135" spans="1:46" ht="11.25">
      <c r="A135" t="str">
        <f>HYPERLINK("http://exon.niaid.nih.gov/transcriptome/Tx_amboinensis_sialome/Table_1/links/TX-contig_134.txt","TX-contig_134")</f>
        <v>TX-contig_134</v>
      </c>
      <c r="B135" t="str">
        <f>HYPERLINK("http://exon.niaid.nih.gov/transcriptome/Tx_amboinensis_sialome/Table_1/links/TX-5-90-90-asb-134.txt","Contig-134")</f>
        <v>Contig-134</v>
      </c>
      <c r="C135" t="str">
        <f>HYPERLINK("http://exon.niaid.nih.gov/transcriptome/Tx_amboinensis_sialome/Table_1/links/TX-5-90-90-134-CLU.txt","Contig134")</f>
        <v>Contig134</v>
      </c>
      <c r="D135" s="4">
        <v>1</v>
      </c>
      <c r="E135">
        <v>224</v>
      </c>
      <c r="F135">
        <v>0.4</v>
      </c>
      <c r="G135">
        <v>78.6</v>
      </c>
      <c r="H135">
        <v>205</v>
      </c>
      <c r="I135">
        <v>134</v>
      </c>
      <c r="J135" t="s">
        <v>450</v>
      </c>
      <c r="K135">
        <v>205</v>
      </c>
      <c r="L135" s="3" t="s">
        <v>1035</v>
      </c>
      <c r="M135" s="4">
        <v>0</v>
      </c>
      <c r="N135" s="4">
        <v>0</v>
      </c>
      <c r="O135" s="4">
        <v>1</v>
      </c>
      <c r="P135" s="4">
        <v>0</v>
      </c>
      <c r="Q135" s="5" t="s">
        <v>1039</v>
      </c>
      <c r="R135" s="2" t="str">
        <f>HYPERLINK("http://exon.niaid.nih.gov/transcriptome/Tx_amboinensis_sialome/Table_1/links/NR\TX-contig_134-NR.txt","NADH dehydrogenase subunit F [Aneilem")</f>
        <v>NADH dehydrogenase subunit F [Aneilem</v>
      </c>
      <c r="S135" s="4" t="str">
        <f>HYPERLINK("http://www.ncbi.nlm.nih.gov/sutils/blink.cgi?pid=31746733","5.4")</f>
        <v>5.4</v>
      </c>
      <c r="T135" t="s">
        <v>1134</v>
      </c>
      <c r="U135" s="4">
        <v>45</v>
      </c>
      <c r="V135" s="4">
        <v>6</v>
      </c>
      <c r="W135" t="s">
        <v>1135</v>
      </c>
      <c r="X135" t="s">
        <v>60</v>
      </c>
      <c r="Y135" t="s">
        <v>1136</v>
      </c>
      <c r="Z135" s="2" t="s">
        <v>324</v>
      </c>
      <c r="AA135" t="s">
        <v>324</v>
      </c>
      <c r="AB135" t="s">
        <v>324</v>
      </c>
      <c r="AC135" t="s">
        <v>324</v>
      </c>
      <c r="AD135" t="s">
        <v>324</v>
      </c>
      <c r="AE135" t="s">
        <v>324</v>
      </c>
      <c r="AF135" t="s">
        <v>324</v>
      </c>
      <c r="AG135" s="2" t="str">
        <f>HYPERLINK("http://exon.niaid.nih.gov/transcriptome/Tx_amboinensis_sialome/Table_1/links/KOG\TX-contig_134-KOG.txt","Predicted RNA-binding protein, contains Pumilio domains")</f>
        <v>Predicted RNA-binding protein, contains Pumilio domains</v>
      </c>
      <c r="AH135" t="str">
        <f>HYPERLINK("http://www.ncbi.nlm.nih.gov/COG/new/shokog.cgi?KOG2188","0.14")</f>
        <v>0.14</v>
      </c>
      <c r="AI135" t="s">
        <v>725</v>
      </c>
      <c r="AJ135" s="2" t="str">
        <f>HYPERLINK("http://exon.niaid.nih.gov/transcriptome/Tx_amboinensis_sialome/Table_1/links/CDD\TX-contig_134-CDD.txt","NPL4")</f>
        <v>NPL4</v>
      </c>
      <c r="AK135" t="str">
        <f>HYPERLINK("http://www.ncbi.nlm.nih.gov/Structure/cdd/cddsrv.cgi?uid=pfam05021&amp;version=v4.0","0.14")</f>
        <v>0.14</v>
      </c>
      <c r="AL135" t="s">
        <v>1137</v>
      </c>
      <c r="AM135" s="2" t="str">
        <f>HYPERLINK("http://exon.niaid.nih.gov/transcriptome/Tx_amboinensis_sialome/Table_1/links/PFAM\TX-contig_134-PFAM.txt","NPL4")</f>
        <v>NPL4</v>
      </c>
      <c r="AN135" t="str">
        <f>HYPERLINK("http://pfam.wustl.edu/cgi-bin/getdesc?acc=PF05021","0.076")</f>
        <v>0.076</v>
      </c>
      <c r="AO135" s="2" t="str">
        <f>HYPERLINK("http://exon.niaid.nih.gov/transcriptome/Tx_amboinensis_sialome/Table_1/links/SMART\TX-contig_134-SMART.txt","G_alpha")</f>
        <v>G_alpha</v>
      </c>
      <c r="AP135" t="str">
        <f>HYPERLINK("http://smart.embl-heidelberg.de/smart/do_annotation.pl?DOMAIN=G_alpha&amp;BLAST=DUMMY","0.13")</f>
        <v>0.13</v>
      </c>
      <c r="AQ135" s="2" t="s">
        <v>324</v>
      </c>
      <c r="AR135" t="s">
        <v>324</v>
      </c>
      <c r="AS135" s="2" t="s">
        <v>324</v>
      </c>
      <c r="AT135" t="s">
        <v>324</v>
      </c>
    </row>
    <row r="136" spans="1:46" ht="11.25">
      <c r="A136" t="str">
        <f>HYPERLINK("http://exon.niaid.nih.gov/transcriptome/Tx_amboinensis_sialome/Table_1/links/TX-contig_443.txt","TX-contig_443")</f>
        <v>TX-contig_443</v>
      </c>
      <c r="B136" t="str">
        <f>HYPERLINK("http://exon.niaid.nih.gov/transcriptome/Tx_amboinensis_sialome/Table_1/links/TX-5-90-90-asb-443.txt","Contig-443")</f>
        <v>Contig-443</v>
      </c>
      <c r="C136" t="str">
        <f>HYPERLINK("http://exon.niaid.nih.gov/transcriptome/Tx_amboinensis_sialome/Table_1/links/TX-5-90-90-443-CLU.txt","Contig443")</f>
        <v>Contig443</v>
      </c>
      <c r="D136" s="4">
        <v>1</v>
      </c>
      <c r="E136">
        <v>123</v>
      </c>
      <c r="F136">
        <v>4.9</v>
      </c>
      <c r="G136">
        <v>80.5</v>
      </c>
      <c r="H136">
        <v>88</v>
      </c>
      <c r="I136">
        <v>443</v>
      </c>
      <c r="J136" t="s">
        <v>1297</v>
      </c>
      <c r="K136">
        <v>88</v>
      </c>
      <c r="L136" s="3" t="s">
        <v>1035</v>
      </c>
      <c r="M136" s="4">
        <v>0</v>
      </c>
      <c r="N136" s="4">
        <v>0</v>
      </c>
      <c r="O136" s="4">
        <v>1</v>
      </c>
      <c r="P136" s="4">
        <v>0</v>
      </c>
      <c r="Q136" s="5" t="s">
        <v>1039</v>
      </c>
      <c r="R136" s="2" t="str">
        <f>HYPERLINK("http://exon.niaid.nih.gov/transcriptome/Tx_amboinensis_sialome/Table_1/links/NR\TX-contig_443-NR.txt","unknown [Schistosoma japonicum]             33   5.3")</f>
        <v>unknown [Schistosoma japonicum]             33   5.3</v>
      </c>
      <c r="S136" s="4" t="str">
        <f>HYPERLINK("http://www.ncbi.nlm.nih.gov/sutils/blink.cgi?pid=60602908","5.3")</f>
        <v>5.3</v>
      </c>
      <c r="T136" t="s">
        <v>842</v>
      </c>
      <c r="U136" s="4">
        <v>61</v>
      </c>
      <c r="V136" s="4">
        <v>20</v>
      </c>
      <c r="W136" t="s">
        <v>843</v>
      </c>
      <c r="X136" t="s">
        <v>1005</v>
      </c>
      <c r="Y136" t="s">
        <v>1005</v>
      </c>
      <c r="Z136" s="2" t="s">
        <v>324</v>
      </c>
      <c r="AA136" t="s">
        <v>324</v>
      </c>
      <c r="AB136" t="s">
        <v>324</v>
      </c>
      <c r="AC136" t="s">
        <v>324</v>
      </c>
      <c r="AD136" t="s">
        <v>324</v>
      </c>
      <c r="AE136" t="s">
        <v>324</v>
      </c>
      <c r="AF136" t="s">
        <v>324</v>
      </c>
      <c r="AG136" s="2" t="s">
        <v>324</v>
      </c>
      <c r="AH136" t="s">
        <v>324</v>
      </c>
      <c r="AI136" t="s">
        <v>324</v>
      </c>
      <c r="AJ136" s="2" t="s">
        <v>324</v>
      </c>
      <c r="AK136" t="s">
        <v>324</v>
      </c>
      <c r="AL136" t="s">
        <v>324</v>
      </c>
      <c r="AM136" s="2" t="s">
        <v>324</v>
      </c>
      <c r="AN136" t="s">
        <v>324</v>
      </c>
      <c r="AO136" s="2" t="s">
        <v>324</v>
      </c>
      <c r="AP136" t="s">
        <v>324</v>
      </c>
      <c r="AQ136" s="2" t="s">
        <v>324</v>
      </c>
      <c r="AR136" t="s">
        <v>324</v>
      </c>
      <c r="AS136" s="2" t="s">
        <v>324</v>
      </c>
      <c r="AT136" t="s">
        <v>324</v>
      </c>
    </row>
    <row r="137" spans="1:46" ht="11.25">
      <c r="A137" t="str">
        <f>HYPERLINK("http://exon.niaid.nih.gov/transcriptome/Tx_amboinensis_sialome/Table_1/links/TX-contig_470.txt","TX-contig_470")</f>
        <v>TX-contig_470</v>
      </c>
      <c r="B137" t="str">
        <f>HYPERLINK("http://exon.niaid.nih.gov/transcriptome/Tx_amboinensis_sialome/Table_1/links/TX-5-90-90-asb-470.txt","Contig-470")</f>
        <v>Contig-470</v>
      </c>
      <c r="C137" t="str">
        <f>HYPERLINK("http://exon.niaid.nih.gov/transcriptome/Tx_amboinensis_sialome/Table_1/links/TX-5-90-90-470-CLU.txt","Contig470")</f>
        <v>Contig470</v>
      </c>
      <c r="D137" s="4">
        <v>1</v>
      </c>
      <c r="E137">
        <v>212</v>
      </c>
      <c r="F137" t="s">
        <v>322</v>
      </c>
      <c r="G137">
        <v>66</v>
      </c>
      <c r="H137">
        <v>193</v>
      </c>
      <c r="I137">
        <v>470</v>
      </c>
      <c r="J137" t="s">
        <v>640</v>
      </c>
      <c r="K137">
        <v>193</v>
      </c>
      <c r="L137" s="3" t="s">
        <v>1035</v>
      </c>
      <c r="M137" s="4">
        <v>0</v>
      </c>
      <c r="N137" s="4">
        <v>0</v>
      </c>
      <c r="O137" s="4">
        <v>2</v>
      </c>
      <c r="P137" s="4">
        <v>0</v>
      </c>
      <c r="Q137" s="5" t="s">
        <v>1039</v>
      </c>
      <c r="R137" s="2" t="str">
        <f>HYPERLINK("http://exon.niaid.nih.gov/transcriptome/Tx_amboinensis_sialome/Table_1/links/NR\TX-contig_470-NR.txt","putative Ulp1 protease [Oryza sativ")</f>
        <v>putative Ulp1 protease [Oryza sativ</v>
      </c>
      <c r="S137" s="4" t="str">
        <f>HYPERLINK("http://www.ncbi.nlm.nih.gov/sutils/blink.cgi?pid=37531390","6.8")</f>
        <v>6.8</v>
      </c>
      <c r="T137" t="s">
        <v>1025</v>
      </c>
      <c r="U137" s="4">
        <v>29</v>
      </c>
      <c r="V137" s="4">
        <v>13</v>
      </c>
      <c r="W137" t="s">
        <v>1323</v>
      </c>
      <c r="X137" t="s">
        <v>61</v>
      </c>
      <c r="Y137" t="s">
        <v>1026</v>
      </c>
      <c r="Z137" s="2" t="s">
        <v>324</v>
      </c>
      <c r="AA137" t="s">
        <v>324</v>
      </c>
      <c r="AB137" t="s">
        <v>324</v>
      </c>
      <c r="AC137" t="s">
        <v>324</v>
      </c>
      <c r="AD137" t="s">
        <v>324</v>
      </c>
      <c r="AE137" t="s">
        <v>324</v>
      </c>
      <c r="AF137" t="s">
        <v>324</v>
      </c>
      <c r="AG137" s="2" t="str">
        <f>HYPERLINK("http://exon.niaid.nih.gov/transcriptome/Tx_amboinensis_sialome/Table_1/links/KOG\TX-contig_470-KOG.txt","RNA polymerase I, large subunit")</f>
        <v>RNA polymerase I, large subunit</v>
      </c>
      <c r="AH137" t="str">
        <f>HYPERLINK("http://www.ncbi.nlm.nih.gov/COG/new/shokog.cgi?KOG0262","0.15")</f>
        <v>0.15</v>
      </c>
      <c r="AI137" t="s">
        <v>855</v>
      </c>
      <c r="AJ137" s="2" t="str">
        <f>HYPERLINK("http://exon.niaid.nih.gov/transcriptome/Tx_amboinensis_sialome/Table_1/links/CDD\TX-contig_470-CDD.txt","TAS2R")</f>
        <v>TAS2R</v>
      </c>
      <c r="AK137" t="str">
        <f>HYPERLINK("http://www.ncbi.nlm.nih.gov/Structure/cdd/cddsrv.cgi?uid=pfam05296&amp;version=v4.0","0.088")</f>
        <v>0.088</v>
      </c>
      <c r="AL137" t="s">
        <v>1027</v>
      </c>
      <c r="AM137" s="2" t="str">
        <f>HYPERLINK("http://exon.niaid.nih.gov/transcriptome/Tx_amboinensis_sialome/Table_1/links/PFAM\TX-contig_470-PFAM.txt","TAS2R")</f>
        <v>TAS2R</v>
      </c>
      <c r="AN137" t="str">
        <f>HYPERLINK("http://pfam.wustl.edu/cgi-bin/getdesc?acc=PF05296","0.047")</f>
        <v>0.047</v>
      </c>
      <c r="AO137" s="2" t="str">
        <f>HYPERLINK("http://exon.niaid.nih.gov/transcriptome/Tx_amboinensis_sialome/Table_1/links/SMART\TX-contig_470-SMART.txt","ZnF_AN1")</f>
        <v>ZnF_AN1</v>
      </c>
      <c r="AP137" t="str">
        <f>HYPERLINK("http://smart.embl-heidelberg.de/smart/do_annotation.pl?DOMAIN=ZnF_AN1&amp;BLAST=DUMMY","0.55")</f>
        <v>0.55</v>
      </c>
      <c r="AQ137" s="2" t="s">
        <v>324</v>
      </c>
      <c r="AR137" t="s">
        <v>324</v>
      </c>
      <c r="AS137" s="2" t="s">
        <v>324</v>
      </c>
      <c r="AT137" t="s">
        <v>324</v>
      </c>
    </row>
    <row r="138" spans="1:46" ht="11.25">
      <c r="A138" t="str">
        <f>HYPERLINK("http://exon.niaid.nih.gov/transcriptome/Tx_amboinensis_sialome/Table_1/links/TX-contig_81.txt","TX-contig_81")</f>
        <v>TX-contig_81</v>
      </c>
      <c r="B138" t="str">
        <f>HYPERLINK("http://exon.niaid.nih.gov/transcriptome/Tx_amboinensis_sialome/Table_1/links/TX-5-90-90-asb-81.txt","Contig-81")</f>
        <v>Contig-81</v>
      </c>
      <c r="C138" t="str">
        <f>HYPERLINK("http://exon.niaid.nih.gov/transcriptome/Tx_amboinensis_sialome/Table_1/links/TX-5-90-90-81-CLU.txt","Contig81")</f>
        <v>Contig81</v>
      </c>
      <c r="D138" s="4">
        <v>1</v>
      </c>
      <c r="E138">
        <v>321</v>
      </c>
      <c r="F138" t="s">
        <v>322</v>
      </c>
      <c r="G138">
        <v>80.1</v>
      </c>
      <c r="H138">
        <v>223</v>
      </c>
      <c r="I138">
        <v>81</v>
      </c>
      <c r="J138" t="s">
        <v>399</v>
      </c>
      <c r="K138">
        <v>223</v>
      </c>
      <c r="L138" s="3" t="s">
        <v>1035</v>
      </c>
      <c r="M138" s="4">
        <v>0</v>
      </c>
      <c r="N138" s="4">
        <v>0</v>
      </c>
      <c r="O138" s="4">
        <v>1</v>
      </c>
      <c r="P138" s="4">
        <v>0</v>
      </c>
      <c r="Q138" s="5" t="s">
        <v>1039</v>
      </c>
      <c r="R138" s="2" t="str">
        <f>HYPERLINK("http://exon.niaid.nih.gov/transcriptome/Tx_amboinensis_sialome/Table_1/links/NR\TX-contig_81-NR.txt","hypothetical protein DDBDRAFT_01894")</f>
        <v>hypothetical protein DDBDRAFT_01894</v>
      </c>
      <c r="S138" s="4" t="str">
        <f>HYPERLINK("http://www.ncbi.nlm.nih.gov/sutils/blink.cgi?pid=66827663","7.0")</f>
        <v>7.0</v>
      </c>
      <c r="T138" t="s">
        <v>961</v>
      </c>
      <c r="U138" s="4">
        <v>31</v>
      </c>
      <c r="V138" s="4">
        <v>13</v>
      </c>
      <c r="W138" t="s">
        <v>132</v>
      </c>
      <c r="X138" t="s">
        <v>62</v>
      </c>
      <c r="Y138" t="s">
        <v>962</v>
      </c>
      <c r="Z138" s="2" t="s">
        <v>324</v>
      </c>
      <c r="AA138" t="s">
        <v>324</v>
      </c>
      <c r="AB138" t="s">
        <v>324</v>
      </c>
      <c r="AC138" t="s">
        <v>324</v>
      </c>
      <c r="AD138" t="s">
        <v>324</v>
      </c>
      <c r="AE138" t="s">
        <v>324</v>
      </c>
      <c r="AF138" t="s">
        <v>324</v>
      </c>
      <c r="AG138" s="2" t="str">
        <f>HYPERLINK("http://exon.niaid.nih.gov/transcriptome/Tx_amboinensis_sialome/Table_1/links/KOG\TX-contig_81-KOG.txt","Ubiquitin-specific protease")</f>
        <v>Ubiquitin-specific protease</v>
      </c>
      <c r="AH138" t="str">
        <f>HYPERLINK("http://www.ncbi.nlm.nih.gov/COG/new/shokog.cgi?KOG1864","0.60")</f>
        <v>0.60</v>
      </c>
      <c r="AI138" t="s">
        <v>221</v>
      </c>
      <c r="AJ138" s="2" t="str">
        <f>HYPERLINK("http://exon.niaid.nih.gov/transcriptome/Tx_amboinensis_sialome/Table_1/links/CDD\TX-contig_81-CDD.txt","SdrC")</f>
        <v>SdrC</v>
      </c>
      <c r="AK138" t="str">
        <f>HYPERLINK("http://www.ncbi.nlm.nih.gov/Structure/cdd/cddsrv.cgi?uid=COG3480&amp;version=v4.0","0.48")</f>
        <v>0.48</v>
      </c>
      <c r="AL138" t="s">
        <v>963</v>
      </c>
      <c r="AM138" s="2" t="str">
        <f>HYPERLINK("http://exon.niaid.nih.gov/transcriptome/Tx_amboinensis_sialome/Table_1/links/PFAM\TX-contig_81-PFAM.txt","NAD4L")</f>
        <v>NAD4L</v>
      </c>
      <c r="AN138" t="str">
        <f>HYPERLINK("http://pfam.wustl.edu/cgi-bin/getdesc?acc=PF06235","0.34")</f>
        <v>0.34</v>
      </c>
      <c r="AO138" s="2" t="str">
        <f>HYPERLINK("http://exon.niaid.nih.gov/transcriptome/Tx_amboinensis_sialome/Table_1/links/SMART\TX-contig_81-SMART.txt","TOPEUc")</f>
        <v>TOPEUc</v>
      </c>
      <c r="AP138" t="str">
        <f>HYPERLINK("http://smart.embl-heidelberg.de/smart/do_annotation.pl?DOMAIN=TOPEUc&amp;BLAST=DUMMY","0.56")</f>
        <v>0.56</v>
      </c>
      <c r="AQ138" s="2" t="s">
        <v>324</v>
      </c>
      <c r="AR138" t="s">
        <v>324</v>
      </c>
      <c r="AS138" s="2" t="s">
        <v>324</v>
      </c>
      <c r="AT138" t="s">
        <v>324</v>
      </c>
    </row>
    <row r="139" spans="1:46" ht="11.25">
      <c r="A139" t="str">
        <f>HYPERLINK("http://exon.niaid.nih.gov/transcriptome/Tx_amboinensis_sialome/Table_1/links/TX-contig_292.txt","TX-contig_292")</f>
        <v>TX-contig_292</v>
      </c>
      <c r="B139" t="str">
        <f>HYPERLINK("http://exon.niaid.nih.gov/transcriptome/Tx_amboinensis_sialome/Table_1/links/TX-5-90-90-asb-292.txt","Contig-292")</f>
        <v>Contig-292</v>
      </c>
      <c r="C139" t="str">
        <f>HYPERLINK("http://exon.niaid.nih.gov/transcriptome/Tx_amboinensis_sialome/Table_1/links/TX-5-90-90-292-CLU.txt","Contig292")</f>
        <v>Contig292</v>
      </c>
      <c r="D139" s="4">
        <v>1</v>
      </c>
      <c r="E139">
        <v>313</v>
      </c>
      <c r="F139">
        <v>0.3</v>
      </c>
      <c r="G139">
        <v>68.7</v>
      </c>
      <c r="H139">
        <v>294</v>
      </c>
      <c r="I139">
        <v>292</v>
      </c>
      <c r="J139" t="s">
        <v>605</v>
      </c>
      <c r="K139">
        <v>294</v>
      </c>
      <c r="L139" s="3" t="s">
        <v>1035</v>
      </c>
      <c r="M139" s="4">
        <v>0</v>
      </c>
      <c r="N139" s="4">
        <v>0</v>
      </c>
      <c r="O139" s="4">
        <v>1</v>
      </c>
      <c r="P139" s="4">
        <v>0</v>
      </c>
      <c r="Q139" s="5" t="s">
        <v>1039</v>
      </c>
      <c r="R139" s="2" t="str">
        <f>HYPERLINK("http://exon.niaid.nih.gov/transcriptome/Tx_amboinensis_sialome/Table_1/links/NR\TX-contig_292-NR.txt","conserved hypothetical protein [Para")</f>
        <v>conserved hypothetical protein [Para</v>
      </c>
      <c r="S139" s="4" t="str">
        <f>HYPERLINK("http://www.ncbi.nlm.nih.gov/sutils/blink.cgi?pid=46400393","8.9")</f>
        <v>8.9</v>
      </c>
      <c r="T139" t="s">
        <v>738</v>
      </c>
      <c r="U139" s="4">
        <v>29</v>
      </c>
      <c r="V139" s="4">
        <v>9</v>
      </c>
      <c r="W139" t="s">
        <v>739</v>
      </c>
      <c r="X139" t="s">
        <v>63</v>
      </c>
      <c r="Y139" t="s">
        <v>740</v>
      </c>
      <c r="Z139" s="2" t="s">
        <v>324</v>
      </c>
      <c r="AA139" t="s">
        <v>324</v>
      </c>
      <c r="AB139" t="s">
        <v>324</v>
      </c>
      <c r="AC139" t="s">
        <v>324</v>
      </c>
      <c r="AD139" t="s">
        <v>324</v>
      </c>
      <c r="AE139" t="s">
        <v>324</v>
      </c>
      <c r="AF139" t="s">
        <v>324</v>
      </c>
      <c r="AG139" s="2" t="str">
        <f>HYPERLINK("http://exon.niaid.nih.gov/transcriptome/Tx_amboinensis_sialome/Table_1/links/KOG\TX-contig_292-KOG.txt","Acyl-CoA synthetase")</f>
        <v>Acyl-CoA synthetase</v>
      </c>
      <c r="AH139" t="str">
        <f>HYPERLINK("http://www.ncbi.nlm.nih.gov/COG/new/shokog.cgi?KOG1176","0.52")</f>
        <v>0.52</v>
      </c>
      <c r="AI139" t="s">
        <v>913</v>
      </c>
      <c r="AJ139" s="2" t="s">
        <v>324</v>
      </c>
      <c r="AK139" t="s">
        <v>324</v>
      </c>
      <c r="AL139" t="s">
        <v>324</v>
      </c>
      <c r="AM139" s="2" t="s">
        <v>324</v>
      </c>
      <c r="AN139" t="s">
        <v>324</v>
      </c>
      <c r="AO139" s="2" t="s">
        <v>324</v>
      </c>
      <c r="AP139" t="s">
        <v>324</v>
      </c>
      <c r="AQ139" s="2" t="s">
        <v>324</v>
      </c>
      <c r="AR139" t="s">
        <v>324</v>
      </c>
      <c r="AS139" s="2" t="s">
        <v>324</v>
      </c>
      <c r="AT139" t="s">
        <v>324</v>
      </c>
    </row>
    <row r="140" spans="1:46" ht="11.25">
      <c r="A140" t="str">
        <f>HYPERLINK("http://exon.niaid.nih.gov/transcriptome/Tx_amboinensis_sialome/Table_1/links/TX-contig_177.txt","TX-contig_177")</f>
        <v>TX-contig_177</v>
      </c>
      <c r="B140" t="str">
        <f>HYPERLINK("http://exon.niaid.nih.gov/transcriptome/Tx_amboinensis_sialome/Table_1/links/TX-5-90-90-asb-177.txt","Contig-177")</f>
        <v>Contig-177</v>
      </c>
      <c r="C140" t="str">
        <f>HYPERLINK("http://exon.niaid.nih.gov/transcriptome/Tx_amboinensis_sialome/Table_1/links/TX-5-90-90-177-CLU.txt","Contig177")</f>
        <v>Contig177</v>
      </c>
      <c r="D140" s="4">
        <v>1</v>
      </c>
      <c r="E140">
        <v>150</v>
      </c>
      <c r="F140">
        <v>4</v>
      </c>
      <c r="G140">
        <v>44.7</v>
      </c>
      <c r="H140" t="s">
        <v>324</v>
      </c>
      <c r="I140">
        <v>177</v>
      </c>
      <c r="J140" t="s">
        <v>490</v>
      </c>
      <c r="K140" t="s">
        <v>324</v>
      </c>
      <c r="L140" s="3" t="s">
        <v>1035</v>
      </c>
      <c r="M140" s="4">
        <v>0</v>
      </c>
      <c r="N140" s="4">
        <v>0</v>
      </c>
      <c r="O140" s="4">
        <v>1</v>
      </c>
      <c r="P140" s="4">
        <v>0</v>
      </c>
      <c r="Q140" s="5" t="s">
        <v>1039</v>
      </c>
      <c r="R140" s="2" t="str">
        <f>HYPERLINK("http://exon.niaid.nih.gov/transcriptome/Tx_amboinensis_sialome/Table_1/links/NR\TX-contig_177-NR.txt","conserved hypothetical protein [Zymom")</f>
        <v>conserved hypothetical protein [Zymom</v>
      </c>
      <c r="S140" s="4" t="str">
        <f>HYPERLINK("http://www.ncbi.nlm.nih.gov/sutils/blink.cgi?pid=56544057","9.2")</f>
        <v>9.2</v>
      </c>
      <c r="T140" t="s">
        <v>64</v>
      </c>
      <c r="U140" s="4">
        <v>46</v>
      </c>
      <c r="V140" s="4">
        <v>22</v>
      </c>
      <c r="W140" t="s">
        <v>1315</v>
      </c>
      <c r="X140" t="s">
        <v>65</v>
      </c>
      <c r="Y140" t="s">
        <v>1316</v>
      </c>
      <c r="Z140" s="2" t="s">
        <v>324</v>
      </c>
      <c r="AA140" t="s">
        <v>324</v>
      </c>
      <c r="AB140" t="s">
        <v>324</v>
      </c>
      <c r="AC140" t="s">
        <v>324</v>
      </c>
      <c r="AD140" t="s">
        <v>324</v>
      </c>
      <c r="AE140" t="s">
        <v>324</v>
      </c>
      <c r="AF140" t="s">
        <v>324</v>
      </c>
      <c r="AG140" s="2" t="s">
        <v>324</v>
      </c>
      <c r="AH140" t="s">
        <v>324</v>
      </c>
      <c r="AI140" t="s">
        <v>324</v>
      </c>
      <c r="AJ140" s="2" t="s">
        <v>324</v>
      </c>
      <c r="AK140" t="s">
        <v>324</v>
      </c>
      <c r="AL140" t="s">
        <v>324</v>
      </c>
      <c r="AM140" s="2" t="s">
        <v>324</v>
      </c>
      <c r="AN140" t="s">
        <v>324</v>
      </c>
      <c r="AO140" s="2" t="str">
        <f>HYPERLINK("http://exon.niaid.nih.gov/transcriptome/Tx_amboinensis_sialome/Table_1/links/SMART\TX-contig_177-SMART.txt","PGRP")</f>
        <v>PGRP</v>
      </c>
      <c r="AP140" t="str">
        <f>HYPERLINK("http://smart.embl-heidelberg.de/smart/do_annotation.pl?DOMAIN=PGRP&amp;BLAST=DUMMY","0.97")</f>
        <v>0.97</v>
      </c>
      <c r="AQ140" s="2" t="s">
        <v>324</v>
      </c>
      <c r="AR140" t="s">
        <v>324</v>
      </c>
      <c r="AS140" s="2" t="s">
        <v>324</v>
      </c>
      <c r="AT140" t="s">
        <v>324</v>
      </c>
    </row>
    <row r="141" spans="1:46" ht="11.25">
      <c r="A141" t="str">
        <f>HYPERLINK("http://exon.niaid.nih.gov/transcriptome/Tx_amboinensis_sialome/Table_1/links/TX-contig_271.txt","TX-contig_271")</f>
        <v>TX-contig_271</v>
      </c>
      <c r="B141" t="str">
        <f>HYPERLINK("http://exon.niaid.nih.gov/transcriptome/Tx_amboinensis_sialome/Table_1/links/TX-5-90-90-asb-271.txt","Contig-271")</f>
        <v>Contig-271</v>
      </c>
      <c r="C141" t="str">
        <f>HYPERLINK("http://exon.niaid.nih.gov/transcriptome/Tx_amboinensis_sialome/Table_1/links/TX-5-90-90-271-CLU.txt","Contig271")</f>
        <v>Contig271</v>
      </c>
      <c r="D141" s="4">
        <v>1</v>
      </c>
      <c r="E141">
        <v>487</v>
      </c>
      <c r="F141" t="s">
        <v>322</v>
      </c>
      <c r="G141">
        <v>63.2</v>
      </c>
      <c r="H141">
        <v>468</v>
      </c>
      <c r="I141">
        <v>271</v>
      </c>
      <c r="J141" t="s">
        <v>584</v>
      </c>
      <c r="K141">
        <v>468</v>
      </c>
      <c r="L141" s="3" t="s">
        <v>1035</v>
      </c>
      <c r="M141" s="4">
        <v>0</v>
      </c>
      <c r="N141" s="4">
        <v>0</v>
      </c>
      <c r="O141" s="4">
        <v>1</v>
      </c>
      <c r="P141" s="4">
        <v>0</v>
      </c>
      <c r="Q141" s="5" t="s">
        <v>1039</v>
      </c>
      <c r="R141" s="2" t="str">
        <f>HYPERLINK("http://exon.niaid.nih.gov/transcriptome/Tx_amboinensis_sialome/Table_1/links/NR\TX-contig_271-NR.txt","Hypothetical protein CBG17741 [Caeno")</f>
        <v>Hypothetical protein CBG17741 [Caeno</v>
      </c>
      <c r="S141" s="4" t="str">
        <f>HYPERLINK("http://www.ncbi.nlm.nih.gov/sutils/blink.cgi?pid=39595070","9.7")</f>
        <v>9.7</v>
      </c>
      <c r="T141" t="s">
        <v>971</v>
      </c>
      <c r="U141" s="4">
        <v>42</v>
      </c>
      <c r="V141" s="4">
        <v>7</v>
      </c>
      <c r="W141" t="s">
        <v>815</v>
      </c>
      <c r="X141" t="s">
        <v>66</v>
      </c>
      <c r="Y141" t="s">
        <v>972</v>
      </c>
      <c r="Z141" s="2" t="s">
        <v>324</v>
      </c>
      <c r="AA141" t="s">
        <v>324</v>
      </c>
      <c r="AB141" t="s">
        <v>324</v>
      </c>
      <c r="AC141" t="s">
        <v>324</v>
      </c>
      <c r="AD141" t="s">
        <v>324</v>
      </c>
      <c r="AE141" t="s">
        <v>324</v>
      </c>
      <c r="AF141" t="s">
        <v>324</v>
      </c>
      <c r="AG141" s="2" t="str">
        <f>HYPERLINK("http://exon.niaid.nih.gov/transcriptome/Tx_amboinensis_sialome/Table_1/links/KOG\TX-contig_271-KOG.txt","Cell cycle-associated protein Mob1-1")</f>
        <v>Cell cycle-associated protein Mob1-1</v>
      </c>
      <c r="AH141" t="str">
        <f>HYPERLINK("http://www.ncbi.nlm.nih.gov/COG/new/shokog.cgi?KOG0440","0.50")</f>
        <v>0.50</v>
      </c>
      <c r="AI141" t="s">
        <v>225</v>
      </c>
      <c r="AJ141" s="2" t="str">
        <f>HYPERLINK("http://exon.niaid.nih.gov/transcriptome/Tx_amboinensis_sialome/Table_1/links/CDD\TX-contig_271-CDD.txt","CT")</f>
        <v>CT</v>
      </c>
      <c r="AK141" t="str">
        <f>HYPERLINK("http://www.ncbi.nlm.nih.gov/Structure/cdd/cddsrv.cgi?uid=smart00041&amp;version=v4.0","0.82")</f>
        <v>0.82</v>
      </c>
      <c r="AL141" t="s">
        <v>973</v>
      </c>
      <c r="AM141" s="2" t="str">
        <f>HYPERLINK("http://exon.niaid.nih.gov/transcriptome/Tx_amboinensis_sialome/Table_1/links/PFAM\TX-contig_271-PFAM.txt","F-actin_cap_A")</f>
        <v>F-actin_cap_A</v>
      </c>
      <c r="AN141" t="str">
        <f>HYPERLINK("http://pfam.wustl.edu/cgi-bin/getdesc?acc=PF01267","0.76")</f>
        <v>0.76</v>
      </c>
      <c r="AO141" s="2" t="str">
        <f>HYPERLINK("http://exon.niaid.nih.gov/transcriptome/Tx_amboinensis_sialome/Table_1/links/SMART\TX-contig_271-SMART.txt","CT")</f>
        <v>CT</v>
      </c>
      <c r="AP141" t="str">
        <f>HYPERLINK("http://smart.embl-heidelberg.de/smart/do_annotation.pl?DOMAIN=CT&amp;BLAST=DUMMY","0.023")</f>
        <v>0.023</v>
      </c>
      <c r="AQ141" s="2" t="s">
        <v>324</v>
      </c>
      <c r="AR141" t="s">
        <v>324</v>
      </c>
      <c r="AS141" s="2" t="s">
        <v>324</v>
      </c>
      <c r="AT141" t="s">
        <v>324</v>
      </c>
    </row>
    <row r="142" spans="1:46" ht="11.25">
      <c r="A142" t="str">
        <f>HYPERLINK("http://exon.niaid.nih.gov/transcriptome/Tx_amboinensis_sialome/Table_1/links/TX-contig_333.txt","TX-contig_333")</f>
        <v>TX-contig_333</v>
      </c>
      <c r="B142" t="str">
        <f>HYPERLINK("http://exon.niaid.nih.gov/transcriptome/Tx_amboinensis_sialome/Table_1/links/TX-5-90-90-asb-333.txt","Contig-333")</f>
        <v>Contig-333</v>
      </c>
      <c r="C142" t="str">
        <f>HYPERLINK("http://exon.niaid.nih.gov/transcriptome/Tx_amboinensis_sialome/Table_1/links/TX-5-90-90-333-CLU.txt","Contig333")</f>
        <v>Contig333</v>
      </c>
      <c r="D142" s="4">
        <v>1</v>
      </c>
      <c r="E142">
        <v>244</v>
      </c>
      <c r="F142" t="s">
        <v>322</v>
      </c>
      <c r="G142">
        <v>68.4</v>
      </c>
      <c r="H142">
        <v>225</v>
      </c>
      <c r="I142">
        <v>333</v>
      </c>
      <c r="J142" t="s">
        <v>1187</v>
      </c>
      <c r="K142">
        <v>225</v>
      </c>
      <c r="L142" s="3" t="s">
        <v>1035</v>
      </c>
      <c r="M142" s="4">
        <v>0</v>
      </c>
      <c r="N142" s="4">
        <v>0</v>
      </c>
      <c r="O142" s="4">
        <v>2</v>
      </c>
      <c r="P142" s="4">
        <v>0</v>
      </c>
      <c r="Q142" s="5" t="s">
        <v>1039</v>
      </c>
      <c r="R142" s="2" t="str">
        <f>HYPERLINK("http://exon.niaid.nih.gov/transcriptome/Tx_amboinensis_sialome/Table_1/links/NR\TX-contig_333-NR.txt","Camar1 transposase [Chymomyza amoena]       32      12")</f>
        <v>Camar1 transposase [Chymomyza amoena]       32      12</v>
      </c>
      <c r="S142" s="4" t="str">
        <f>HYPERLINK("http://www.ncbi.nlm.nih.gov/sutils/blink.cgi?pid=27465077","12")</f>
        <v>12</v>
      </c>
      <c r="T142" t="s">
        <v>756</v>
      </c>
      <c r="U142" s="4">
        <v>34</v>
      </c>
      <c r="V142" s="4">
        <v>15</v>
      </c>
      <c r="W142" t="s">
        <v>757</v>
      </c>
      <c r="X142" t="s">
        <v>67</v>
      </c>
      <c r="Y142" t="s">
        <v>758</v>
      </c>
      <c r="Z142" s="2" t="s">
        <v>324</v>
      </c>
      <c r="AA142" t="s">
        <v>324</v>
      </c>
      <c r="AB142" t="s">
        <v>324</v>
      </c>
      <c r="AC142" t="s">
        <v>324</v>
      </c>
      <c r="AD142" t="s">
        <v>324</v>
      </c>
      <c r="AE142" t="s">
        <v>324</v>
      </c>
      <c r="AF142" t="s">
        <v>324</v>
      </c>
      <c r="AG142" s="2" t="str">
        <f>HYPERLINK("http://exon.niaid.nih.gov/transcriptome/Tx_amboinensis_sialome/Table_1/links/KOG\TX-contig_333-KOG.txt","Dystrophin-like protein")</f>
        <v>Dystrophin-like protein</v>
      </c>
      <c r="AH142" t="str">
        <f>HYPERLINK("http://www.ncbi.nlm.nih.gov/COG/new/shokog.cgi?KOG4286","0.14")</f>
        <v>0.14</v>
      </c>
      <c r="AI142" t="s">
        <v>759</v>
      </c>
      <c r="AJ142" s="2" t="str">
        <f>HYPERLINK("http://exon.niaid.nih.gov/transcriptome/Tx_amboinensis_sialome/Table_1/links/CDD\TX-contig_333-CDD.txt","TOP4c")</f>
        <v>TOP4c</v>
      </c>
      <c r="AK142" t="str">
        <f>HYPERLINK("http://www.ncbi.nlm.nih.gov/Structure/cdd/cddsrv.cgi?uid=smart00434&amp;version=v4.0","0.77")</f>
        <v>0.77</v>
      </c>
      <c r="AL142" t="s">
        <v>760</v>
      </c>
      <c r="AM142" s="2" t="str">
        <f>HYPERLINK("http://exon.niaid.nih.gov/transcriptome/Tx_amboinensis_sialome/Table_1/links/PFAM\TX-contig_333-PFAM.txt","NB-ARC")</f>
        <v>NB-ARC</v>
      </c>
      <c r="AN142" t="str">
        <f>HYPERLINK("http://pfam.wustl.edu/cgi-bin/getdesc?acc=PF00931","0.64")</f>
        <v>0.64</v>
      </c>
      <c r="AO142" s="2" t="str">
        <f>HYPERLINK("http://exon.niaid.nih.gov/transcriptome/Tx_amboinensis_sialome/Table_1/links/SMART\TX-contig_333-SMART.txt","TOP4c")</f>
        <v>TOP4c</v>
      </c>
      <c r="AP142" t="str">
        <f>HYPERLINK("http://smart.embl-heidelberg.de/smart/do_annotation.pl?DOMAIN=TOP4c&amp;BLAST=DUMMY","0.021")</f>
        <v>0.021</v>
      </c>
      <c r="AQ142" s="2" t="s">
        <v>324</v>
      </c>
      <c r="AR142" t="s">
        <v>324</v>
      </c>
      <c r="AS142" s="2" t="s">
        <v>324</v>
      </c>
      <c r="AT142" t="s">
        <v>324</v>
      </c>
    </row>
    <row r="143" spans="1:46" ht="11.25">
      <c r="A143" t="str">
        <f>HYPERLINK("http://exon.niaid.nih.gov/transcriptome/Tx_amboinensis_sialome/Table_1/links/TX-contig_334.txt","TX-contig_334")</f>
        <v>TX-contig_334</v>
      </c>
      <c r="B143" t="str">
        <f>HYPERLINK("http://exon.niaid.nih.gov/transcriptome/Tx_amboinensis_sialome/Table_1/links/TX-5-90-90-asb-334.txt","Contig-334")</f>
        <v>Contig-334</v>
      </c>
      <c r="C143" t="str">
        <f>HYPERLINK("http://exon.niaid.nih.gov/transcriptome/Tx_amboinensis_sialome/Table_1/links/TX-5-90-90-334-CLU.txt","Contig334")</f>
        <v>Contig334</v>
      </c>
      <c r="D143" s="4">
        <v>1</v>
      </c>
      <c r="E143">
        <v>162</v>
      </c>
      <c r="F143" t="s">
        <v>322</v>
      </c>
      <c r="G143">
        <v>77.2</v>
      </c>
      <c r="H143">
        <v>143</v>
      </c>
      <c r="I143">
        <v>334</v>
      </c>
      <c r="J143" t="s">
        <v>1188</v>
      </c>
      <c r="K143">
        <v>143</v>
      </c>
      <c r="L143" s="3" t="s">
        <v>1035</v>
      </c>
      <c r="M143" s="4">
        <v>0</v>
      </c>
      <c r="N143" s="4">
        <v>0</v>
      </c>
      <c r="O143" s="4">
        <v>1</v>
      </c>
      <c r="P143" s="4">
        <v>0</v>
      </c>
      <c r="Q143" s="5" t="s">
        <v>1039</v>
      </c>
      <c r="R143" s="2" t="str">
        <f>HYPERLINK("http://exon.niaid.nih.gov/transcriptome/Tx_amboinensis_sialome/Table_1/links/NR\TX-contig_334-NR.txt","cytochrome P-450 S-mephenytoin 4-hydrox")</f>
        <v>cytochrome P-450 S-mephenytoin 4-hydrox</v>
      </c>
      <c r="S143" s="4" t="str">
        <f>HYPERLINK("http://www.ncbi.nlm.nih.gov/sutils/blink.cgi?pid=181368","12")</f>
        <v>12</v>
      </c>
      <c r="T143" t="s">
        <v>761</v>
      </c>
      <c r="U143" s="4">
        <v>45</v>
      </c>
      <c r="V143" s="4">
        <v>8</v>
      </c>
      <c r="W143" t="s">
        <v>324</v>
      </c>
      <c r="X143" t="s">
        <v>762</v>
      </c>
      <c r="Y143" t="s">
        <v>762</v>
      </c>
      <c r="Z143" s="2" t="s">
        <v>324</v>
      </c>
      <c r="AA143" t="s">
        <v>324</v>
      </c>
      <c r="AB143" t="s">
        <v>324</v>
      </c>
      <c r="AC143" t="s">
        <v>324</v>
      </c>
      <c r="AD143" t="s">
        <v>324</v>
      </c>
      <c r="AE143" t="s">
        <v>324</v>
      </c>
      <c r="AF143" t="s">
        <v>324</v>
      </c>
      <c r="AG143" s="2" t="s">
        <v>324</v>
      </c>
      <c r="AH143" t="s">
        <v>324</v>
      </c>
      <c r="AI143" t="s">
        <v>324</v>
      </c>
      <c r="AJ143" s="2" t="s">
        <v>324</v>
      </c>
      <c r="AK143" t="s">
        <v>324</v>
      </c>
      <c r="AL143" t="s">
        <v>324</v>
      </c>
      <c r="AM143" s="2" t="s">
        <v>324</v>
      </c>
      <c r="AN143" t="s">
        <v>324</v>
      </c>
      <c r="AO143" s="2" t="str">
        <f>HYPERLINK("http://exon.niaid.nih.gov/transcriptome/Tx_amboinensis_sialome/Table_1/links/SMART\TX-contig_334-SMART.txt","PTPc")</f>
        <v>PTPc</v>
      </c>
      <c r="AP143" t="str">
        <f>HYPERLINK("http://smart.embl-heidelberg.de/smart/do_annotation.pl?DOMAIN=PTPc&amp;BLAST=DUMMY","0.54")</f>
        <v>0.54</v>
      </c>
      <c r="AQ143" s="2" t="s">
        <v>324</v>
      </c>
      <c r="AR143" t="s">
        <v>324</v>
      </c>
      <c r="AS143" s="2" t="s">
        <v>324</v>
      </c>
      <c r="AT143" t="s">
        <v>324</v>
      </c>
    </row>
    <row r="144" spans="1:46" ht="11.25">
      <c r="A144" t="str">
        <f>HYPERLINK("http://exon.niaid.nih.gov/transcriptome/Tx_amboinensis_sialome/Table_1/links/TX-contig_61.txt","TX-contig_61")</f>
        <v>TX-contig_61</v>
      </c>
      <c r="B144" t="str">
        <f>HYPERLINK("http://exon.niaid.nih.gov/transcriptome/Tx_amboinensis_sialome/Table_1/links/TX-5-90-90-asb-61.txt","Contig-61")</f>
        <v>Contig-61</v>
      </c>
      <c r="C144" t="str">
        <f>HYPERLINK("http://exon.niaid.nih.gov/transcriptome/Tx_amboinensis_sialome/Table_1/links/TX-5-90-90-61-CLU.txt","Contig61")</f>
        <v>Contig61</v>
      </c>
      <c r="D144" s="4">
        <v>1</v>
      </c>
      <c r="E144">
        <v>189</v>
      </c>
      <c r="F144" t="s">
        <v>322</v>
      </c>
      <c r="G144">
        <v>58.7</v>
      </c>
      <c r="H144">
        <v>170</v>
      </c>
      <c r="I144">
        <v>61</v>
      </c>
      <c r="J144" t="s">
        <v>381</v>
      </c>
      <c r="K144">
        <v>170</v>
      </c>
      <c r="L144" s="3" t="s">
        <v>1035</v>
      </c>
      <c r="M144" s="4">
        <v>0</v>
      </c>
      <c r="N144" s="4">
        <v>0</v>
      </c>
      <c r="O144" s="4">
        <v>2</v>
      </c>
      <c r="P144" s="4">
        <v>0</v>
      </c>
      <c r="Q144" s="5" t="s">
        <v>1039</v>
      </c>
      <c r="R144" s="2" t="str">
        <f>HYPERLINK("http://exon.niaid.nih.gov/transcriptome/Tx_amboinensis_sialome/Table_1/links/NR\TX-contig_61-NR.txt","56kDa selenium binding [Ralstonia eut")</f>
        <v>56kDa selenium binding [Ralstonia eut</v>
      </c>
      <c r="S144" s="4" t="str">
        <f>HYPERLINK("http://www.ncbi.nlm.nih.gov/sutils/blink.cgi?pid=72122201","12")</f>
        <v>12</v>
      </c>
      <c r="T144" t="s">
        <v>824</v>
      </c>
      <c r="U144" s="4">
        <v>46</v>
      </c>
      <c r="V144" s="4">
        <v>6</v>
      </c>
      <c r="W144" t="s">
        <v>825</v>
      </c>
      <c r="X144" t="s">
        <v>68</v>
      </c>
      <c r="Y144" t="s">
        <v>826</v>
      </c>
      <c r="Z144" s="2" t="s">
        <v>324</v>
      </c>
      <c r="AA144" t="s">
        <v>324</v>
      </c>
      <c r="AB144" t="s">
        <v>324</v>
      </c>
      <c r="AC144" t="s">
        <v>324</v>
      </c>
      <c r="AD144" t="s">
        <v>324</v>
      </c>
      <c r="AE144" t="s">
        <v>324</v>
      </c>
      <c r="AF144" t="s">
        <v>324</v>
      </c>
      <c r="AG144" s="2" t="s">
        <v>324</v>
      </c>
      <c r="AH144" t="s">
        <v>324</v>
      </c>
      <c r="AI144" t="s">
        <v>324</v>
      </c>
      <c r="AJ144" s="2" t="str">
        <f>HYPERLINK("http://exon.niaid.nih.gov/transcriptome/Tx_amboinensis_sialome/Table_1/links/CDD\TX-contig_61-CDD.txt","SBP56")</f>
        <v>SBP56</v>
      </c>
      <c r="AK144" t="str">
        <f>HYPERLINK("http://www.ncbi.nlm.nih.gov/Structure/cdd/cddsrv.cgi?uid=pfam05694&amp;version=v4.0","0.17")</f>
        <v>0.17</v>
      </c>
      <c r="AL144" t="s">
        <v>827</v>
      </c>
      <c r="AM144" s="2" t="str">
        <f>HYPERLINK("http://exon.niaid.nih.gov/transcriptome/Tx_amboinensis_sialome/Table_1/links/PFAM\TX-contig_61-PFAM.txt","SBP56")</f>
        <v>SBP56</v>
      </c>
      <c r="AN144" t="str">
        <f>HYPERLINK("http://pfam.wustl.edu/cgi-bin/getdesc?acc=PF05694","0.090")</f>
        <v>0.090</v>
      </c>
      <c r="AO144" s="2" t="str">
        <f>HYPERLINK("http://exon.niaid.nih.gov/transcriptome/Tx_amboinensis_sialome/Table_1/links/SMART\TX-contig_61-SMART.txt","CW")</f>
        <v>CW</v>
      </c>
      <c r="AP144" t="str">
        <f>HYPERLINK("http://smart.embl-heidelberg.de/smart/do_annotation.pl?DOMAIN=CW&amp;BLAST=DUMMY","0.056")</f>
        <v>0.056</v>
      </c>
      <c r="AQ144" s="2" t="s">
        <v>324</v>
      </c>
      <c r="AR144" t="s">
        <v>324</v>
      </c>
      <c r="AS144" s="2" t="s">
        <v>324</v>
      </c>
      <c r="AT144" t="s">
        <v>324</v>
      </c>
    </row>
    <row r="145" spans="1:46" ht="11.25">
      <c r="A145" t="str">
        <f>HYPERLINK("http://exon.niaid.nih.gov/transcriptome/Tx_amboinensis_sialome/Table_1/links/TX-contig_456.txt","TX-contig_456")</f>
        <v>TX-contig_456</v>
      </c>
      <c r="B145" t="str">
        <f>HYPERLINK("http://exon.niaid.nih.gov/transcriptome/Tx_amboinensis_sialome/Table_1/links/TX-5-90-90-asb-456.txt","Contig-456")</f>
        <v>Contig-456</v>
      </c>
      <c r="C145" t="str">
        <f>HYPERLINK("http://exon.niaid.nih.gov/transcriptome/Tx_amboinensis_sialome/Table_1/links/TX-5-90-90-456-CLU.txt","Contig456")</f>
        <v>Contig456</v>
      </c>
      <c r="D145" s="4">
        <v>1</v>
      </c>
      <c r="E145">
        <v>107</v>
      </c>
      <c r="F145">
        <v>0.9</v>
      </c>
      <c r="G145">
        <v>69.2</v>
      </c>
      <c r="H145">
        <v>88</v>
      </c>
      <c r="I145">
        <v>456</v>
      </c>
      <c r="J145" t="s">
        <v>626</v>
      </c>
      <c r="K145">
        <v>88</v>
      </c>
      <c r="L145" s="3" t="s">
        <v>1035</v>
      </c>
      <c r="M145" s="4">
        <v>0</v>
      </c>
      <c r="N145" s="4">
        <v>0</v>
      </c>
      <c r="O145" s="4">
        <v>1</v>
      </c>
      <c r="P145" s="4">
        <v>0</v>
      </c>
      <c r="Q145" s="5" t="s">
        <v>1039</v>
      </c>
      <c r="R145" s="2" t="str">
        <f>HYPERLINK("http://exon.niaid.nih.gov/transcriptome/Tx_amboinensis_sialome/Table_1/links/NR\TX-contig_456-NR.txt","ABC-type amino acid transport/signa")</f>
        <v>ABC-type amino acid transport/signa</v>
      </c>
      <c r="S145" s="4" t="str">
        <f>HYPERLINK("http://www.ncbi.nlm.nih.gov/sutils/blink.cgi?pid=83647025","12")</f>
        <v>12</v>
      </c>
      <c r="T145" t="s">
        <v>1010</v>
      </c>
      <c r="U145" s="4">
        <v>60</v>
      </c>
      <c r="V145" s="4">
        <v>7</v>
      </c>
      <c r="W145" t="s">
        <v>1011</v>
      </c>
      <c r="X145" t="s">
        <v>1012</v>
      </c>
      <c r="Y145" t="s">
        <v>1012</v>
      </c>
      <c r="Z145" s="2" t="s">
        <v>324</v>
      </c>
      <c r="AA145" t="s">
        <v>324</v>
      </c>
      <c r="AB145" t="s">
        <v>324</v>
      </c>
      <c r="AC145" t="s">
        <v>324</v>
      </c>
      <c r="AD145" t="s">
        <v>324</v>
      </c>
      <c r="AE145" t="s">
        <v>324</v>
      </c>
      <c r="AF145" t="s">
        <v>324</v>
      </c>
      <c r="AG145" s="2" t="s">
        <v>324</v>
      </c>
      <c r="AH145" t="s">
        <v>324</v>
      </c>
      <c r="AI145" t="s">
        <v>324</v>
      </c>
      <c r="AJ145" s="2" t="s">
        <v>324</v>
      </c>
      <c r="AK145" t="s">
        <v>324</v>
      </c>
      <c r="AL145" t="s">
        <v>324</v>
      </c>
      <c r="AM145" s="2" t="s">
        <v>324</v>
      </c>
      <c r="AN145" t="s">
        <v>324</v>
      </c>
      <c r="AO145" s="2" t="str">
        <f>HYPERLINK("http://exon.niaid.nih.gov/transcriptome/Tx_amboinensis_sialome/Table_1/links/SMART\TX-contig_456-SMART.txt","ZnF_U1")</f>
        <v>ZnF_U1</v>
      </c>
      <c r="AP145" t="str">
        <f>HYPERLINK("http://smart.embl-heidelberg.de/smart/do_annotation.pl?DOMAIN=ZnF_U1&amp;BLAST=DUMMY","0.23")</f>
        <v>0.23</v>
      </c>
      <c r="AQ145" s="2" t="s">
        <v>324</v>
      </c>
      <c r="AR145" t="s">
        <v>324</v>
      </c>
      <c r="AS145" s="2" t="s">
        <v>324</v>
      </c>
      <c r="AT145" t="s">
        <v>324</v>
      </c>
    </row>
    <row r="146" spans="1:44" ht="11.25">
      <c r="A146" t="str">
        <f>HYPERLINK("http://exon.niaid.nih.gov/transcriptome/Tx_amboinensis_sialome/Table_1/links/TX-contig_121.txt","TX-contig_121")</f>
        <v>TX-contig_121</v>
      </c>
      <c r="B146" t="str">
        <f>HYPERLINK("http://exon.niaid.nih.gov/transcriptome/Tx_amboinensis_sialome/Table_1/links/TX-5-90-90-asb-121.txt","Contig-121")</f>
        <v>Contig-121</v>
      </c>
      <c r="C146" t="str">
        <f>HYPERLINK("http://exon.niaid.nih.gov/transcriptome/Tx_amboinensis_sialome/Table_1/links/TX-5-90-90-121-CLU.txt","Contig121")</f>
        <v>Contig121</v>
      </c>
      <c r="D146" s="4">
        <v>1</v>
      </c>
      <c r="E146">
        <v>173</v>
      </c>
      <c r="F146" t="s">
        <v>322</v>
      </c>
      <c r="G146">
        <v>80.3</v>
      </c>
      <c r="H146">
        <v>65</v>
      </c>
      <c r="I146">
        <v>121</v>
      </c>
      <c r="J146" t="s">
        <v>437</v>
      </c>
      <c r="K146">
        <v>65</v>
      </c>
      <c r="L146" s="3" t="s">
        <v>1035</v>
      </c>
      <c r="M146" s="4">
        <v>0</v>
      </c>
      <c r="N146" s="4">
        <v>0</v>
      </c>
      <c r="O146" s="4">
        <v>1</v>
      </c>
      <c r="P146" s="4">
        <v>0</v>
      </c>
      <c r="Q146" s="5" t="s">
        <v>1039</v>
      </c>
      <c r="Y146" t="s">
        <v>324</v>
      </c>
      <c r="Z146" s="2" t="s">
        <v>324</v>
      </c>
      <c r="AA146" t="s">
        <v>324</v>
      </c>
      <c r="AB146" t="s">
        <v>324</v>
      </c>
      <c r="AC146" t="s">
        <v>324</v>
      </c>
      <c r="AD146" t="s">
        <v>324</v>
      </c>
      <c r="AE146" t="s">
        <v>324</v>
      </c>
      <c r="AF146" t="s">
        <v>324</v>
      </c>
      <c r="AG146" s="2" t="s">
        <v>324</v>
      </c>
      <c r="AH146" t="s">
        <v>324</v>
      </c>
      <c r="AI146" t="s">
        <v>324</v>
      </c>
      <c r="AJ146" s="2" t="s">
        <v>324</v>
      </c>
      <c r="AK146" t="s">
        <v>324</v>
      </c>
      <c r="AL146" t="s">
        <v>324</v>
      </c>
      <c r="AM146" s="2" t="s">
        <v>324</v>
      </c>
      <c r="AN146" t="s">
        <v>324</v>
      </c>
      <c r="AO146" s="2" t="s">
        <v>324</v>
      </c>
      <c r="AP146" t="s">
        <v>324</v>
      </c>
      <c r="AQ146" s="2" t="s">
        <v>324</v>
      </c>
      <c r="AR146" t="s">
        <v>324</v>
      </c>
    </row>
    <row r="147" spans="1:44" ht="11.25">
      <c r="A147" t="str">
        <f>HYPERLINK("http://exon.niaid.nih.gov/transcriptome/Tx_amboinensis_sialome/Table_1/links/TX-contig_192.txt","TX-contig_192")</f>
        <v>TX-contig_192</v>
      </c>
      <c r="B147" t="str">
        <f>HYPERLINK("http://exon.niaid.nih.gov/transcriptome/Tx_amboinensis_sialome/Table_1/links/TX-5-90-90-asb-192.txt","Contig-192")</f>
        <v>Contig-192</v>
      </c>
      <c r="C147" t="str">
        <f>HYPERLINK("http://exon.niaid.nih.gov/transcriptome/Tx_amboinensis_sialome/Table_1/links/TX-5-90-90-192-CLU.txt","Contig192")</f>
        <v>Contig192</v>
      </c>
      <c r="D147" s="4">
        <v>1</v>
      </c>
      <c r="E147">
        <v>134</v>
      </c>
      <c r="F147" t="s">
        <v>322</v>
      </c>
      <c r="G147">
        <v>88.8</v>
      </c>
      <c r="H147">
        <v>56</v>
      </c>
      <c r="I147">
        <v>192</v>
      </c>
      <c r="J147" t="s">
        <v>505</v>
      </c>
      <c r="K147">
        <v>56</v>
      </c>
      <c r="L147" s="3" t="s">
        <v>1035</v>
      </c>
      <c r="M147" s="4">
        <v>0</v>
      </c>
      <c r="N147" s="4">
        <v>0</v>
      </c>
      <c r="O147" s="4">
        <v>3</v>
      </c>
      <c r="P147" s="4">
        <v>0</v>
      </c>
      <c r="Q147" s="5" t="s">
        <v>1039</v>
      </c>
      <c r="Y147" t="s">
        <v>324</v>
      </c>
      <c r="Z147" s="2" t="s">
        <v>324</v>
      </c>
      <c r="AA147" t="s">
        <v>324</v>
      </c>
      <c r="AB147" t="s">
        <v>324</v>
      </c>
      <c r="AC147" t="s">
        <v>324</v>
      </c>
      <c r="AD147" t="s">
        <v>324</v>
      </c>
      <c r="AE147" t="s">
        <v>324</v>
      </c>
      <c r="AF147" t="s">
        <v>324</v>
      </c>
      <c r="AG147" s="2" t="s">
        <v>324</v>
      </c>
      <c r="AH147" t="s">
        <v>324</v>
      </c>
      <c r="AI147" t="s">
        <v>324</v>
      </c>
      <c r="AJ147" s="2" t="s">
        <v>324</v>
      </c>
      <c r="AK147" t="s">
        <v>324</v>
      </c>
      <c r="AL147" t="s">
        <v>324</v>
      </c>
      <c r="AM147" s="2" t="s">
        <v>324</v>
      </c>
      <c r="AN147" t="s">
        <v>324</v>
      </c>
      <c r="AO147" s="2" t="s">
        <v>324</v>
      </c>
      <c r="AP147" t="s">
        <v>324</v>
      </c>
      <c r="AQ147" s="2" t="s">
        <v>324</v>
      </c>
      <c r="AR147" t="s">
        <v>324</v>
      </c>
    </row>
    <row r="148" spans="1:44" ht="11.25">
      <c r="A148" t="str">
        <f>HYPERLINK("http://exon.niaid.nih.gov/transcriptome/Tx_amboinensis_sialome/Table_1/links/TX-contig_360.txt","TX-contig_360")</f>
        <v>TX-contig_360</v>
      </c>
      <c r="B148" t="str">
        <f>HYPERLINK("http://exon.niaid.nih.gov/transcriptome/Tx_amboinensis_sialome/Table_1/links/TX-5-90-90-asb-360.txt","Contig-360")</f>
        <v>Contig-360</v>
      </c>
      <c r="C148" t="str">
        <f>HYPERLINK("http://exon.niaid.nih.gov/transcriptome/Tx_amboinensis_sialome/Table_1/links/TX-5-90-90-360-CLU.txt","Contig360")</f>
        <v>Contig360</v>
      </c>
      <c r="D148" s="4">
        <v>1</v>
      </c>
      <c r="E148">
        <v>104</v>
      </c>
      <c r="F148" t="s">
        <v>322</v>
      </c>
      <c r="G148">
        <v>98.1</v>
      </c>
      <c r="H148">
        <v>6</v>
      </c>
      <c r="I148">
        <v>360</v>
      </c>
      <c r="J148" t="s">
        <v>1214</v>
      </c>
      <c r="K148">
        <v>6</v>
      </c>
      <c r="L148" s="3" t="s">
        <v>1035</v>
      </c>
      <c r="M148" s="4">
        <v>0</v>
      </c>
      <c r="N148" s="4">
        <v>0</v>
      </c>
      <c r="O148" s="4">
        <v>1</v>
      </c>
      <c r="P148" s="4">
        <v>0</v>
      </c>
      <c r="Q148" s="5" t="s">
        <v>1039</v>
      </c>
      <c r="Y148" t="s">
        <v>324</v>
      </c>
      <c r="Z148" s="2" t="s">
        <v>324</v>
      </c>
      <c r="AA148" t="s">
        <v>324</v>
      </c>
      <c r="AB148" t="s">
        <v>324</v>
      </c>
      <c r="AC148" t="s">
        <v>324</v>
      </c>
      <c r="AD148" t="s">
        <v>324</v>
      </c>
      <c r="AE148" t="s">
        <v>324</v>
      </c>
      <c r="AF148" t="s">
        <v>324</v>
      </c>
      <c r="AG148" s="2" t="s">
        <v>324</v>
      </c>
      <c r="AH148" t="s">
        <v>324</v>
      </c>
      <c r="AI148" t="s">
        <v>324</v>
      </c>
      <c r="AJ148" s="2" t="s">
        <v>324</v>
      </c>
      <c r="AK148" t="s">
        <v>324</v>
      </c>
      <c r="AL148" t="s">
        <v>324</v>
      </c>
      <c r="AM148" s="2" t="s">
        <v>324</v>
      </c>
      <c r="AN148" t="s">
        <v>324</v>
      </c>
      <c r="AO148" s="2" t="s">
        <v>324</v>
      </c>
      <c r="AP148" t="s">
        <v>324</v>
      </c>
      <c r="AQ148" s="2" t="s">
        <v>324</v>
      </c>
      <c r="AR148" t="s">
        <v>324</v>
      </c>
    </row>
    <row r="149" spans="1:44" ht="11.25">
      <c r="A149" t="str">
        <f>HYPERLINK("http://exon.niaid.nih.gov/transcriptome/Tx_amboinensis_sialome/Table_1/links/TX-contig_166.txt","TX-contig_166")</f>
        <v>TX-contig_166</v>
      </c>
      <c r="B149" t="str">
        <f>HYPERLINK("http://exon.niaid.nih.gov/transcriptome/Tx_amboinensis_sialome/Table_1/links/TX-5-90-90-asb-166.txt","Contig-166")</f>
        <v>Contig-166</v>
      </c>
      <c r="C149" t="str">
        <f>HYPERLINK("http://exon.niaid.nih.gov/transcriptome/Tx_amboinensis_sialome/Table_1/links/TX-5-90-90-166-CLU.txt","Contig166")</f>
        <v>Contig166</v>
      </c>
      <c r="D149" s="4">
        <v>1</v>
      </c>
      <c r="E149">
        <v>130</v>
      </c>
      <c r="F149">
        <v>1.5</v>
      </c>
      <c r="G149">
        <v>85.4</v>
      </c>
      <c r="H149">
        <v>29</v>
      </c>
      <c r="I149">
        <v>166</v>
      </c>
      <c r="J149" t="s">
        <v>479</v>
      </c>
      <c r="K149">
        <v>29</v>
      </c>
      <c r="L149" s="3" t="s">
        <v>1035</v>
      </c>
      <c r="M149" s="4">
        <v>0</v>
      </c>
      <c r="N149" s="4">
        <v>0</v>
      </c>
      <c r="O149" s="4">
        <v>1</v>
      </c>
      <c r="P149" s="4">
        <v>0</v>
      </c>
      <c r="Q149" s="5" t="s">
        <v>1039</v>
      </c>
      <c r="Y149" t="s">
        <v>324</v>
      </c>
      <c r="Z149" s="2" t="s">
        <v>324</v>
      </c>
      <c r="AA149" t="s">
        <v>324</v>
      </c>
      <c r="AB149" t="s">
        <v>324</v>
      </c>
      <c r="AC149" t="s">
        <v>324</v>
      </c>
      <c r="AD149" t="s">
        <v>324</v>
      </c>
      <c r="AE149" t="s">
        <v>324</v>
      </c>
      <c r="AF149" t="s">
        <v>324</v>
      </c>
      <c r="AG149" s="2" t="s">
        <v>324</v>
      </c>
      <c r="AH149" t="s">
        <v>324</v>
      </c>
      <c r="AI149" t="s">
        <v>324</v>
      </c>
      <c r="AJ149" s="2" t="s">
        <v>324</v>
      </c>
      <c r="AK149" t="s">
        <v>324</v>
      </c>
      <c r="AL149" t="s">
        <v>324</v>
      </c>
      <c r="AM149" s="2" t="s">
        <v>324</v>
      </c>
      <c r="AN149" t="s">
        <v>324</v>
      </c>
      <c r="AO149" s="2" t="s">
        <v>324</v>
      </c>
      <c r="AP149" t="s">
        <v>324</v>
      </c>
      <c r="AQ149" s="2" t="s">
        <v>324</v>
      </c>
      <c r="AR149" t="s">
        <v>324</v>
      </c>
    </row>
    <row r="150" spans="1:44" ht="11.25">
      <c r="A150" t="str">
        <f>HYPERLINK("http://exon.niaid.nih.gov/transcriptome/Tx_amboinensis_sialome/Table_1/links/TX-contig_246.txt","TX-contig_246")</f>
        <v>TX-contig_246</v>
      </c>
      <c r="B150" t="str">
        <f>HYPERLINK("http://exon.niaid.nih.gov/transcriptome/Tx_amboinensis_sialome/Table_1/links/TX-5-90-90-asb-246.txt","Contig-246")</f>
        <v>Contig-246</v>
      </c>
      <c r="C150" t="str">
        <f>HYPERLINK("http://exon.niaid.nih.gov/transcriptome/Tx_amboinensis_sialome/Table_1/links/TX-5-90-90-246-CLU.txt","Contig246")</f>
        <v>Contig246</v>
      </c>
      <c r="D150" s="4">
        <v>1</v>
      </c>
      <c r="E150">
        <v>122</v>
      </c>
      <c r="F150">
        <v>2.5</v>
      </c>
      <c r="G150">
        <v>95.9</v>
      </c>
      <c r="H150">
        <v>6</v>
      </c>
      <c r="I150">
        <v>246</v>
      </c>
      <c r="J150" t="s">
        <v>559</v>
      </c>
      <c r="K150">
        <v>6</v>
      </c>
      <c r="L150" s="3" t="s">
        <v>1035</v>
      </c>
      <c r="M150" s="4">
        <v>0</v>
      </c>
      <c r="N150" s="4">
        <v>0</v>
      </c>
      <c r="O150" s="4">
        <v>1</v>
      </c>
      <c r="P150" s="4">
        <v>0</v>
      </c>
      <c r="Q150" s="5" t="s">
        <v>1039</v>
      </c>
      <c r="Y150" t="s">
        <v>324</v>
      </c>
      <c r="Z150" s="2" t="s">
        <v>324</v>
      </c>
      <c r="AA150" t="s">
        <v>324</v>
      </c>
      <c r="AB150" t="s">
        <v>324</v>
      </c>
      <c r="AC150" t="s">
        <v>324</v>
      </c>
      <c r="AD150" t="s">
        <v>324</v>
      </c>
      <c r="AE150" t="s">
        <v>324</v>
      </c>
      <c r="AF150" t="s">
        <v>324</v>
      </c>
      <c r="AG150" s="2" t="s">
        <v>324</v>
      </c>
      <c r="AH150" t="s">
        <v>324</v>
      </c>
      <c r="AI150" t="s">
        <v>324</v>
      </c>
      <c r="AJ150" s="2" t="s">
        <v>324</v>
      </c>
      <c r="AK150" t="s">
        <v>324</v>
      </c>
      <c r="AL150" t="s">
        <v>324</v>
      </c>
      <c r="AM150" s="2" t="s">
        <v>324</v>
      </c>
      <c r="AN150" t="s">
        <v>324</v>
      </c>
      <c r="AO150" s="2" t="s">
        <v>324</v>
      </c>
      <c r="AP150" t="s">
        <v>324</v>
      </c>
      <c r="AQ150" s="2" t="s">
        <v>324</v>
      </c>
      <c r="AR150" t="s">
        <v>324</v>
      </c>
    </row>
    <row r="151" spans="1:44" ht="11.25">
      <c r="A151" t="str">
        <f>HYPERLINK("http://exon.niaid.nih.gov/transcriptome/Tx_amboinensis_sialome/Table_1/links/TX-contig_248.txt","TX-contig_248")</f>
        <v>TX-contig_248</v>
      </c>
      <c r="B151" t="str">
        <f>HYPERLINK("http://exon.niaid.nih.gov/transcriptome/Tx_amboinensis_sialome/Table_1/links/TX-5-90-90-asb-248.txt","Contig-248")</f>
        <v>Contig-248</v>
      </c>
      <c r="C151" t="str">
        <f>HYPERLINK("http://exon.niaid.nih.gov/transcriptome/Tx_amboinensis_sialome/Table_1/links/TX-5-90-90-248-CLU.txt","Contig248")</f>
        <v>Contig248</v>
      </c>
      <c r="D151" s="4">
        <v>1</v>
      </c>
      <c r="E151">
        <v>128</v>
      </c>
      <c r="F151">
        <v>1.6</v>
      </c>
      <c r="G151">
        <v>85.9</v>
      </c>
      <c r="H151">
        <v>40</v>
      </c>
      <c r="I151">
        <v>248</v>
      </c>
      <c r="J151" t="s">
        <v>561</v>
      </c>
      <c r="K151">
        <v>40</v>
      </c>
      <c r="L151" s="3" t="s">
        <v>1035</v>
      </c>
      <c r="M151" s="4">
        <v>0</v>
      </c>
      <c r="N151" s="4">
        <v>0</v>
      </c>
      <c r="O151" s="4">
        <v>2</v>
      </c>
      <c r="P151" s="4">
        <v>0</v>
      </c>
      <c r="Q151" s="5" t="s">
        <v>1039</v>
      </c>
      <c r="Y151" t="s">
        <v>324</v>
      </c>
      <c r="Z151" s="2" t="s">
        <v>324</v>
      </c>
      <c r="AA151" t="s">
        <v>324</v>
      </c>
      <c r="AB151" t="s">
        <v>324</v>
      </c>
      <c r="AC151" t="s">
        <v>324</v>
      </c>
      <c r="AD151" t="s">
        <v>324</v>
      </c>
      <c r="AE151" t="s">
        <v>324</v>
      </c>
      <c r="AF151" t="s">
        <v>324</v>
      </c>
      <c r="AG151" s="2" t="s">
        <v>324</v>
      </c>
      <c r="AH151" t="s">
        <v>324</v>
      </c>
      <c r="AI151" t="s">
        <v>324</v>
      </c>
      <c r="AJ151" s="2" t="s">
        <v>324</v>
      </c>
      <c r="AK151" t="s">
        <v>324</v>
      </c>
      <c r="AL151" t="s">
        <v>324</v>
      </c>
      <c r="AM151" s="2" t="s">
        <v>324</v>
      </c>
      <c r="AN151" t="s">
        <v>324</v>
      </c>
      <c r="AO151" s="2" t="s">
        <v>324</v>
      </c>
      <c r="AP151" t="s">
        <v>324</v>
      </c>
      <c r="AQ151" s="2" t="s">
        <v>324</v>
      </c>
      <c r="AR151" t="s">
        <v>324</v>
      </c>
    </row>
    <row r="152" spans="1:44" ht="11.25">
      <c r="A152" t="str">
        <f>HYPERLINK("http://exon.niaid.nih.gov/transcriptome/Tx_amboinensis_sialome/Table_1/links/TX-contig_291.txt","TX-contig_291")</f>
        <v>TX-contig_291</v>
      </c>
      <c r="B152" t="str">
        <f>HYPERLINK("http://exon.niaid.nih.gov/transcriptome/Tx_amboinensis_sialome/Table_1/links/TX-5-90-90-asb-291.txt","Contig-291")</f>
        <v>Contig-291</v>
      </c>
      <c r="C152" t="str">
        <f>HYPERLINK("http://exon.niaid.nih.gov/transcriptome/Tx_amboinensis_sialome/Table_1/links/TX-5-90-90-291-CLU.txt","Contig291")</f>
        <v>Contig291</v>
      </c>
      <c r="D152" s="4">
        <v>1</v>
      </c>
      <c r="E152">
        <v>128</v>
      </c>
      <c r="F152" t="s">
        <v>322</v>
      </c>
      <c r="G152">
        <v>93</v>
      </c>
      <c r="H152">
        <v>38</v>
      </c>
      <c r="I152">
        <v>291</v>
      </c>
      <c r="J152" t="s">
        <v>604</v>
      </c>
      <c r="K152">
        <v>38</v>
      </c>
      <c r="L152" s="3" t="s">
        <v>1035</v>
      </c>
      <c r="M152" s="4">
        <v>0</v>
      </c>
      <c r="N152" s="4">
        <v>0</v>
      </c>
      <c r="O152" s="4">
        <v>2</v>
      </c>
      <c r="P152" s="4">
        <v>0</v>
      </c>
      <c r="Q152" s="5" t="s">
        <v>1039</v>
      </c>
      <c r="Y152" t="s">
        <v>324</v>
      </c>
      <c r="Z152" s="2" t="s">
        <v>324</v>
      </c>
      <c r="AA152" t="s">
        <v>324</v>
      </c>
      <c r="AB152" t="s">
        <v>324</v>
      </c>
      <c r="AC152" t="s">
        <v>324</v>
      </c>
      <c r="AD152" t="s">
        <v>324</v>
      </c>
      <c r="AE152" t="s">
        <v>324</v>
      </c>
      <c r="AF152" t="s">
        <v>324</v>
      </c>
      <c r="AG152" s="2" t="s">
        <v>324</v>
      </c>
      <c r="AH152" t="s">
        <v>324</v>
      </c>
      <c r="AI152" t="s">
        <v>324</v>
      </c>
      <c r="AJ152" s="2" t="s">
        <v>324</v>
      </c>
      <c r="AK152" t="s">
        <v>324</v>
      </c>
      <c r="AL152" t="s">
        <v>324</v>
      </c>
      <c r="AM152" s="2" t="s">
        <v>324</v>
      </c>
      <c r="AN152" t="s">
        <v>324</v>
      </c>
      <c r="AO152" s="2" t="s">
        <v>324</v>
      </c>
      <c r="AP152" t="s">
        <v>324</v>
      </c>
      <c r="AQ152" s="2" t="s">
        <v>324</v>
      </c>
      <c r="AR152" t="s">
        <v>324</v>
      </c>
    </row>
    <row r="153" spans="1:44" ht="11.25">
      <c r="A153" t="str">
        <f>HYPERLINK("http://exon.niaid.nih.gov/transcriptome/Tx_amboinensis_sialome/Table_1/links/TX-contig_378.txt","TX-contig_378")</f>
        <v>TX-contig_378</v>
      </c>
      <c r="B153" t="str">
        <f>HYPERLINK("http://exon.niaid.nih.gov/transcriptome/Tx_amboinensis_sialome/Table_1/links/TX-5-90-90-asb-378.txt","Contig-378")</f>
        <v>Contig-378</v>
      </c>
      <c r="C153" t="str">
        <f>HYPERLINK("http://exon.niaid.nih.gov/transcriptome/Tx_amboinensis_sialome/Table_1/links/TX-5-90-90-378-CLU.txt","Contig378")</f>
        <v>Contig378</v>
      </c>
      <c r="D153" s="4">
        <v>1</v>
      </c>
      <c r="E153">
        <v>128</v>
      </c>
      <c r="F153">
        <v>0.8</v>
      </c>
      <c r="G153">
        <v>93</v>
      </c>
      <c r="H153">
        <v>15</v>
      </c>
      <c r="I153">
        <v>378</v>
      </c>
      <c r="J153" t="s">
        <v>1232</v>
      </c>
      <c r="K153">
        <v>15</v>
      </c>
      <c r="L153" s="3" t="s">
        <v>1035</v>
      </c>
      <c r="M153" s="4">
        <v>0</v>
      </c>
      <c r="N153" s="4">
        <v>0</v>
      </c>
      <c r="O153" s="4">
        <v>2</v>
      </c>
      <c r="P153" s="4">
        <v>0</v>
      </c>
      <c r="Q153" s="5" t="s">
        <v>1039</v>
      </c>
      <c r="Y153" t="s">
        <v>324</v>
      </c>
      <c r="Z153" s="2" t="s">
        <v>324</v>
      </c>
      <c r="AA153" t="s">
        <v>324</v>
      </c>
      <c r="AB153" t="s">
        <v>324</v>
      </c>
      <c r="AC153" t="s">
        <v>324</v>
      </c>
      <c r="AD153" t="s">
        <v>324</v>
      </c>
      <c r="AE153" t="s">
        <v>324</v>
      </c>
      <c r="AF153" t="s">
        <v>324</v>
      </c>
      <c r="AG153" s="2" t="s">
        <v>324</v>
      </c>
      <c r="AH153" t="s">
        <v>324</v>
      </c>
      <c r="AI153" t="s">
        <v>324</v>
      </c>
      <c r="AJ153" s="2" t="s">
        <v>324</v>
      </c>
      <c r="AK153" t="s">
        <v>324</v>
      </c>
      <c r="AL153" t="s">
        <v>324</v>
      </c>
      <c r="AM153" s="2" t="s">
        <v>324</v>
      </c>
      <c r="AN153" t="s">
        <v>324</v>
      </c>
      <c r="AO153" s="2" t="s">
        <v>324</v>
      </c>
      <c r="AP153" t="s">
        <v>324</v>
      </c>
      <c r="AQ153" s="2" t="s">
        <v>324</v>
      </c>
      <c r="AR153" t="s">
        <v>324</v>
      </c>
    </row>
    <row r="154" spans="1:44" ht="11.25">
      <c r="A154" t="str">
        <f>HYPERLINK("http://exon.niaid.nih.gov/transcriptome/Tx_amboinensis_sialome/Table_1/links/TX-contig_114.txt","TX-contig_114")</f>
        <v>TX-contig_114</v>
      </c>
      <c r="B154" t="str">
        <f>HYPERLINK("http://exon.niaid.nih.gov/transcriptome/Tx_amboinensis_sialome/Table_1/links/TX-5-90-90-asb-114.txt","Contig-114")</f>
        <v>Contig-114</v>
      </c>
      <c r="C154" t="str">
        <f>HYPERLINK("http://exon.niaid.nih.gov/transcriptome/Tx_amboinensis_sialome/Table_1/links/TX-5-90-90-114-CLU.txt","Contig114")</f>
        <v>Contig114</v>
      </c>
      <c r="D154" s="4">
        <v>1</v>
      </c>
      <c r="E154">
        <v>150</v>
      </c>
      <c r="F154">
        <v>1.3</v>
      </c>
      <c r="G154">
        <v>77.3</v>
      </c>
      <c r="H154">
        <v>75</v>
      </c>
      <c r="I154">
        <v>114</v>
      </c>
      <c r="J154" t="s">
        <v>430</v>
      </c>
      <c r="K154">
        <v>95</v>
      </c>
      <c r="L154" s="3" t="s">
        <v>1035</v>
      </c>
      <c r="M154" s="4">
        <v>0</v>
      </c>
      <c r="N154" s="4">
        <v>0</v>
      </c>
      <c r="O154" s="4">
        <v>1</v>
      </c>
      <c r="P154" s="4">
        <v>0</v>
      </c>
      <c r="Q154" s="5" t="s">
        <v>1039</v>
      </c>
      <c r="Y154" t="s">
        <v>324</v>
      </c>
      <c r="Z154" s="2" t="s">
        <v>324</v>
      </c>
      <c r="AA154" t="s">
        <v>324</v>
      </c>
      <c r="AB154" t="s">
        <v>324</v>
      </c>
      <c r="AC154" t="s">
        <v>324</v>
      </c>
      <c r="AD154" t="s">
        <v>324</v>
      </c>
      <c r="AE154" t="s">
        <v>324</v>
      </c>
      <c r="AF154" t="s">
        <v>324</v>
      </c>
      <c r="AG154" s="2" t="s">
        <v>324</v>
      </c>
      <c r="AH154" t="s">
        <v>324</v>
      </c>
      <c r="AI154" t="s">
        <v>324</v>
      </c>
      <c r="AJ154" s="2" t="s">
        <v>324</v>
      </c>
      <c r="AK154" t="s">
        <v>324</v>
      </c>
      <c r="AL154" t="s">
        <v>324</v>
      </c>
      <c r="AM154" s="2" t="s">
        <v>324</v>
      </c>
      <c r="AN154" t="s">
        <v>324</v>
      </c>
      <c r="AO154" s="2" t="str">
        <f>HYPERLINK("http://exon.niaid.nih.gov/transcriptome/Tx_amboinensis_sialome/Table_1/links/SMART\TX-contig_114-SMART.txt","SO")</f>
        <v>SO</v>
      </c>
      <c r="AP154" t="str">
        <f>HYPERLINK("http://smart.embl-heidelberg.de/smart/do_annotation.pl?DOMAIN=SO&amp;BLAST=DUMMY","0.35")</f>
        <v>0.35</v>
      </c>
      <c r="AQ154" s="2" t="s">
        <v>324</v>
      </c>
      <c r="AR154" t="s">
        <v>324</v>
      </c>
    </row>
    <row r="155" spans="1:44" ht="11.25">
      <c r="A155" t="str">
        <f>HYPERLINK("http://exon.niaid.nih.gov/transcriptome/Tx_amboinensis_sialome/Table_1/links/TX-contig_438.txt","TX-contig_438")</f>
        <v>TX-contig_438</v>
      </c>
      <c r="B155" t="str">
        <f>HYPERLINK("http://exon.niaid.nih.gov/transcriptome/Tx_amboinensis_sialome/Table_1/links/TX-5-90-90-asb-438.txt","Contig-438")</f>
        <v>Contig-438</v>
      </c>
      <c r="C155" t="str">
        <f>HYPERLINK("http://exon.niaid.nih.gov/transcriptome/Tx_amboinensis_sialome/Table_1/links/TX-5-90-90-438-CLU.txt","Contig438")</f>
        <v>Contig438</v>
      </c>
      <c r="D155" s="4">
        <v>1</v>
      </c>
      <c r="E155">
        <v>147</v>
      </c>
      <c r="F155">
        <v>3.4</v>
      </c>
      <c r="G155">
        <v>79.6</v>
      </c>
      <c r="H155">
        <v>84</v>
      </c>
      <c r="I155">
        <v>438</v>
      </c>
      <c r="J155" t="s">
        <v>1292</v>
      </c>
      <c r="K155">
        <v>84</v>
      </c>
      <c r="L155" s="3" t="s">
        <v>1035</v>
      </c>
      <c r="M155" s="4">
        <v>0</v>
      </c>
      <c r="N155" s="4">
        <v>0</v>
      </c>
      <c r="O155" s="4">
        <v>1</v>
      </c>
      <c r="P155" s="4">
        <v>0</v>
      </c>
      <c r="Q155" s="5" t="s">
        <v>1039</v>
      </c>
      <c r="Y155" t="s">
        <v>324</v>
      </c>
      <c r="Z155" s="2" t="s">
        <v>324</v>
      </c>
      <c r="AA155" t="s">
        <v>324</v>
      </c>
      <c r="AB155" t="s">
        <v>324</v>
      </c>
      <c r="AC155" t="s">
        <v>324</v>
      </c>
      <c r="AD155" t="s">
        <v>324</v>
      </c>
      <c r="AE155" t="s">
        <v>324</v>
      </c>
      <c r="AF155" t="s">
        <v>324</v>
      </c>
      <c r="AG155" s="2" t="s">
        <v>324</v>
      </c>
      <c r="AH155" t="s">
        <v>324</v>
      </c>
      <c r="AI155" t="s">
        <v>324</v>
      </c>
      <c r="AJ155" s="2" t="str">
        <f>HYPERLINK("http://exon.niaid.nih.gov/transcriptome/Tx_amboinensis_sialome/Table_1/links/CDD\TX-contig_438-CDD.txt","MYSc_type_XV")</f>
        <v>MYSc_type_XV</v>
      </c>
      <c r="AK155" t="str">
        <f>HYPERLINK("http://www.ncbi.nlm.nih.gov/Structure/cdd/cddsrv.cgi?uid=cd01387&amp;version=v4.0","0.84")</f>
        <v>0.84</v>
      </c>
      <c r="AL155" t="s">
        <v>1003</v>
      </c>
      <c r="AM155" s="2" t="s">
        <v>324</v>
      </c>
      <c r="AN155" t="s">
        <v>324</v>
      </c>
      <c r="AO155" s="2" t="str">
        <f>HYPERLINK("http://exon.niaid.nih.gov/transcriptome/Tx_amboinensis_sialome/Table_1/links/SMART\TX-contig_438-SMART.txt","MYSc")</f>
        <v>MYSc</v>
      </c>
      <c r="AP155" t="str">
        <f>HYPERLINK("http://smart.embl-heidelberg.de/smart/do_annotation.pl?DOMAIN=MYSc&amp;BLAST=DUMMY","0.87")</f>
        <v>0.87</v>
      </c>
      <c r="AQ155" s="2" t="s">
        <v>324</v>
      </c>
      <c r="AR155" t="s">
        <v>324</v>
      </c>
    </row>
    <row r="156" spans="1:44" ht="11.25">
      <c r="A156" t="str">
        <f>HYPERLINK("http://exon.niaid.nih.gov/transcriptome/Tx_amboinensis_sialome/Table_1/links/TX-contig_140.txt","TX-contig_140")</f>
        <v>TX-contig_140</v>
      </c>
      <c r="B156" t="str">
        <f>HYPERLINK("http://exon.niaid.nih.gov/transcriptome/Tx_amboinensis_sialome/Table_1/links/TX-5-90-90-asb-140.txt","Contig-140")</f>
        <v>Contig-140</v>
      </c>
      <c r="C156" t="str">
        <f>HYPERLINK("http://exon.niaid.nih.gov/transcriptome/Tx_amboinensis_sialome/Table_1/links/TX-5-90-90-140-CLU.txt","Contig140")</f>
        <v>Contig140</v>
      </c>
      <c r="D156" s="4">
        <v>1</v>
      </c>
      <c r="E156">
        <v>162</v>
      </c>
      <c r="F156">
        <v>0.6</v>
      </c>
      <c r="G156">
        <v>85.2</v>
      </c>
      <c r="H156">
        <v>68</v>
      </c>
      <c r="I156">
        <v>140</v>
      </c>
      <c r="J156" t="s">
        <v>456</v>
      </c>
      <c r="K156">
        <v>68</v>
      </c>
      <c r="L156" s="3" t="s">
        <v>1035</v>
      </c>
      <c r="M156" s="4">
        <v>0</v>
      </c>
      <c r="N156" s="4">
        <v>0</v>
      </c>
      <c r="O156" s="4">
        <v>1</v>
      </c>
      <c r="P156" s="4">
        <v>0</v>
      </c>
      <c r="Q156" s="5" t="s">
        <v>1039</v>
      </c>
      <c r="Y156" t="s">
        <v>324</v>
      </c>
      <c r="Z156" s="2" t="s">
        <v>324</v>
      </c>
      <c r="AA156" t="s">
        <v>324</v>
      </c>
      <c r="AB156" t="s">
        <v>324</v>
      </c>
      <c r="AC156" t="s">
        <v>324</v>
      </c>
      <c r="AD156" t="s">
        <v>324</v>
      </c>
      <c r="AE156" t="s">
        <v>324</v>
      </c>
      <c r="AF156" t="s">
        <v>324</v>
      </c>
      <c r="AG156" s="2" t="s">
        <v>324</v>
      </c>
      <c r="AH156" t="s">
        <v>324</v>
      </c>
      <c r="AI156" t="s">
        <v>324</v>
      </c>
      <c r="AJ156" s="2" t="s">
        <v>324</v>
      </c>
      <c r="AK156" t="s">
        <v>324</v>
      </c>
      <c r="AL156" t="s">
        <v>324</v>
      </c>
      <c r="AM156" s="2" t="s">
        <v>324</v>
      </c>
      <c r="AN156" t="s">
        <v>324</v>
      </c>
      <c r="AO156" s="2" t="s">
        <v>324</v>
      </c>
      <c r="AP156" t="s">
        <v>324</v>
      </c>
      <c r="AQ156" s="2" t="s">
        <v>324</v>
      </c>
      <c r="AR156" t="s">
        <v>324</v>
      </c>
    </row>
    <row r="157" spans="1:44" ht="11.25">
      <c r="A157" t="str">
        <f>HYPERLINK("http://exon.niaid.nih.gov/transcriptome/Tx_amboinensis_sialome/Table_1/links/TX-contig_157.txt","TX-contig_157")</f>
        <v>TX-contig_157</v>
      </c>
      <c r="B157" t="str">
        <f>HYPERLINK("http://exon.niaid.nih.gov/transcriptome/Tx_amboinensis_sialome/Table_1/links/TX-5-90-90-asb-157.txt","Contig-157")</f>
        <v>Contig-157</v>
      </c>
      <c r="C157" t="str">
        <f>HYPERLINK("http://exon.niaid.nih.gov/transcriptome/Tx_amboinensis_sialome/Table_1/links/TX-5-90-90-157-CLU.txt","Contig157")</f>
        <v>Contig157</v>
      </c>
      <c r="D157" s="4">
        <v>1</v>
      </c>
      <c r="E157">
        <v>173</v>
      </c>
      <c r="F157">
        <v>4</v>
      </c>
      <c r="G157">
        <v>72.8</v>
      </c>
      <c r="H157">
        <v>87</v>
      </c>
      <c r="I157">
        <v>157</v>
      </c>
      <c r="J157" t="s">
        <v>471</v>
      </c>
      <c r="K157">
        <v>87</v>
      </c>
      <c r="L157" s="3" t="s">
        <v>1035</v>
      </c>
      <c r="M157" s="4">
        <v>0</v>
      </c>
      <c r="N157" s="4">
        <v>0</v>
      </c>
      <c r="O157" s="4">
        <v>2</v>
      </c>
      <c r="P157" s="4">
        <v>0</v>
      </c>
      <c r="Q157" s="5" t="s">
        <v>1039</v>
      </c>
      <c r="Y157" t="s">
        <v>324</v>
      </c>
      <c r="Z157" s="2" t="s">
        <v>324</v>
      </c>
      <c r="AA157" t="s">
        <v>324</v>
      </c>
      <c r="AB157" t="s">
        <v>324</v>
      </c>
      <c r="AC157" t="s">
        <v>324</v>
      </c>
      <c r="AD157" t="s">
        <v>324</v>
      </c>
      <c r="AE157" t="s">
        <v>324</v>
      </c>
      <c r="AF157" t="s">
        <v>324</v>
      </c>
      <c r="AG157" s="2" t="s">
        <v>324</v>
      </c>
      <c r="AH157" t="s">
        <v>324</v>
      </c>
      <c r="AI157" t="s">
        <v>324</v>
      </c>
      <c r="AJ157" s="2" t="str">
        <f>HYPERLINK("http://exon.niaid.nih.gov/transcriptome/Tx_amboinensis_sialome/Table_1/links/CDD\TX-contig_157-CDD.txt","Abi")</f>
        <v>Abi</v>
      </c>
      <c r="AK157" t="str">
        <f>HYPERLINK("http://www.ncbi.nlm.nih.gov/Structure/cdd/cddsrv.cgi?uid=pfam02517&amp;version=v4.0","0.37")</f>
        <v>0.37</v>
      </c>
      <c r="AL157" t="s">
        <v>1148</v>
      </c>
      <c r="AM157" s="2" t="str">
        <f>HYPERLINK("http://exon.niaid.nih.gov/transcriptome/Tx_amboinensis_sialome/Table_1/links/PFAM\TX-contig_157-PFAM.txt","Abi")</f>
        <v>Abi</v>
      </c>
      <c r="AN157" t="str">
        <f>HYPERLINK("http://pfam.wustl.edu/cgi-bin/getdesc?acc=PF02517","0.20")</f>
        <v>0.20</v>
      </c>
      <c r="AO157" s="2" t="s">
        <v>324</v>
      </c>
      <c r="AP157" t="s">
        <v>324</v>
      </c>
      <c r="AQ157" s="2" t="s">
        <v>324</v>
      </c>
      <c r="AR157" t="s">
        <v>324</v>
      </c>
    </row>
    <row r="158" spans="1:44" ht="11.25">
      <c r="A158" t="str">
        <f>HYPERLINK("http://exon.niaid.nih.gov/transcriptome/Tx_amboinensis_sialome/Table_1/links/TX-contig_165.txt","TX-contig_165")</f>
        <v>TX-contig_165</v>
      </c>
      <c r="B158" t="str">
        <f>HYPERLINK("http://exon.niaid.nih.gov/transcriptome/Tx_amboinensis_sialome/Table_1/links/TX-5-90-90-asb-165.txt","Contig-165")</f>
        <v>Contig-165</v>
      </c>
      <c r="C158" t="str">
        <f>HYPERLINK("http://exon.niaid.nih.gov/transcriptome/Tx_amboinensis_sialome/Table_1/links/TX-5-90-90-165-CLU.txt","Contig165")</f>
        <v>Contig165</v>
      </c>
      <c r="D158" s="4">
        <v>1</v>
      </c>
      <c r="E158">
        <v>166</v>
      </c>
      <c r="F158" t="s">
        <v>322</v>
      </c>
      <c r="G158">
        <v>80.1</v>
      </c>
      <c r="H158">
        <v>82</v>
      </c>
      <c r="I158">
        <v>165</v>
      </c>
      <c r="J158" t="s">
        <v>478</v>
      </c>
      <c r="K158">
        <v>82</v>
      </c>
      <c r="L158" s="3" t="s">
        <v>1035</v>
      </c>
      <c r="M158" s="4">
        <v>0</v>
      </c>
      <c r="N158" s="4">
        <v>0</v>
      </c>
      <c r="O158" s="4">
        <v>2</v>
      </c>
      <c r="P158" s="4">
        <v>0</v>
      </c>
      <c r="Q158" s="5" t="s">
        <v>1039</v>
      </c>
      <c r="Y158" t="s">
        <v>324</v>
      </c>
      <c r="Z158" s="2" t="s">
        <v>324</v>
      </c>
      <c r="AA158" t="s">
        <v>324</v>
      </c>
      <c r="AB158" t="s">
        <v>324</v>
      </c>
      <c r="AC158" t="s">
        <v>324</v>
      </c>
      <c r="AD158" t="s">
        <v>324</v>
      </c>
      <c r="AE158" t="s">
        <v>324</v>
      </c>
      <c r="AF158" t="s">
        <v>324</v>
      </c>
      <c r="AG158" s="2" t="s">
        <v>324</v>
      </c>
      <c r="AH158" t="s">
        <v>324</v>
      </c>
      <c r="AI158" t="s">
        <v>324</v>
      </c>
      <c r="AJ158" s="2" t="s">
        <v>324</v>
      </c>
      <c r="AK158" t="s">
        <v>324</v>
      </c>
      <c r="AL158" t="s">
        <v>324</v>
      </c>
      <c r="AM158" s="2" t="s">
        <v>324</v>
      </c>
      <c r="AN158" t="s">
        <v>324</v>
      </c>
      <c r="AO158" s="2" t="s">
        <v>324</v>
      </c>
      <c r="AP158" t="s">
        <v>324</v>
      </c>
      <c r="AQ158" s="2" t="s">
        <v>324</v>
      </c>
      <c r="AR158" t="s">
        <v>324</v>
      </c>
    </row>
    <row r="159" spans="1:44" ht="11.25">
      <c r="A159" t="str">
        <f>HYPERLINK("http://exon.niaid.nih.gov/transcriptome/Tx_amboinensis_sialome/Table_1/links/TX-contig_196.txt","TX-contig_196")</f>
        <v>TX-contig_196</v>
      </c>
      <c r="B159" t="str">
        <f>HYPERLINK("http://exon.niaid.nih.gov/transcriptome/Tx_amboinensis_sialome/Table_1/links/TX-5-90-90-asb-196.txt","Contig-196")</f>
        <v>Contig-196</v>
      </c>
      <c r="C159" t="str">
        <f>HYPERLINK("http://exon.niaid.nih.gov/transcriptome/Tx_amboinensis_sialome/Table_1/links/TX-5-90-90-196-CLU.txt","Contig196")</f>
        <v>Contig196</v>
      </c>
      <c r="D159" s="4">
        <v>1</v>
      </c>
      <c r="E159">
        <v>161</v>
      </c>
      <c r="F159">
        <v>3.7</v>
      </c>
      <c r="G159">
        <v>80.7</v>
      </c>
      <c r="H159">
        <v>43</v>
      </c>
      <c r="I159">
        <v>196</v>
      </c>
      <c r="J159" t="s">
        <v>509</v>
      </c>
      <c r="K159">
        <v>43</v>
      </c>
      <c r="L159" s="3" t="s">
        <v>1035</v>
      </c>
      <c r="M159" s="4">
        <v>0</v>
      </c>
      <c r="N159" s="4">
        <v>0</v>
      </c>
      <c r="O159" s="4">
        <v>1</v>
      </c>
      <c r="P159" s="4">
        <v>0</v>
      </c>
      <c r="Q159" s="5" t="s">
        <v>1039</v>
      </c>
      <c r="Y159" t="s">
        <v>324</v>
      </c>
      <c r="Z159" s="2" t="s">
        <v>324</v>
      </c>
      <c r="AA159" t="s">
        <v>324</v>
      </c>
      <c r="AB159" t="s">
        <v>324</v>
      </c>
      <c r="AC159" t="s">
        <v>324</v>
      </c>
      <c r="AD159" t="s">
        <v>324</v>
      </c>
      <c r="AE159" t="s">
        <v>324</v>
      </c>
      <c r="AF159" t="s">
        <v>324</v>
      </c>
      <c r="AG159" s="2" t="s">
        <v>324</v>
      </c>
      <c r="AH159" t="s">
        <v>324</v>
      </c>
      <c r="AI159" t="s">
        <v>324</v>
      </c>
      <c r="AJ159" s="2" t="s">
        <v>324</v>
      </c>
      <c r="AK159" t="s">
        <v>324</v>
      </c>
      <c r="AL159" t="s">
        <v>324</v>
      </c>
      <c r="AM159" s="2" t="s">
        <v>324</v>
      </c>
      <c r="AN159" t="s">
        <v>324</v>
      </c>
      <c r="AO159" s="2" t="s">
        <v>324</v>
      </c>
      <c r="AP159" t="s">
        <v>324</v>
      </c>
      <c r="AQ159" s="2" t="s">
        <v>324</v>
      </c>
      <c r="AR159" t="s">
        <v>324</v>
      </c>
    </row>
    <row r="160" spans="1:44" ht="11.25">
      <c r="A160" t="str">
        <f>HYPERLINK("http://exon.niaid.nih.gov/transcriptome/Tx_amboinensis_sialome/Table_1/links/TX-contig_215.txt","TX-contig_215")</f>
        <v>TX-contig_215</v>
      </c>
      <c r="B160" t="str">
        <f>HYPERLINK("http://exon.niaid.nih.gov/transcriptome/Tx_amboinensis_sialome/Table_1/links/TX-5-90-90-asb-215.txt","Contig-215")</f>
        <v>Contig-215</v>
      </c>
      <c r="C160" t="str">
        <f>HYPERLINK("http://exon.niaid.nih.gov/transcriptome/Tx_amboinensis_sialome/Table_1/links/TX-5-90-90-215-CLU.txt","Contig215")</f>
        <v>Contig215</v>
      </c>
      <c r="D160" s="4">
        <v>1</v>
      </c>
      <c r="E160">
        <v>167</v>
      </c>
      <c r="F160">
        <v>4.8</v>
      </c>
      <c r="G160">
        <v>77.2</v>
      </c>
      <c r="H160">
        <v>57</v>
      </c>
      <c r="I160">
        <v>215</v>
      </c>
      <c r="J160" t="s">
        <v>528</v>
      </c>
      <c r="K160">
        <v>57</v>
      </c>
      <c r="L160" s="3" t="s">
        <v>1035</v>
      </c>
      <c r="M160" s="4">
        <v>0</v>
      </c>
      <c r="N160" s="4">
        <v>0</v>
      </c>
      <c r="O160" s="4">
        <v>1</v>
      </c>
      <c r="P160" s="4">
        <v>0</v>
      </c>
      <c r="Q160" s="5" t="s">
        <v>1039</v>
      </c>
      <c r="Y160" t="s">
        <v>324</v>
      </c>
      <c r="Z160" s="2" t="s">
        <v>324</v>
      </c>
      <c r="AA160" t="s">
        <v>324</v>
      </c>
      <c r="AB160" t="s">
        <v>324</v>
      </c>
      <c r="AC160" t="s">
        <v>324</v>
      </c>
      <c r="AD160" t="s">
        <v>324</v>
      </c>
      <c r="AE160" t="s">
        <v>324</v>
      </c>
      <c r="AF160" t="s">
        <v>324</v>
      </c>
      <c r="AG160" s="2" t="s">
        <v>324</v>
      </c>
      <c r="AH160" t="s">
        <v>324</v>
      </c>
      <c r="AI160" t="s">
        <v>324</v>
      </c>
      <c r="AJ160" s="2" t="s">
        <v>324</v>
      </c>
      <c r="AK160" t="s">
        <v>324</v>
      </c>
      <c r="AL160" t="s">
        <v>324</v>
      </c>
      <c r="AM160" s="2" t="s">
        <v>324</v>
      </c>
      <c r="AN160" t="s">
        <v>324</v>
      </c>
      <c r="AO160" s="2" t="s">
        <v>324</v>
      </c>
      <c r="AP160" t="s">
        <v>324</v>
      </c>
      <c r="AQ160" s="2" t="s">
        <v>324</v>
      </c>
      <c r="AR160" t="s">
        <v>324</v>
      </c>
    </row>
    <row r="161" spans="1:44" ht="11.25">
      <c r="A161" t="str">
        <f>HYPERLINK("http://exon.niaid.nih.gov/transcriptome/Tx_amboinensis_sialome/Table_1/links/TX-contig_307.txt","TX-contig_307")</f>
        <v>TX-contig_307</v>
      </c>
      <c r="B161" t="str">
        <f>HYPERLINK("http://exon.niaid.nih.gov/transcriptome/Tx_amboinensis_sialome/Table_1/links/TX-5-90-90-asb-307.txt","Contig-307")</f>
        <v>Contig-307</v>
      </c>
      <c r="C161" t="str">
        <f>HYPERLINK("http://exon.niaid.nih.gov/transcriptome/Tx_amboinensis_sialome/Table_1/links/TX-5-90-90-307-CLU.txt","Contig307")</f>
        <v>Contig307</v>
      </c>
      <c r="D161" s="4">
        <v>1</v>
      </c>
      <c r="E161">
        <v>169</v>
      </c>
      <c r="F161">
        <v>2.4</v>
      </c>
      <c r="G161">
        <v>79.3</v>
      </c>
      <c r="H161">
        <v>76</v>
      </c>
      <c r="I161">
        <v>307</v>
      </c>
      <c r="J161" t="s">
        <v>1161</v>
      </c>
      <c r="K161">
        <v>76</v>
      </c>
      <c r="L161" s="3" t="s">
        <v>1035</v>
      </c>
      <c r="M161" s="4">
        <v>0</v>
      </c>
      <c r="N161" s="4">
        <v>0</v>
      </c>
      <c r="O161" s="4">
        <v>1</v>
      </c>
      <c r="P161" s="4">
        <v>0</v>
      </c>
      <c r="Q161" s="5" t="s">
        <v>1039</v>
      </c>
      <c r="Y161" t="s">
        <v>324</v>
      </c>
      <c r="Z161" s="2" t="s">
        <v>324</v>
      </c>
      <c r="AA161" t="s">
        <v>324</v>
      </c>
      <c r="AB161" t="s">
        <v>324</v>
      </c>
      <c r="AC161" t="s">
        <v>324</v>
      </c>
      <c r="AD161" t="s">
        <v>324</v>
      </c>
      <c r="AE161" t="s">
        <v>324</v>
      </c>
      <c r="AF161" t="s">
        <v>324</v>
      </c>
      <c r="AG161" s="2" t="s">
        <v>324</v>
      </c>
      <c r="AH161" t="s">
        <v>324</v>
      </c>
      <c r="AI161" t="s">
        <v>324</v>
      </c>
      <c r="AJ161" s="2" t="s">
        <v>324</v>
      </c>
      <c r="AK161" t="s">
        <v>324</v>
      </c>
      <c r="AL161" t="s">
        <v>324</v>
      </c>
      <c r="AM161" s="2" t="s">
        <v>324</v>
      </c>
      <c r="AN161" t="s">
        <v>324</v>
      </c>
      <c r="AO161" s="2" t="s">
        <v>324</v>
      </c>
      <c r="AP161" t="s">
        <v>324</v>
      </c>
      <c r="AQ161" s="2" t="s">
        <v>324</v>
      </c>
      <c r="AR161" t="s">
        <v>324</v>
      </c>
    </row>
    <row r="162" spans="1:44" ht="11.25">
      <c r="A162" t="str">
        <f>HYPERLINK("http://exon.niaid.nih.gov/transcriptome/Tx_amboinensis_sialome/Table_1/links/TX-contig_416.txt","TX-contig_416")</f>
        <v>TX-contig_416</v>
      </c>
      <c r="B162" t="str">
        <f>HYPERLINK("http://exon.niaid.nih.gov/transcriptome/Tx_amboinensis_sialome/Table_1/links/TX-5-90-90-asb-416.txt","Contig-416")</f>
        <v>Contig-416</v>
      </c>
      <c r="C162" t="str">
        <f>HYPERLINK("http://exon.niaid.nih.gov/transcriptome/Tx_amboinensis_sialome/Table_1/links/TX-5-90-90-416-CLU.txt","Contig416")</f>
        <v>Contig416</v>
      </c>
      <c r="D162" s="4">
        <v>1</v>
      </c>
      <c r="E162">
        <v>184</v>
      </c>
      <c r="F162">
        <v>0.5</v>
      </c>
      <c r="G162">
        <v>76.6</v>
      </c>
      <c r="H162">
        <v>117</v>
      </c>
      <c r="I162">
        <v>416</v>
      </c>
      <c r="J162" t="s">
        <v>1270</v>
      </c>
      <c r="K162">
        <v>117</v>
      </c>
      <c r="L162" s="3" t="s">
        <v>1035</v>
      </c>
      <c r="M162" s="4">
        <v>0</v>
      </c>
      <c r="N162" s="4">
        <v>0</v>
      </c>
      <c r="O162" s="4">
        <v>2</v>
      </c>
      <c r="P162" s="4">
        <v>0</v>
      </c>
      <c r="Q162" s="5" t="s">
        <v>1039</v>
      </c>
      <c r="Y162" t="s">
        <v>324</v>
      </c>
      <c r="Z162" s="2" t="s">
        <v>324</v>
      </c>
      <c r="AA162" t="s">
        <v>324</v>
      </c>
      <c r="AB162" t="s">
        <v>324</v>
      </c>
      <c r="AC162" t="s">
        <v>324</v>
      </c>
      <c r="AD162" t="s">
        <v>324</v>
      </c>
      <c r="AE162" t="s">
        <v>324</v>
      </c>
      <c r="AF162" t="s">
        <v>324</v>
      </c>
      <c r="AG162" s="2" t="str">
        <f>HYPERLINK("http://exon.niaid.nih.gov/transcriptome/Tx_amboinensis_sialome/Table_1/links/KOG\TX-contig_416-KOG.txt","Glycolipid 2-alpha-mannosyltransferase (alpha-1,2-mannosyltransferase)")</f>
        <v>Glycolipid 2-alpha-mannosyltransferase (alpha-1,2-mannosyltransferase)</v>
      </c>
      <c r="AH162" t="str">
        <f>HYPERLINK("http://www.ncbi.nlm.nih.gov/COG/new/shokog.cgi?KOG4472","0.77")</f>
        <v>0.77</v>
      </c>
      <c r="AI162" t="s">
        <v>177</v>
      </c>
      <c r="AJ162" s="2" t="str">
        <f>HYPERLINK("http://exon.niaid.nih.gov/transcriptome/Tx_amboinensis_sialome/Table_1/links/CDD\TX-contig_416-CDD.txt","Glyco_transf_15")</f>
        <v>Glyco_transf_15</v>
      </c>
      <c r="AK162" t="str">
        <f>HYPERLINK("http://www.ncbi.nlm.nih.gov/Structure/cdd/cddsrv.cgi?uid=pfam01793&amp;version=v4.0","0.57")</f>
        <v>0.57</v>
      </c>
      <c r="AL162" t="s">
        <v>1116</v>
      </c>
      <c r="AM162" s="2" t="str">
        <f>HYPERLINK("http://exon.niaid.nih.gov/transcriptome/Tx_amboinensis_sialome/Table_1/links/PFAM\TX-contig_416-PFAM.txt","Glyco_transf_15")</f>
        <v>Glyco_transf_15</v>
      </c>
      <c r="AN162" t="str">
        <f>HYPERLINK("http://pfam.wustl.edu/cgi-bin/getdesc?acc=PF01793","0.30")</f>
        <v>0.30</v>
      </c>
      <c r="AO162" s="2" t="s">
        <v>324</v>
      </c>
      <c r="AP162" t="s">
        <v>324</v>
      </c>
      <c r="AQ162" s="2" t="s">
        <v>324</v>
      </c>
      <c r="AR162" t="s">
        <v>324</v>
      </c>
    </row>
    <row r="163" spans="1:44" ht="11.25">
      <c r="A163" t="str">
        <f>HYPERLINK("http://exon.niaid.nih.gov/transcriptome/Tx_amboinensis_sialome/Table_1/links/TX-contig_238.txt","TX-contig_238")</f>
        <v>TX-contig_238</v>
      </c>
      <c r="B163" t="str">
        <f>HYPERLINK("http://exon.niaid.nih.gov/transcriptome/Tx_amboinensis_sialome/Table_1/links/TX-5-90-90-asb-238.txt","Contig-238")</f>
        <v>Contig-238</v>
      </c>
      <c r="C163" t="str">
        <f>HYPERLINK("http://exon.niaid.nih.gov/transcriptome/Tx_amboinensis_sialome/Table_1/links/TX-5-90-90-238-CLU.txt","Contig238")</f>
        <v>Contig238</v>
      </c>
      <c r="D163" s="4">
        <v>1</v>
      </c>
      <c r="E163">
        <v>180</v>
      </c>
      <c r="F163" t="s">
        <v>322</v>
      </c>
      <c r="G163">
        <v>90.6</v>
      </c>
      <c r="H163">
        <v>40</v>
      </c>
      <c r="I163">
        <v>238</v>
      </c>
      <c r="J163" t="s">
        <v>551</v>
      </c>
      <c r="K163">
        <v>40</v>
      </c>
      <c r="L163" s="3" t="s">
        <v>1035</v>
      </c>
      <c r="M163" s="4">
        <v>0</v>
      </c>
      <c r="N163" s="4">
        <v>0</v>
      </c>
      <c r="O163" s="4">
        <v>2</v>
      </c>
      <c r="P163" s="4">
        <v>0</v>
      </c>
      <c r="Q163" s="5" t="s">
        <v>1039</v>
      </c>
      <c r="Y163" t="s">
        <v>324</v>
      </c>
      <c r="Z163" s="2" t="s">
        <v>324</v>
      </c>
      <c r="AA163" t="s">
        <v>324</v>
      </c>
      <c r="AB163" t="s">
        <v>324</v>
      </c>
      <c r="AC163" t="s">
        <v>324</v>
      </c>
      <c r="AD163" t="s">
        <v>324</v>
      </c>
      <c r="AE163" t="s">
        <v>324</v>
      </c>
      <c r="AF163" t="s">
        <v>324</v>
      </c>
      <c r="AG163" s="2" t="s">
        <v>324</v>
      </c>
      <c r="AH163" t="s">
        <v>324</v>
      </c>
      <c r="AI163" t="s">
        <v>324</v>
      </c>
      <c r="AJ163" s="2" t="s">
        <v>324</v>
      </c>
      <c r="AK163" t="s">
        <v>324</v>
      </c>
      <c r="AL163" t="s">
        <v>324</v>
      </c>
      <c r="AM163" s="2" t="s">
        <v>324</v>
      </c>
      <c r="AN163" t="s">
        <v>324</v>
      </c>
      <c r="AO163" s="2" t="s">
        <v>324</v>
      </c>
      <c r="AP163" t="s">
        <v>324</v>
      </c>
      <c r="AQ163" s="2" t="s">
        <v>324</v>
      </c>
      <c r="AR163" t="s">
        <v>324</v>
      </c>
    </row>
    <row r="164" spans="1:44" ht="11.25">
      <c r="A164" t="str">
        <f>HYPERLINK("http://exon.niaid.nih.gov/transcriptome/Tx_amboinensis_sialome/Table_1/links/TX-contig_426.txt","TX-contig_426")</f>
        <v>TX-contig_426</v>
      </c>
      <c r="B164" t="str">
        <f>HYPERLINK("http://exon.niaid.nih.gov/transcriptome/Tx_amboinensis_sialome/Table_1/links/TX-5-90-90-asb-426.txt","Contig-426")</f>
        <v>Contig-426</v>
      </c>
      <c r="C164" t="str">
        <f>HYPERLINK("http://exon.niaid.nih.gov/transcriptome/Tx_amboinensis_sialome/Table_1/links/TX-5-90-90-426-CLU.txt","Contig426")</f>
        <v>Contig426</v>
      </c>
      <c r="D164" s="4">
        <v>1</v>
      </c>
      <c r="E164">
        <v>182</v>
      </c>
      <c r="F164" t="s">
        <v>322</v>
      </c>
      <c r="G164">
        <v>91.2</v>
      </c>
      <c r="H164">
        <v>62</v>
      </c>
      <c r="I164">
        <v>426</v>
      </c>
      <c r="J164" t="s">
        <v>1280</v>
      </c>
      <c r="K164">
        <v>62</v>
      </c>
      <c r="L164" s="3" t="s">
        <v>1035</v>
      </c>
      <c r="M164" s="4">
        <v>0</v>
      </c>
      <c r="N164" s="4">
        <v>0</v>
      </c>
      <c r="O164" s="4">
        <v>2</v>
      </c>
      <c r="P164" s="4">
        <v>0</v>
      </c>
      <c r="Q164" s="5" t="s">
        <v>1039</v>
      </c>
      <c r="Y164" t="s">
        <v>324</v>
      </c>
      <c r="Z164" s="2" t="s">
        <v>324</v>
      </c>
      <c r="AA164" t="s">
        <v>324</v>
      </c>
      <c r="AB164" t="s">
        <v>324</v>
      </c>
      <c r="AC164" t="s">
        <v>324</v>
      </c>
      <c r="AD164" t="s">
        <v>324</v>
      </c>
      <c r="AE164" t="s">
        <v>324</v>
      </c>
      <c r="AF164" t="s">
        <v>324</v>
      </c>
      <c r="AG164" s="2" t="s">
        <v>324</v>
      </c>
      <c r="AH164" t="s">
        <v>324</v>
      </c>
      <c r="AI164" t="s">
        <v>324</v>
      </c>
      <c r="AJ164" s="2" t="s">
        <v>324</v>
      </c>
      <c r="AK164" t="s">
        <v>324</v>
      </c>
      <c r="AL164" t="s">
        <v>324</v>
      </c>
      <c r="AM164" s="2" t="s">
        <v>324</v>
      </c>
      <c r="AN164" t="s">
        <v>324</v>
      </c>
      <c r="AO164" s="2" t="s">
        <v>324</v>
      </c>
      <c r="AP164" t="s">
        <v>324</v>
      </c>
      <c r="AQ164" s="2" t="s">
        <v>324</v>
      </c>
      <c r="AR164" t="s">
        <v>324</v>
      </c>
    </row>
    <row r="165" spans="1:44" ht="11.25">
      <c r="A165" t="str">
        <f>HYPERLINK("http://exon.niaid.nih.gov/transcriptome/Tx_amboinensis_sialome/Table_1/links/TX-contig_394.txt","TX-contig_394")</f>
        <v>TX-contig_394</v>
      </c>
      <c r="B165" t="str">
        <f>HYPERLINK("http://exon.niaid.nih.gov/transcriptome/Tx_amboinensis_sialome/Table_1/links/TX-5-90-90-asb-394.txt","Contig-394")</f>
        <v>Contig-394</v>
      </c>
      <c r="C165" t="str">
        <f>HYPERLINK("http://exon.niaid.nih.gov/transcriptome/Tx_amboinensis_sialome/Table_1/links/TX-5-90-90-394-CLU.txt","Contig394")</f>
        <v>Contig394</v>
      </c>
      <c r="D165" s="4">
        <v>1</v>
      </c>
      <c r="E165">
        <v>209</v>
      </c>
      <c r="F165">
        <v>1</v>
      </c>
      <c r="G165">
        <v>81.8</v>
      </c>
      <c r="H165">
        <v>115</v>
      </c>
      <c r="I165">
        <v>394</v>
      </c>
      <c r="J165" t="s">
        <v>1248</v>
      </c>
      <c r="K165">
        <v>115</v>
      </c>
      <c r="L165" s="3" t="s">
        <v>1035</v>
      </c>
      <c r="M165" s="4">
        <v>0</v>
      </c>
      <c r="N165" s="4">
        <v>0</v>
      </c>
      <c r="O165" s="4">
        <v>1</v>
      </c>
      <c r="P165" s="4">
        <v>0</v>
      </c>
      <c r="Q165" s="5" t="s">
        <v>1039</v>
      </c>
      <c r="Y165" t="s">
        <v>324</v>
      </c>
      <c r="Z165" s="2" t="s">
        <v>324</v>
      </c>
      <c r="AA165" t="s">
        <v>324</v>
      </c>
      <c r="AB165" t="s">
        <v>324</v>
      </c>
      <c r="AC165" t="s">
        <v>324</v>
      </c>
      <c r="AD165" t="s">
        <v>324</v>
      </c>
      <c r="AE165" t="s">
        <v>324</v>
      </c>
      <c r="AF165" t="s">
        <v>324</v>
      </c>
      <c r="AG165" s="2" t="str">
        <f>HYPERLINK("http://exon.niaid.nih.gov/transcriptome/Tx_amboinensis_sialome/Table_1/links/KOG\TX-contig_394-KOG.txt","Kinase A-anchor protein Neurobeachin and related BEACH and WD40 repeat proteins")</f>
        <v>Kinase A-anchor protein Neurobeachin and related BEACH and WD40 repeat proteins</v>
      </c>
      <c r="AH165" t="str">
        <f>HYPERLINK("http://www.ncbi.nlm.nih.gov/COG/new/shokog.cgi?KOG1787","0.62")</f>
        <v>0.62</v>
      </c>
      <c r="AI165" t="s">
        <v>233</v>
      </c>
      <c r="AJ165" s="2" t="s">
        <v>324</v>
      </c>
      <c r="AK165" t="s">
        <v>324</v>
      </c>
      <c r="AL165" t="s">
        <v>324</v>
      </c>
      <c r="AM165" s="2" t="str">
        <f>HYPERLINK("http://exon.niaid.nih.gov/transcriptome/Tx_amboinensis_sialome/Table_1/links/PFAM\TX-contig_394-PFAM.txt","Arteri_env")</f>
        <v>Arteri_env</v>
      </c>
      <c r="AN165" t="str">
        <f>HYPERLINK("http://pfam.wustl.edu/cgi-bin/getdesc?acc=PF01606","0.98")</f>
        <v>0.98</v>
      </c>
      <c r="AO165" s="2" t="str">
        <f>HYPERLINK("http://exon.niaid.nih.gov/transcriptome/Tx_amboinensis_sialome/Table_1/links/SMART\TX-contig_394-SMART.txt","BRLZ")</f>
        <v>BRLZ</v>
      </c>
      <c r="AP165" t="str">
        <f>HYPERLINK("http://smart.embl-heidelberg.de/smart/do_annotation.pl?DOMAIN=BRLZ&amp;BLAST=DUMMY","0.28")</f>
        <v>0.28</v>
      </c>
      <c r="AQ165" s="2" t="s">
        <v>324</v>
      </c>
      <c r="AR165" t="s">
        <v>324</v>
      </c>
    </row>
    <row r="166" spans="1:44" ht="11.25">
      <c r="A166" t="str">
        <f>HYPERLINK("http://exon.niaid.nih.gov/transcriptome/Tx_amboinensis_sialome/Table_1/links/TX-contig_77.txt","TX-contig_77")</f>
        <v>TX-contig_77</v>
      </c>
      <c r="B166" t="str">
        <f>HYPERLINK("http://exon.niaid.nih.gov/transcriptome/Tx_amboinensis_sialome/Table_1/links/TX-5-90-90-asb-77.txt","Contig-77")</f>
        <v>Contig-77</v>
      </c>
      <c r="C166" t="str">
        <f>HYPERLINK("http://exon.niaid.nih.gov/transcriptome/Tx_amboinensis_sialome/Table_1/links/TX-5-90-90-77-CLU.txt","Contig77")</f>
        <v>Contig77</v>
      </c>
      <c r="D166" s="4">
        <v>1</v>
      </c>
      <c r="E166">
        <v>207</v>
      </c>
      <c r="F166" t="s">
        <v>322</v>
      </c>
      <c r="G166">
        <v>89.9</v>
      </c>
      <c r="H166">
        <v>60</v>
      </c>
      <c r="I166">
        <v>77</v>
      </c>
      <c r="J166" t="s">
        <v>395</v>
      </c>
      <c r="K166">
        <v>60</v>
      </c>
      <c r="L166" s="3" t="s">
        <v>1035</v>
      </c>
      <c r="M166" s="4">
        <v>0</v>
      </c>
      <c r="N166" s="4">
        <v>0</v>
      </c>
      <c r="O166" s="4">
        <v>1</v>
      </c>
      <c r="P166" s="4">
        <v>0</v>
      </c>
      <c r="Q166" s="5" t="s">
        <v>1039</v>
      </c>
      <c r="Y166" t="s">
        <v>324</v>
      </c>
      <c r="Z166" s="2" t="s">
        <v>324</v>
      </c>
      <c r="AA166" t="s">
        <v>324</v>
      </c>
      <c r="AB166" t="s">
        <v>324</v>
      </c>
      <c r="AC166" t="s">
        <v>324</v>
      </c>
      <c r="AD166" t="s">
        <v>324</v>
      </c>
      <c r="AE166" t="s">
        <v>324</v>
      </c>
      <c r="AF166" t="s">
        <v>324</v>
      </c>
      <c r="AG166" s="2" t="s">
        <v>324</v>
      </c>
      <c r="AH166" t="s">
        <v>324</v>
      </c>
      <c r="AI166" t="s">
        <v>324</v>
      </c>
      <c r="AJ166" s="2" t="s">
        <v>324</v>
      </c>
      <c r="AK166" t="s">
        <v>324</v>
      </c>
      <c r="AL166" t="s">
        <v>324</v>
      </c>
      <c r="AM166" s="2" t="s">
        <v>324</v>
      </c>
      <c r="AN166" t="s">
        <v>324</v>
      </c>
      <c r="AO166" s="2" t="str">
        <f>HYPERLINK("http://exon.niaid.nih.gov/transcriptome/Tx_amboinensis_sialome/Table_1/links/SMART\TX-contig_77-SMART.txt","eIF2B_5")</f>
        <v>eIF2B_5</v>
      </c>
      <c r="AP166" t="str">
        <f>HYPERLINK("http://smart.embl-heidelberg.de/smart/do_annotation.pl?DOMAIN=eIF2B_5&amp;BLAST=DUMMY","0.29")</f>
        <v>0.29</v>
      </c>
      <c r="AQ166" s="2" t="s">
        <v>324</v>
      </c>
      <c r="AR166" t="s">
        <v>324</v>
      </c>
    </row>
    <row r="167" spans="1:44" ht="11.25">
      <c r="A167" t="str">
        <f>HYPERLINK("http://exon.niaid.nih.gov/transcriptome/Tx_amboinensis_sialome/Table_1/links/TX-contig_119.txt","TX-contig_119")</f>
        <v>TX-contig_119</v>
      </c>
      <c r="B167" t="str">
        <f>HYPERLINK("http://exon.niaid.nih.gov/transcriptome/Tx_amboinensis_sialome/Table_1/links/TX-5-90-90-asb-119.txt","Contig-119")</f>
        <v>Contig-119</v>
      </c>
      <c r="C167" t="str">
        <f>HYPERLINK("http://exon.niaid.nih.gov/transcriptome/Tx_amboinensis_sialome/Table_1/links/TX-5-90-90-119-CLU.txt","Contig119")</f>
        <v>Contig119</v>
      </c>
      <c r="D167" s="4">
        <v>1</v>
      </c>
      <c r="E167">
        <v>213</v>
      </c>
      <c r="F167">
        <v>0.5</v>
      </c>
      <c r="G167">
        <v>81.2</v>
      </c>
      <c r="H167">
        <v>115</v>
      </c>
      <c r="I167">
        <v>119</v>
      </c>
      <c r="J167" t="s">
        <v>435</v>
      </c>
      <c r="K167">
        <v>115</v>
      </c>
      <c r="L167" s="3" t="s">
        <v>1035</v>
      </c>
      <c r="M167" s="4">
        <v>0</v>
      </c>
      <c r="N167" s="4">
        <v>0</v>
      </c>
      <c r="O167" s="4">
        <v>3</v>
      </c>
      <c r="P167" s="4">
        <v>0</v>
      </c>
      <c r="Q167" s="5" t="s">
        <v>1039</v>
      </c>
      <c r="Y167" t="s">
        <v>324</v>
      </c>
      <c r="Z167" s="2" t="s">
        <v>324</v>
      </c>
      <c r="AA167" t="s">
        <v>324</v>
      </c>
      <c r="AB167" t="s">
        <v>324</v>
      </c>
      <c r="AC167" t="s">
        <v>324</v>
      </c>
      <c r="AD167" t="s">
        <v>324</v>
      </c>
      <c r="AE167" t="s">
        <v>324</v>
      </c>
      <c r="AF167" t="s">
        <v>324</v>
      </c>
      <c r="AG167" s="2" t="s">
        <v>324</v>
      </c>
      <c r="AH167" t="s">
        <v>324</v>
      </c>
      <c r="AI167" t="s">
        <v>324</v>
      </c>
      <c r="AJ167" s="2" t="s">
        <v>324</v>
      </c>
      <c r="AK167" t="s">
        <v>324</v>
      </c>
      <c r="AL167" t="s">
        <v>324</v>
      </c>
      <c r="AM167" s="2" t="s">
        <v>324</v>
      </c>
      <c r="AN167" t="s">
        <v>324</v>
      </c>
      <c r="AO167" s="2" t="str">
        <f>HYPERLINK("http://exon.niaid.nih.gov/transcriptome/Tx_amboinensis_sialome/Table_1/links/SMART\TX-contig_119-SMART.txt","FYVE")</f>
        <v>FYVE</v>
      </c>
      <c r="AP167" t="str">
        <f>HYPERLINK("http://smart.embl-heidelberg.de/smart/do_annotation.pl?DOMAIN=FYVE&amp;BLAST=DUMMY","0.83")</f>
        <v>0.83</v>
      </c>
      <c r="AQ167" s="2" t="s">
        <v>324</v>
      </c>
      <c r="AR167" t="s">
        <v>324</v>
      </c>
    </row>
    <row r="168" spans="1:44" ht="11.25">
      <c r="A168" t="str">
        <f>HYPERLINK("http://exon.niaid.nih.gov/transcriptome/Tx_amboinensis_sialome/Table_1/links/TX-contig_296.txt","TX-contig_296")</f>
        <v>TX-contig_296</v>
      </c>
      <c r="B168" t="str">
        <f>HYPERLINK("http://exon.niaid.nih.gov/transcriptome/Tx_amboinensis_sialome/Table_1/links/TX-5-90-90-asb-296.txt","Contig-296")</f>
        <v>Contig-296</v>
      </c>
      <c r="C168" t="str">
        <f>HYPERLINK("http://exon.niaid.nih.gov/transcriptome/Tx_amboinensis_sialome/Table_1/links/TX-5-90-90-296-CLU.txt","Contig296")</f>
        <v>Contig296</v>
      </c>
      <c r="D168" s="4">
        <v>1</v>
      </c>
      <c r="E168">
        <v>204</v>
      </c>
      <c r="F168">
        <v>0.5</v>
      </c>
      <c r="G168">
        <v>85.3</v>
      </c>
      <c r="H168">
        <v>83</v>
      </c>
      <c r="I168">
        <v>296</v>
      </c>
      <c r="J168" t="s">
        <v>609</v>
      </c>
      <c r="K168">
        <v>83</v>
      </c>
      <c r="L168" s="3" t="s">
        <v>1035</v>
      </c>
      <c r="M168" s="4">
        <v>0</v>
      </c>
      <c r="N168" s="4">
        <v>0</v>
      </c>
      <c r="O168" s="4">
        <v>3</v>
      </c>
      <c r="P168" s="4">
        <v>0</v>
      </c>
      <c r="Q168" s="5" t="s">
        <v>1039</v>
      </c>
      <c r="Y168" t="s">
        <v>324</v>
      </c>
      <c r="Z168" s="2" t="s">
        <v>324</v>
      </c>
      <c r="AA168" t="s">
        <v>324</v>
      </c>
      <c r="AB168" t="s">
        <v>324</v>
      </c>
      <c r="AC168" t="s">
        <v>324</v>
      </c>
      <c r="AD168" t="s">
        <v>324</v>
      </c>
      <c r="AE168" t="s">
        <v>324</v>
      </c>
      <c r="AF168" t="s">
        <v>324</v>
      </c>
      <c r="AG168" s="2" t="s">
        <v>324</v>
      </c>
      <c r="AH168" t="s">
        <v>324</v>
      </c>
      <c r="AI168" t="s">
        <v>324</v>
      </c>
      <c r="AJ168" s="2" t="s">
        <v>324</v>
      </c>
      <c r="AK168" t="s">
        <v>324</v>
      </c>
      <c r="AL168" t="s">
        <v>324</v>
      </c>
      <c r="AM168" s="2" t="s">
        <v>324</v>
      </c>
      <c r="AN168" t="s">
        <v>324</v>
      </c>
      <c r="AO168" s="2" t="s">
        <v>324</v>
      </c>
      <c r="AP168" t="s">
        <v>324</v>
      </c>
      <c r="AQ168" s="2" t="s">
        <v>324</v>
      </c>
      <c r="AR168" t="s">
        <v>324</v>
      </c>
    </row>
    <row r="169" spans="1:44" ht="11.25">
      <c r="A169" t="str">
        <f>HYPERLINK("http://exon.niaid.nih.gov/transcriptome/Tx_amboinensis_sialome/Table_1/links/TX-contig_302.txt","TX-contig_302")</f>
        <v>TX-contig_302</v>
      </c>
      <c r="B169" t="str">
        <f>HYPERLINK("http://exon.niaid.nih.gov/transcriptome/Tx_amboinensis_sialome/Table_1/links/TX-5-90-90-asb-302.txt","Contig-302")</f>
        <v>Contig-302</v>
      </c>
      <c r="C169" t="str">
        <f>HYPERLINK("http://exon.niaid.nih.gov/transcriptome/Tx_amboinensis_sialome/Table_1/links/TX-5-90-90-302-CLU.txt","Contig302")</f>
        <v>Contig302</v>
      </c>
      <c r="D169" s="4">
        <v>1</v>
      </c>
      <c r="E169">
        <v>206</v>
      </c>
      <c r="F169">
        <v>1</v>
      </c>
      <c r="G169">
        <v>68.9</v>
      </c>
      <c r="H169">
        <v>142</v>
      </c>
      <c r="I169">
        <v>302</v>
      </c>
      <c r="J169" t="s">
        <v>1156</v>
      </c>
      <c r="K169">
        <v>142</v>
      </c>
      <c r="L169" s="3" t="s">
        <v>1035</v>
      </c>
      <c r="M169" s="4">
        <v>0</v>
      </c>
      <c r="N169" s="4">
        <v>0</v>
      </c>
      <c r="O169" s="4">
        <v>1</v>
      </c>
      <c r="P169" s="4">
        <v>0</v>
      </c>
      <c r="Q169" s="5" t="s">
        <v>1039</v>
      </c>
      <c r="Y169" t="s">
        <v>324</v>
      </c>
      <c r="Z169" s="2" t="s">
        <v>324</v>
      </c>
      <c r="AA169" t="s">
        <v>324</v>
      </c>
      <c r="AB169" t="s">
        <v>324</v>
      </c>
      <c r="AC169" t="s">
        <v>324</v>
      </c>
      <c r="AD169" t="s">
        <v>324</v>
      </c>
      <c r="AE169" t="s">
        <v>324</v>
      </c>
      <c r="AF169" t="s">
        <v>324</v>
      </c>
      <c r="AG169" s="2" t="s">
        <v>324</v>
      </c>
      <c r="AH169" t="s">
        <v>324</v>
      </c>
      <c r="AI169" t="s">
        <v>324</v>
      </c>
      <c r="AJ169" s="2" t="s">
        <v>324</v>
      </c>
      <c r="AK169" t="s">
        <v>324</v>
      </c>
      <c r="AL169" t="s">
        <v>324</v>
      </c>
      <c r="AM169" s="2" t="s">
        <v>324</v>
      </c>
      <c r="AN169" t="s">
        <v>324</v>
      </c>
      <c r="AO169" s="2" t="str">
        <f>HYPERLINK("http://exon.niaid.nih.gov/transcriptome/Tx_amboinensis_sialome/Table_1/links/SMART\TX-contig_302-SMART.txt","G_alpha")</f>
        <v>G_alpha</v>
      </c>
      <c r="AP169" t="str">
        <f>HYPERLINK("http://smart.embl-heidelberg.de/smart/do_annotation.pl?DOMAIN=G_alpha&amp;BLAST=DUMMY","0.40")</f>
        <v>0.40</v>
      </c>
      <c r="AQ169" s="2" t="s">
        <v>324</v>
      </c>
      <c r="AR169" t="s">
        <v>324</v>
      </c>
    </row>
    <row r="170" spans="1:46" ht="11.25">
      <c r="A170" t="str">
        <f>HYPERLINK("http://exon.niaid.nih.gov/transcriptome/Tx_amboinensis_sialome/Table_1/links/TX-contig_439.txt","TX-contig_439")</f>
        <v>TX-contig_439</v>
      </c>
      <c r="B170" t="str">
        <f>HYPERLINK("http://exon.niaid.nih.gov/transcriptome/Tx_amboinensis_sialome/Table_1/links/TX-5-90-90-asb-439.txt","Contig-439")</f>
        <v>Contig-439</v>
      </c>
      <c r="C170" t="str">
        <f>HYPERLINK("http://exon.niaid.nih.gov/transcriptome/Tx_amboinensis_sialome/Table_1/links/TX-5-90-90-439-CLU.txt","Contig439")</f>
        <v>Contig439</v>
      </c>
      <c r="D170" s="4">
        <v>1</v>
      </c>
      <c r="E170">
        <v>103</v>
      </c>
      <c r="F170">
        <v>1.9</v>
      </c>
      <c r="G170">
        <v>71.8</v>
      </c>
      <c r="H170">
        <v>84</v>
      </c>
      <c r="I170">
        <v>439</v>
      </c>
      <c r="J170" t="s">
        <v>1293</v>
      </c>
      <c r="K170">
        <v>84</v>
      </c>
      <c r="L170" s="3" t="s">
        <v>1035</v>
      </c>
      <c r="M170" s="4">
        <v>0</v>
      </c>
      <c r="N170" s="4">
        <v>0</v>
      </c>
      <c r="O170" s="4">
        <v>1</v>
      </c>
      <c r="P170" s="4">
        <v>0</v>
      </c>
      <c r="Q170" s="5" t="s">
        <v>1039</v>
      </c>
      <c r="R170" s="2" t="str">
        <f>HYPERLINK("http://exon.niaid.nih.gov/transcriptome/Tx_amboinensis_sialome/Table_1/links/NR\TX-contig_439-NR.txt","GA15294-PA [Drosophila pseudoobscura]       31      15")</f>
        <v>GA15294-PA [Drosophila pseudoobscura]       31      15</v>
      </c>
      <c r="S170" s="4" t="str">
        <f>HYPERLINK("http://www.ncbi.nlm.nih.gov/sutils/blink.cgi?pid=54638597","15")</f>
        <v>15</v>
      </c>
      <c r="T170" t="s">
        <v>69</v>
      </c>
      <c r="U170" s="4">
        <v>50</v>
      </c>
      <c r="V170" s="4">
        <v>4</v>
      </c>
      <c r="W170" t="s">
        <v>70</v>
      </c>
      <c r="X170" t="s">
        <v>71</v>
      </c>
      <c r="Y170" t="s">
        <v>324</v>
      </c>
      <c r="Z170" s="2" t="s">
        <v>324</v>
      </c>
      <c r="AA170" t="s">
        <v>324</v>
      </c>
      <c r="AB170" t="s">
        <v>324</v>
      </c>
      <c r="AC170" t="s">
        <v>324</v>
      </c>
      <c r="AD170" t="s">
        <v>324</v>
      </c>
      <c r="AE170" t="s">
        <v>324</v>
      </c>
      <c r="AF170" t="s">
        <v>324</v>
      </c>
      <c r="AG170" s="2" t="str">
        <f>HYPERLINK("http://exon.niaid.nih.gov/transcriptome/Tx_amboinensis_sialome/Table_1/links/KOG\TX-contig_439-KOG.txt","Ankyrin repeat and DHHC-type Zn-finger domain containing proteins")</f>
        <v>Ankyrin repeat and DHHC-type Zn-finger domain containing proteins</v>
      </c>
      <c r="AH170" t="str">
        <f>HYPERLINK("http://www.ncbi.nlm.nih.gov/COG/new/shokog.cgi?KOG0509","0.091")</f>
        <v>0.091</v>
      </c>
      <c r="AI170" t="s">
        <v>1331</v>
      </c>
      <c r="AJ170" s="2" t="str">
        <f>HYPERLINK("http://exon.niaid.nih.gov/transcriptome/Tx_amboinensis_sialome/Table_1/links/CDD\TX-contig_439-CDD.txt","Papilloma_E5")</f>
        <v>Papilloma_E5</v>
      </c>
      <c r="AK170" t="str">
        <f>HYPERLINK("http://www.ncbi.nlm.nih.gov/Structure/cdd/cddsrv.cgi?uid=pfam03025&amp;version=v4.0","0.28")</f>
        <v>0.28</v>
      </c>
      <c r="AL170" t="s">
        <v>1004</v>
      </c>
      <c r="AM170" s="2" t="str">
        <f>HYPERLINK("http://exon.niaid.nih.gov/transcriptome/Tx_amboinensis_sialome/Table_1/links/PFAM\TX-contig_439-PFAM.txt","Papilloma_E5")</f>
        <v>Papilloma_E5</v>
      </c>
      <c r="AN170" t="str">
        <f>HYPERLINK("http://pfam.wustl.edu/cgi-bin/getdesc?acc=PF03025","0.15")</f>
        <v>0.15</v>
      </c>
      <c r="AO170" s="2" t="str">
        <f>HYPERLINK("http://exon.niaid.nih.gov/transcriptome/Tx_amboinensis_sialome/Table_1/links/SMART\TX-contig_439-SMART.txt","HTTM")</f>
        <v>HTTM</v>
      </c>
      <c r="AP170" t="str">
        <f>HYPERLINK("http://smart.embl-heidelberg.de/smart/do_annotation.pl?DOMAIN=HTTM&amp;BLAST=DUMMY","0.096")</f>
        <v>0.096</v>
      </c>
      <c r="AQ170" s="2" t="s">
        <v>324</v>
      </c>
      <c r="AR170" t="s">
        <v>324</v>
      </c>
      <c r="AS170" s="2" t="s">
        <v>324</v>
      </c>
      <c r="AT170" t="s">
        <v>324</v>
      </c>
    </row>
    <row r="171" spans="1:46" ht="11.25">
      <c r="A171" t="str">
        <f>HYPERLINK("http://exon.niaid.nih.gov/transcriptome/Tx_amboinensis_sialome/Table_1/links/TX-contig_100.txt","TX-contig_100")</f>
        <v>TX-contig_100</v>
      </c>
      <c r="B171" t="str">
        <f>HYPERLINK("http://exon.niaid.nih.gov/transcriptome/Tx_amboinensis_sialome/Table_1/links/TX-5-90-90-asb-100.txt","Contig-100")</f>
        <v>Contig-100</v>
      </c>
      <c r="C171" t="str">
        <f>HYPERLINK("http://exon.niaid.nih.gov/transcriptome/Tx_amboinensis_sialome/Table_1/links/TX-5-90-90-100-CLU.txt","Contig100")</f>
        <v>Contig100</v>
      </c>
      <c r="D171" s="4">
        <v>1</v>
      </c>
      <c r="E171">
        <v>243</v>
      </c>
      <c r="F171" t="s">
        <v>322</v>
      </c>
      <c r="G171">
        <v>71.2</v>
      </c>
      <c r="H171">
        <v>224</v>
      </c>
      <c r="I171">
        <v>100</v>
      </c>
      <c r="J171" t="s">
        <v>418</v>
      </c>
      <c r="K171">
        <v>224</v>
      </c>
      <c r="L171" s="3" t="s">
        <v>1035</v>
      </c>
      <c r="M171" s="4">
        <v>0</v>
      </c>
      <c r="N171" s="4">
        <v>0</v>
      </c>
      <c r="O171" s="4">
        <v>3</v>
      </c>
      <c r="P171" s="4">
        <v>0</v>
      </c>
      <c r="Q171" s="5" t="s">
        <v>1039</v>
      </c>
      <c r="Y171" t="s">
        <v>324</v>
      </c>
      <c r="Z171" s="2" t="s">
        <v>324</v>
      </c>
      <c r="AA171" t="s">
        <v>324</v>
      </c>
      <c r="AB171" t="s">
        <v>324</v>
      </c>
      <c r="AC171" t="s">
        <v>324</v>
      </c>
      <c r="AD171" t="s">
        <v>324</v>
      </c>
      <c r="AE171" t="s">
        <v>324</v>
      </c>
      <c r="AF171" t="s">
        <v>324</v>
      </c>
      <c r="AG171" s="2" t="str">
        <f>HYPERLINK("http://exon.niaid.nih.gov/transcriptome/Tx_amboinensis_sialome/Table_1/links/KOG\TX-contig_100-KOG.txt","Nucleoside transporter")</f>
        <v>Nucleoside transporter</v>
      </c>
      <c r="AH171" t="str">
        <f>HYPERLINK("http://www.ncbi.nlm.nih.gov/COG/new/shokog.cgi?KOG1479","0.22")</f>
        <v>0.22</v>
      </c>
      <c r="AI171" t="s">
        <v>255</v>
      </c>
      <c r="AJ171" s="2" t="s">
        <v>324</v>
      </c>
      <c r="AK171" t="s">
        <v>324</v>
      </c>
      <c r="AL171" t="s">
        <v>324</v>
      </c>
      <c r="AM171" s="2" t="str">
        <f>HYPERLINK("http://exon.niaid.nih.gov/transcriptome/Tx_amboinensis_sialome/Table_1/links/PFAM\TX-contig_100-PFAM.txt","DUF1315")</f>
        <v>DUF1315</v>
      </c>
      <c r="AN171" t="str">
        <f>HYPERLINK("http://pfam.wustl.edu/cgi-bin/getdesc?acc=PF07023","0.87")</f>
        <v>0.87</v>
      </c>
      <c r="AO171" s="2" t="str">
        <f>HYPERLINK("http://exon.niaid.nih.gov/transcriptome/Tx_amboinensis_sialome/Table_1/links/SMART\TX-contig_100-SMART.txt","CW")</f>
        <v>CW</v>
      </c>
      <c r="AP171" t="str">
        <f>HYPERLINK("http://smart.embl-heidelberg.de/smart/do_annotation.pl?DOMAIN=CW&amp;BLAST=DUMMY","0.12")</f>
        <v>0.12</v>
      </c>
      <c r="AQ171" s="2" t="s">
        <v>324</v>
      </c>
      <c r="AR171" t="s">
        <v>324</v>
      </c>
      <c r="AS171" s="2" t="s">
        <v>324</v>
      </c>
      <c r="AT171" t="s">
        <v>324</v>
      </c>
    </row>
    <row r="172" spans="1:46" ht="11.25">
      <c r="A172" t="str">
        <f>HYPERLINK("http://exon.niaid.nih.gov/transcriptome/Tx_amboinensis_sialome/Table_1/links/TX-contig_475.txt","TX-contig_475")</f>
        <v>TX-contig_475</v>
      </c>
      <c r="B172" t="str">
        <f>HYPERLINK("http://exon.niaid.nih.gov/transcriptome/Tx_amboinensis_sialome/Table_1/links/TX-5-90-90-asb-475.txt","Contig-475")</f>
        <v>Contig-475</v>
      </c>
      <c r="C172" t="str">
        <f>HYPERLINK("http://exon.niaid.nih.gov/transcriptome/Tx_amboinensis_sialome/Table_1/links/TX-5-90-90-475-CLU.txt","Contig475")</f>
        <v>Contig475</v>
      </c>
      <c r="D172" s="4">
        <v>1</v>
      </c>
      <c r="E172">
        <v>146</v>
      </c>
      <c r="F172" t="s">
        <v>322</v>
      </c>
      <c r="G172">
        <v>55.5</v>
      </c>
      <c r="H172">
        <v>127</v>
      </c>
      <c r="I172">
        <v>475</v>
      </c>
      <c r="J172" t="s">
        <v>645</v>
      </c>
      <c r="K172">
        <v>127</v>
      </c>
      <c r="L172" s="3" t="s">
        <v>1035</v>
      </c>
      <c r="M172" s="4">
        <v>0</v>
      </c>
      <c r="N172" s="4">
        <v>0</v>
      </c>
      <c r="O172" s="4">
        <v>1</v>
      </c>
      <c r="P172" s="4">
        <v>0</v>
      </c>
      <c r="Q172" s="5" t="s">
        <v>1039</v>
      </c>
      <c r="Y172" t="s">
        <v>324</v>
      </c>
      <c r="Z172" s="2" t="s">
        <v>324</v>
      </c>
      <c r="AA172" t="s">
        <v>324</v>
      </c>
      <c r="AB172" t="s">
        <v>324</v>
      </c>
      <c r="AC172" t="s">
        <v>324</v>
      </c>
      <c r="AD172" t="s">
        <v>324</v>
      </c>
      <c r="AE172" t="s">
        <v>324</v>
      </c>
      <c r="AF172" t="s">
        <v>324</v>
      </c>
      <c r="AG172" s="2" t="str">
        <f>HYPERLINK("http://exon.niaid.nih.gov/transcriptome/Tx_amboinensis_sialome/Table_1/links/KOG\TX-contig_475-KOG.txt","Netrin, axonal chemotropic factor")</f>
        <v>Netrin, axonal chemotropic factor</v>
      </c>
      <c r="AH172" t="str">
        <f>HYPERLINK("http://www.ncbi.nlm.nih.gov/COG/new/shokog.cgi?KOG3512","0.31")</f>
        <v>0.31</v>
      </c>
      <c r="AI172" t="s">
        <v>1320</v>
      </c>
      <c r="AJ172" s="2" t="s">
        <v>324</v>
      </c>
      <c r="AK172" t="s">
        <v>324</v>
      </c>
      <c r="AL172" t="s">
        <v>324</v>
      </c>
      <c r="AM172" s="2" t="str">
        <f>HYPERLINK("http://exon.niaid.nih.gov/transcriptome/Tx_amboinensis_sialome/Table_1/links/PFAM\TX-contig_475-PFAM.txt","ILVD_EDD")</f>
        <v>ILVD_EDD</v>
      </c>
      <c r="AN172" t="str">
        <f>HYPERLINK("http://pfam.wustl.edu/cgi-bin/getdesc?acc=PF00920","0.72")</f>
        <v>0.72</v>
      </c>
      <c r="AO172" s="2" t="str">
        <f>HYPERLINK("http://exon.niaid.nih.gov/transcriptome/Tx_amboinensis_sialome/Table_1/links/SMART\TX-contig_475-SMART.txt","EGF_Lam")</f>
        <v>EGF_Lam</v>
      </c>
      <c r="AP172" t="str">
        <f>HYPERLINK("http://smart.embl-heidelberg.de/smart/do_annotation.pl?DOMAIN=EGF_Lam&amp;BLAST=DUMMY","0.12")</f>
        <v>0.12</v>
      </c>
      <c r="AQ172" s="2" t="s">
        <v>324</v>
      </c>
      <c r="AR172" t="s">
        <v>324</v>
      </c>
      <c r="AS172" s="2" t="s">
        <v>324</v>
      </c>
      <c r="AT172" t="s">
        <v>324</v>
      </c>
    </row>
    <row r="173" spans="1:46" ht="11.25">
      <c r="A173" t="str">
        <f>HYPERLINK("http://exon.niaid.nih.gov/transcriptome/Tx_amboinensis_sialome/Table_1/links/TX-contig_95.txt","TX-contig_95")</f>
        <v>TX-contig_95</v>
      </c>
      <c r="B173" t="str">
        <f>HYPERLINK("http://exon.niaid.nih.gov/transcriptome/Tx_amboinensis_sialome/Table_1/links/TX-5-90-90-asb-95.txt","Contig-95")</f>
        <v>Contig-95</v>
      </c>
      <c r="C173" t="str">
        <f>HYPERLINK("http://exon.niaid.nih.gov/transcriptome/Tx_amboinensis_sialome/Table_1/links/TX-5-90-90-95-CLU.txt","Contig95")</f>
        <v>Contig95</v>
      </c>
      <c r="D173" s="4">
        <v>1</v>
      </c>
      <c r="E173">
        <v>242</v>
      </c>
      <c r="F173" t="s">
        <v>322</v>
      </c>
      <c r="G173">
        <v>68.6</v>
      </c>
      <c r="H173">
        <v>223</v>
      </c>
      <c r="I173">
        <v>95</v>
      </c>
      <c r="J173" t="s">
        <v>413</v>
      </c>
      <c r="K173">
        <v>223</v>
      </c>
      <c r="L173" s="3" t="s">
        <v>1035</v>
      </c>
      <c r="M173" s="4">
        <v>0</v>
      </c>
      <c r="N173" s="4">
        <v>0</v>
      </c>
      <c r="O173" s="4">
        <v>1</v>
      </c>
      <c r="P173" s="4">
        <v>0</v>
      </c>
      <c r="Q173" s="5" t="s">
        <v>1039</v>
      </c>
      <c r="Y173" t="s">
        <v>324</v>
      </c>
      <c r="Z173" s="2" t="s">
        <v>324</v>
      </c>
      <c r="AA173" t="s">
        <v>324</v>
      </c>
      <c r="AB173" t="s">
        <v>324</v>
      </c>
      <c r="AC173" t="s">
        <v>324</v>
      </c>
      <c r="AD173" t="s">
        <v>324</v>
      </c>
      <c r="AE173" t="s">
        <v>324</v>
      </c>
      <c r="AF173" t="s">
        <v>324</v>
      </c>
      <c r="AG173" s="2" t="str">
        <f>HYPERLINK("http://exon.niaid.nih.gov/transcriptome/Tx_amboinensis_sialome/Table_1/links/KOG\TX-contig_95-KOG.txt","Glycosylphosphatidylinositol anchor synthesis protein")</f>
        <v>Glycosylphosphatidylinositol anchor synthesis protein</v>
      </c>
      <c r="AH173" t="str">
        <f>HYPERLINK("http://www.ncbi.nlm.nih.gov/COG/new/shokog.cgi?KOG2124","0.40")</f>
        <v>0.40</v>
      </c>
      <c r="AI173" t="s">
        <v>1320</v>
      </c>
      <c r="AJ173" s="2" t="s">
        <v>324</v>
      </c>
      <c r="AK173" t="s">
        <v>324</v>
      </c>
      <c r="AL173" t="s">
        <v>324</v>
      </c>
      <c r="AM173" s="2" t="s">
        <v>324</v>
      </c>
      <c r="AN173" t="s">
        <v>324</v>
      </c>
      <c r="AO173" s="2" t="str">
        <f>HYPERLINK("http://exon.niaid.nih.gov/transcriptome/Tx_amboinensis_sialome/Table_1/links/SMART\TX-contig_95-SMART.txt","LITAF")</f>
        <v>LITAF</v>
      </c>
      <c r="AP173" t="str">
        <f>HYPERLINK("http://smart.embl-heidelberg.de/smart/do_annotation.pl?DOMAIN=LITAF&amp;BLAST=DUMMY","0.48")</f>
        <v>0.48</v>
      </c>
      <c r="AQ173" s="2" t="s">
        <v>324</v>
      </c>
      <c r="AR173" t="s">
        <v>324</v>
      </c>
      <c r="AS173" s="2" t="s">
        <v>324</v>
      </c>
      <c r="AT173" t="s">
        <v>324</v>
      </c>
    </row>
    <row r="174" spans="1:46" ht="11.25">
      <c r="A174" t="str">
        <f>HYPERLINK("http://exon.niaid.nih.gov/transcriptome/Tx_amboinensis_sialome/Table_1/links/TX-contig_120.txt","TX-contig_120")</f>
        <v>TX-contig_120</v>
      </c>
      <c r="B174" t="str">
        <f>HYPERLINK("http://exon.niaid.nih.gov/transcriptome/Tx_amboinensis_sialome/Table_1/links/TX-5-90-90-asb-120.txt","Contig-120")</f>
        <v>Contig-120</v>
      </c>
      <c r="C174" t="str">
        <f>HYPERLINK("http://exon.niaid.nih.gov/transcriptome/Tx_amboinensis_sialome/Table_1/links/TX-5-90-90-120-CLU.txt","Contig120")</f>
        <v>Contig120</v>
      </c>
      <c r="D174" s="4">
        <v>1</v>
      </c>
      <c r="E174">
        <v>237</v>
      </c>
      <c r="F174">
        <v>0.8</v>
      </c>
      <c r="G174">
        <v>65.4</v>
      </c>
      <c r="H174">
        <v>169</v>
      </c>
      <c r="I174">
        <v>120</v>
      </c>
      <c r="J174" t="s">
        <v>436</v>
      </c>
      <c r="K174">
        <v>169</v>
      </c>
      <c r="L174" s="3" t="s">
        <v>1035</v>
      </c>
      <c r="M174" s="4">
        <v>0</v>
      </c>
      <c r="N174" s="4">
        <v>0</v>
      </c>
      <c r="O174" s="4">
        <v>2</v>
      </c>
      <c r="P174" s="4">
        <v>0</v>
      </c>
      <c r="Q174" s="5" t="s">
        <v>1039</v>
      </c>
      <c r="Y174" t="s">
        <v>324</v>
      </c>
      <c r="Z174" s="2" t="s">
        <v>324</v>
      </c>
      <c r="AA174" t="s">
        <v>324</v>
      </c>
      <c r="AB174" t="s">
        <v>324</v>
      </c>
      <c r="AC174" t="s">
        <v>324</v>
      </c>
      <c r="AD174" t="s">
        <v>324</v>
      </c>
      <c r="AE174" t="s">
        <v>324</v>
      </c>
      <c r="AF174" t="s">
        <v>324</v>
      </c>
      <c r="AG174" s="2" t="str">
        <f>HYPERLINK("http://exon.niaid.nih.gov/transcriptome/Tx_amboinensis_sialome/Table_1/links/KOG\TX-contig_120-KOG.txt","Adenylate cyclase-coupled calcitonin receptor")</f>
        <v>Adenylate cyclase-coupled calcitonin receptor</v>
      </c>
      <c r="AH174" t="str">
        <f>HYPERLINK("http://www.ncbi.nlm.nih.gov/COG/new/shokog.cgi?KOG4564","0.50")</f>
        <v>0.50</v>
      </c>
      <c r="AI174" t="s">
        <v>1320</v>
      </c>
      <c r="AJ174" s="2" t="s">
        <v>324</v>
      </c>
      <c r="AK174" t="s">
        <v>324</v>
      </c>
      <c r="AL174" t="s">
        <v>324</v>
      </c>
      <c r="AM174" s="2" t="s">
        <v>324</v>
      </c>
      <c r="AN174" t="s">
        <v>324</v>
      </c>
      <c r="AO174" s="2" t="str">
        <f>HYPERLINK("http://exon.niaid.nih.gov/transcriptome/Tx_amboinensis_sialome/Table_1/links/SMART\TX-contig_120-SMART.txt","AMOP")</f>
        <v>AMOP</v>
      </c>
      <c r="AP174" t="str">
        <f>HYPERLINK("http://smart.embl-heidelberg.de/smart/do_annotation.pl?DOMAIN=AMOP&amp;BLAST=DUMMY","0.79")</f>
        <v>0.79</v>
      </c>
      <c r="AQ174" s="2" t="s">
        <v>324</v>
      </c>
      <c r="AR174" t="s">
        <v>324</v>
      </c>
      <c r="AS174" s="2" t="s">
        <v>324</v>
      </c>
      <c r="AT174" t="s">
        <v>324</v>
      </c>
    </row>
    <row r="175" spans="1:46" ht="11.25">
      <c r="A175" t="str">
        <f>HYPERLINK("http://exon.niaid.nih.gov/transcriptome/Tx_amboinensis_sialome/Table_1/links/TX-contig_45.txt","TX-contig_45")</f>
        <v>TX-contig_45</v>
      </c>
      <c r="B175" t="str">
        <f>HYPERLINK("http://exon.niaid.nih.gov/transcriptome/Tx_amboinensis_sialome/Table_1/links/TX-5-90-90-asb-45.txt","Contig-45")</f>
        <v>Contig-45</v>
      </c>
      <c r="C175" t="str">
        <f>HYPERLINK("http://exon.niaid.nih.gov/transcriptome/Tx_amboinensis_sialome/Table_1/links/TX-5-90-90-45-CLU.txt","Contig45")</f>
        <v>Contig45</v>
      </c>
      <c r="D175" s="4">
        <v>1</v>
      </c>
      <c r="E175">
        <v>181</v>
      </c>
      <c r="F175" t="s">
        <v>322</v>
      </c>
      <c r="G175">
        <v>65.7</v>
      </c>
      <c r="H175">
        <v>162</v>
      </c>
      <c r="I175">
        <v>45</v>
      </c>
      <c r="J175" t="s">
        <v>367</v>
      </c>
      <c r="K175">
        <v>162</v>
      </c>
      <c r="L175" s="3" t="s">
        <v>1035</v>
      </c>
      <c r="M175" s="4">
        <v>0</v>
      </c>
      <c r="N175" s="4">
        <v>0</v>
      </c>
      <c r="O175" s="4">
        <v>1</v>
      </c>
      <c r="P175" s="4">
        <v>0</v>
      </c>
      <c r="Q175" s="5" t="s">
        <v>1039</v>
      </c>
      <c r="Y175" t="s">
        <v>324</v>
      </c>
      <c r="Z175" s="2" t="s">
        <v>324</v>
      </c>
      <c r="AA175" t="s">
        <v>324</v>
      </c>
      <c r="AB175" t="s">
        <v>324</v>
      </c>
      <c r="AC175" t="s">
        <v>324</v>
      </c>
      <c r="AD175" t="s">
        <v>324</v>
      </c>
      <c r="AE175" t="s">
        <v>324</v>
      </c>
      <c r="AF175" t="s">
        <v>324</v>
      </c>
      <c r="AG175" s="2" t="str">
        <f>HYPERLINK("http://exon.niaid.nih.gov/transcriptome/Tx_amboinensis_sialome/Table_1/links/KOG\TX-contig_45-KOG.txt","Predicted coiled-coil protein")</f>
        <v>Predicted coiled-coil protein</v>
      </c>
      <c r="AH175" t="str">
        <f>HYPERLINK("http://www.ncbi.nlm.nih.gov/COG/new/shokog.cgi?KOG3679","0.54")</f>
        <v>0.54</v>
      </c>
      <c r="AI175" t="s">
        <v>1331</v>
      </c>
      <c r="AJ175" s="2" t="s">
        <v>324</v>
      </c>
      <c r="AK175" t="s">
        <v>324</v>
      </c>
      <c r="AL175" t="s">
        <v>324</v>
      </c>
      <c r="AM175" s="2" t="s">
        <v>324</v>
      </c>
      <c r="AN175" t="s">
        <v>324</v>
      </c>
      <c r="AO175" s="2" t="str">
        <f>HYPERLINK("http://exon.niaid.nih.gov/transcriptome/Tx_amboinensis_sialome/Table_1/links/SMART\TX-contig_45-SMART.txt","RasGAP")</f>
        <v>RasGAP</v>
      </c>
      <c r="AP175" t="str">
        <f>HYPERLINK("http://smart.embl-heidelberg.de/smart/do_annotation.pl?DOMAIN=RasGAP&amp;BLAST=DUMMY","0.52")</f>
        <v>0.52</v>
      </c>
      <c r="AQ175" s="2" t="s">
        <v>324</v>
      </c>
      <c r="AR175" t="s">
        <v>324</v>
      </c>
      <c r="AS175" s="2" t="s">
        <v>324</v>
      </c>
      <c r="AT175" t="s">
        <v>324</v>
      </c>
    </row>
    <row r="176" spans="1:46" ht="11.25">
      <c r="A176" t="str">
        <f>HYPERLINK("http://exon.niaid.nih.gov/transcriptome/Tx_amboinensis_sialome/Table_1/links/TX-contig_82.txt","TX-contig_82")</f>
        <v>TX-contig_82</v>
      </c>
      <c r="B176" t="str">
        <f>HYPERLINK("http://exon.niaid.nih.gov/transcriptome/Tx_amboinensis_sialome/Table_1/links/TX-5-90-90-asb-82.txt","Contig-82")</f>
        <v>Contig-82</v>
      </c>
      <c r="C176" t="str">
        <f>HYPERLINK("http://exon.niaid.nih.gov/transcriptome/Tx_amboinensis_sialome/Table_1/links/TX-5-90-90-82-CLU.txt","Contig82")</f>
        <v>Contig82</v>
      </c>
      <c r="D176" s="4">
        <v>1</v>
      </c>
      <c r="E176">
        <v>184</v>
      </c>
      <c r="F176" t="s">
        <v>322</v>
      </c>
      <c r="G176">
        <v>70.1</v>
      </c>
      <c r="H176">
        <v>165</v>
      </c>
      <c r="I176">
        <v>82</v>
      </c>
      <c r="J176" t="s">
        <v>400</v>
      </c>
      <c r="K176">
        <v>165</v>
      </c>
      <c r="L176" s="3" t="s">
        <v>1035</v>
      </c>
      <c r="M176" s="4">
        <v>0</v>
      </c>
      <c r="N176" s="4">
        <v>0</v>
      </c>
      <c r="O176" s="4">
        <v>1</v>
      </c>
      <c r="P176" s="4">
        <v>0</v>
      </c>
      <c r="Q176" s="5" t="s">
        <v>1039</v>
      </c>
      <c r="Y176" t="s">
        <v>324</v>
      </c>
      <c r="Z176" s="2" t="s">
        <v>324</v>
      </c>
      <c r="AA176" t="s">
        <v>324</v>
      </c>
      <c r="AB176" t="s">
        <v>324</v>
      </c>
      <c r="AC176" t="s">
        <v>324</v>
      </c>
      <c r="AD176" t="s">
        <v>324</v>
      </c>
      <c r="AE176" t="s">
        <v>324</v>
      </c>
      <c r="AF176" t="s">
        <v>324</v>
      </c>
      <c r="AG176" s="2" t="str">
        <f>HYPERLINK("http://exon.niaid.nih.gov/transcriptome/Tx_amboinensis_sialome/Table_1/links/KOG\TX-contig_82-KOG.txt","Integral membrane protein")</f>
        <v>Integral membrane protein</v>
      </c>
      <c r="AH176" t="str">
        <f>HYPERLINK("http://www.ncbi.nlm.nih.gov/COG/new/shokog.cgi?KOG2173","0.54")</f>
        <v>0.54</v>
      </c>
      <c r="AI176" t="s">
        <v>1331</v>
      </c>
      <c r="AJ176" s="2" t="str">
        <f>HYPERLINK("http://exon.niaid.nih.gov/transcriptome/Tx_amboinensis_sialome/Table_1/links/CDD\TX-contig_82-CDD.txt","APG9")</f>
        <v>APG9</v>
      </c>
      <c r="AK176" t="str">
        <f>HYPERLINK("http://www.ncbi.nlm.nih.gov/Structure/cdd/cddsrv.cgi?uid=pfam04109&amp;version=v4.0","0.50")</f>
        <v>0.50</v>
      </c>
      <c r="AL176" t="s">
        <v>964</v>
      </c>
      <c r="AM176" s="2" t="str">
        <f>HYPERLINK("http://exon.niaid.nih.gov/transcriptome/Tx_amboinensis_sialome/Table_1/links/PFAM\TX-contig_82-PFAM.txt","APG9")</f>
        <v>APG9</v>
      </c>
      <c r="AN176" t="str">
        <f>HYPERLINK("http://pfam.wustl.edu/cgi-bin/getdesc?acc=PF04109","0.27")</f>
        <v>0.27</v>
      </c>
      <c r="AO176" s="2" t="s">
        <v>324</v>
      </c>
      <c r="AP176" t="s">
        <v>324</v>
      </c>
      <c r="AQ176" s="2" t="s">
        <v>324</v>
      </c>
      <c r="AR176" t="s">
        <v>324</v>
      </c>
      <c r="AS176" s="2" t="s">
        <v>324</v>
      </c>
      <c r="AT176" t="s">
        <v>324</v>
      </c>
    </row>
    <row r="177" spans="1:46" ht="11.25">
      <c r="A177" t="str">
        <f>HYPERLINK("http://exon.niaid.nih.gov/transcriptome/Tx_amboinensis_sialome/Table_1/links/TX-contig_297.txt","TX-contig_297")</f>
        <v>TX-contig_297</v>
      </c>
      <c r="B177" t="str">
        <f>HYPERLINK("http://exon.niaid.nih.gov/transcriptome/Tx_amboinensis_sialome/Table_1/links/TX-5-90-90-asb-297.txt","Contig-297")</f>
        <v>Contig-297</v>
      </c>
      <c r="C177" t="str">
        <f>HYPERLINK("http://exon.niaid.nih.gov/transcriptome/Tx_amboinensis_sialome/Table_1/links/TX-5-90-90-297-CLU.txt","Contig297")</f>
        <v>Contig297</v>
      </c>
      <c r="D177" s="4">
        <v>1</v>
      </c>
      <c r="E177">
        <v>179</v>
      </c>
      <c r="F177" t="s">
        <v>322</v>
      </c>
      <c r="G177">
        <v>70.9</v>
      </c>
      <c r="H177">
        <v>160</v>
      </c>
      <c r="I177">
        <v>297</v>
      </c>
      <c r="J177" t="s">
        <v>610</v>
      </c>
      <c r="K177">
        <v>160</v>
      </c>
      <c r="L177" s="3" t="s">
        <v>1035</v>
      </c>
      <c r="M177" s="4">
        <v>0</v>
      </c>
      <c r="N177" s="4">
        <v>0</v>
      </c>
      <c r="O177" s="4">
        <v>1</v>
      </c>
      <c r="P177" s="4">
        <v>0</v>
      </c>
      <c r="Q177" s="5" t="s">
        <v>1039</v>
      </c>
      <c r="Y177" t="s">
        <v>324</v>
      </c>
      <c r="Z177" s="2" t="s">
        <v>324</v>
      </c>
      <c r="AA177" t="s">
        <v>324</v>
      </c>
      <c r="AB177" t="s">
        <v>324</v>
      </c>
      <c r="AC177" t="s">
        <v>324</v>
      </c>
      <c r="AD177" t="s">
        <v>324</v>
      </c>
      <c r="AE177" t="s">
        <v>324</v>
      </c>
      <c r="AF177" t="s">
        <v>324</v>
      </c>
      <c r="AG177" s="2" t="str">
        <f>HYPERLINK("http://exon.niaid.nih.gov/transcriptome/Tx_amboinensis_sialome/Table_1/links/KOG\TX-contig_297-KOG.txt","Low density lipoprotein receptor")</f>
        <v>Low density lipoprotein receptor</v>
      </c>
      <c r="AH177" t="str">
        <f>HYPERLINK("http://www.ncbi.nlm.nih.gov/COG/new/shokog.cgi?KOG2307","0.56")</f>
        <v>0.56</v>
      </c>
      <c r="AI177" t="s">
        <v>233</v>
      </c>
      <c r="AJ177" s="2" t="str">
        <f>HYPERLINK("http://exon.niaid.nih.gov/transcriptome/Tx_amboinensis_sialome/Table_1/links/CDD\TX-contig_297-CDD.txt","Peptidase_C19G")</f>
        <v>Peptidase_C19G</v>
      </c>
      <c r="AK177" t="str">
        <f>HYPERLINK("http://www.ncbi.nlm.nih.gov/Structure/cdd/cddsrv.cgi?uid=cd02663&amp;version=v4.0","0.52")</f>
        <v>0.52</v>
      </c>
      <c r="AL177" t="s">
        <v>743</v>
      </c>
      <c r="AM177" s="2" t="str">
        <f>HYPERLINK("http://exon.niaid.nih.gov/transcriptome/Tx_amboinensis_sialome/Table_1/links/PFAM\TX-contig_297-PFAM.txt","COG2")</f>
        <v>COG2</v>
      </c>
      <c r="AN177" t="str">
        <f>HYPERLINK("http://pfam.wustl.edu/cgi-bin/getdesc?acc=PF06148","0.47")</f>
        <v>0.47</v>
      </c>
      <c r="AO177" s="2" t="str">
        <f>HYPERLINK("http://exon.niaid.nih.gov/transcriptome/Tx_amboinensis_sialome/Table_1/links/SMART\TX-contig_297-SMART.txt","VPS10")</f>
        <v>VPS10</v>
      </c>
      <c r="AP177" t="str">
        <f>HYPERLINK("http://smart.embl-heidelberg.de/smart/do_annotation.pl?DOMAIN=VPS10&amp;BLAST=DUMMY","0.78")</f>
        <v>0.78</v>
      </c>
      <c r="AQ177" s="2" t="s">
        <v>324</v>
      </c>
      <c r="AR177" t="s">
        <v>324</v>
      </c>
      <c r="AS177" s="2" t="s">
        <v>324</v>
      </c>
      <c r="AT177" t="s">
        <v>324</v>
      </c>
    </row>
    <row r="178" spans="1:46" ht="11.25">
      <c r="A178" t="str">
        <f>HYPERLINK("http://exon.niaid.nih.gov/transcriptome/Tx_amboinensis_sialome/Table_1/links/TX-contig_347.txt","TX-contig_347")</f>
        <v>TX-contig_347</v>
      </c>
      <c r="B178" t="str">
        <f>HYPERLINK("http://exon.niaid.nih.gov/transcriptome/Tx_amboinensis_sialome/Table_1/links/TX-5-90-90-asb-347.txt","Contig-347")</f>
        <v>Contig-347</v>
      </c>
      <c r="C178" t="str">
        <f>HYPERLINK("http://exon.niaid.nih.gov/transcriptome/Tx_amboinensis_sialome/Table_1/links/TX-5-90-90-347-CLU.txt","Contig347")</f>
        <v>Contig347</v>
      </c>
      <c r="D178" s="4">
        <v>1</v>
      </c>
      <c r="E178">
        <v>199</v>
      </c>
      <c r="F178">
        <v>0.5</v>
      </c>
      <c r="G178">
        <v>60.3</v>
      </c>
      <c r="H178">
        <v>180</v>
      </c>
      <c r="I178">
        <v>347</v>
      </c>
      <c r="J178" t="s">
        <v>1201</v>
      </c>
      <c r="K178">
        <v>180</v>
      </c>
      <c r="L178" s="3" t="s">
        <v>1035</v>
      </c>
      <c r="M178" s="4">
        <v>0</v>
      </c>
      <c r="N178" s="4">
        <v>0</v>
      </c>
      <c r="O178" s="4">
        <v>1</v>
      </c>
      <c r="P178" s="4">
        <v>0</v>
      </c>
      <c r="Q178" s="5" t="s">
        <v>1039</v>
      </c>
      <c r="R178" s="2" t="str">
        <f>HYPERLINK("http://exon.niaid.nih.gov/transcriptome/Tx_amboinensis_sialome/Table_1/links/NR\TX-contig_347-NR.txt","ABC transporter [Streptococcus mutans]      32      12")</f>
        <v>ABC transporter [Streptococcus mutans]      32      12</v>
      </c>
      <c r="S178" s="4" t="str">
        <f>HYPERLINK("http://www.ncbi.nlm.nih.gov/sutils/blink.cgi?pid=88770850","12")</f>
        <v>12</v>
      </c>
      <c r="T178" t="s">
        <v>72</v>
      </c>
      <c r="U178" s="4">
        <v>36</v>
      </c>
      <c r="V178" s="4">
        <v>5</v>
      </c>
      <c r="W178" t="s">
        <v>73</v>
      </c>
      <c r="X178" t="s">
        <v>74</v>
      </c>
      <c r="Y178" t="s">
        <v>324</v>
      </c>
      <c r="Z178" s="2" t="s">
        <v>324</v>
      </c>
      <c r="AA178" t="s">
        <v>324</v>
      </c>
      <c r="AB178" t="s">
        <v>324</v>
      </c>
      <c r="AC178" t="s">
        <v>324</v>
      </c>
      <c r="AD178" t="s">
        <v>324</v>
      </c>
      <c r="AE178" t="s">
        <v>324</v>
      </c>
      <c r="AF178" t="s">
        <v>324</v>
      </c>
      <c r="AG178" s="2" t="str">
        <f>HYPERLINK("http://exon.niaid.nih.gov/transcriptome/Tx_amboinensis_sialome/Table_1/links/KOG\TX-contig_347-KOG.txt","Predicted UDP-galactose transporter")</f>
        <v>Predicted UDP-galactose transporter</v>
      </c>
      <c r="AH178" t="str">
        <f>HYPERLINK("http://www.ncbi.nlm.nih.gov/COG/new/shokog.cgi?KOG2234","0.60")</f>
        <v>0.60</v>
      </c>
      <c r="AI178" t="s">
        <v>177</v>
      </c>
      <c r="AJ178" s="2" t="str">
        <f>HYPERLINK("http://exon.niaid.nih.gov/transcriptome/Tx_amboinensis_sialome/Table_1/links/CDD\TX-contig_347-CDD.txt","COG3968")</f>
        <v>COG3968</v>
      </c>
      <c r="AK178" t="str">
        <f>HYPERLINK("http://www.ncbi.nlm.nih.gov/Structure/cdd/cddsrv.cgi?uid=COG3968&amp;version=v4.0","0.43")</f>
        <v>0.43</v>
      </c>
      <c r="AL178" t="s">
        <v>776</v>
      </c>
      <c r="AM178" s="2" t="str">
        <f>HYPERLINK("http://exon.niaid.nih.gov/transcriptome/Tx_amboinensis_sialome/Table_1/links/PFAM\TX-contig_347-PFAM.txt","Ycf4")</f>
        <v>Ycf4</v>
      </c>
      <c r="AN178" t="str">
        <f>HYPERLINK("http://pfam.wustl.edu/cgi-bin/getdesc?acc=PF02392","0.76")</f>
        <v>0.76</v>
      </c>
      <c r="AO178" s="2" t="str">
        <f>HYPERLINK("http://exon.niaid.nih.gov/transcriptome/Tx_amboinensis_sialome/Table_1/links/SMART\TX-contig_347-SMART.txt","B561")</f>
        <v>B561</v>
      </c>
      <c r="AP178" t="str">
        <f>HYPERLINK("http://smart.embl-heidelberg.de/smart/do_annotation.pl?DOMAIN=B561&amp;BLAST=DUMMY","0.14")</f>
        <v>0.14</v>
      </c>
      <c r="AQ178" s="2" t="s">
        <v>324</v>
      </c>
      <c r="AR178" t="s">
        <v>324</v>
      </c>
      <c r="AS178" s="2" t="s">
        <v>324</v>
      </c>
      <c r="AT178" t="s">
        <v>324</v>
      </c>
    </row>
    <row r="179" spans="1:46" ht="11.25">
      <c r="A179" t="str">
        <f>HYPERLINK("http://exon.niaid.nih.gov/transcriptome/Tx_amboinensis_sialome/Table_1/links/TX-contig_197.txt","TX-contig_197")</f>
        <v>TX-contig_197</v>
      </c>
      <c r="B179" t="str">
        <f>HYPERLINK("http://exon.niaid.nih.gov/transcriptome/Tx_amboinensis_sialome/Table_1/links/TX-5-90-90-asb-197.txt","Contig-197")</f>
        <v>Contig-197</v>
      </c>
      <c r="C179" t="str">
        <f>HYPERLINK("http://exon.niaid.nih.gov/transcriptome/Tx_amboinensis_sialome/Table_1/links/TX-5-90-90-197-CLU.txt","Contig197")</f>
        <v>Contig197</v>
      </c>
      <c r="D179" s="4">
        <v>1</v>
      </c>
      <c r="E179">
        <v>193</v>
      </c>
      <c r="F179" t="s">
        <v>322</v>
      </c>
      <c r="G179">
        <v>71.5</v>
      </c>
      <c r="H179">
        <v>174</v>
      </c>
      <c r="I179">
        <v>197</v>
      </c>
      <c r="J179" t="s">
        <v>510</v>
      </c>
      <c r="K179">
        <v>174</v>
      </c>
      <c r="L179" s="3" t="s">
        <v>1035</v>
      </c>
      <c r="M179" s="4">
        <v>0</v>
      </c>
      <c r="N179" s="4">
        <v>0</v>
      </c>
      <c r="O179" s="4">
        <v>1</v>
      </c>
      <c r="P179" s="4">
        <v>0</v>
      </c>
      <c r="Q179" s="5" t="s">
        <v>1039</v>
      </c>
      <c r="Y179" t="s">
        <v>324</v>
      </c>
      <c r="Z179" s="2" t="s">
        <v>324</v>
      </c>
      <c r="AA179" t="s">
        <v>324</v>
      </c>
      <c r="AB179" t="s">
        <v>324</v>
      </c>
      <c r="AC179" t="s">
        <v>324</v>
      </c>
      <c r="AD179" t="s">
        <v>324</v>
      </c>
      <c r="AE179" t="s">
        <v>324</v>
      </c>
      <c r="AF179" t="s">
        <v>324</v>
      </c>
      <c r="AG179" s="2" t="str">
        <f>HYPERLINK("http://exon.niaid.nih.gov/transcriptome/Tx_amboinensis_sialome/Table_1/links/KOG\TX-contig_197-KOG.txt","COP9 signalosome, subunit CSN1")</f>
        <v>COP9 signalosome, subunit CSN1</v>
      </c>
      <c r="AH179" t="str">
        <f>HYPERLINK("http://www.ncbi.nlm.nih.gov/COG/new/shokog.cgi?KOG0686","0.66")</f>
        <v>0.66</v>
      </c>
      <c r="AI179" t="s">
        <v>870</v>
      </c>
      <c r="AJ179" s="2" t="s">
        <v>324</v>
      </c>
      <c r="AK179" t="s">
        <v>324</v>
      </c>
      <c r="AL179" t="s">
        <v>324</v>
      </c>
      <c r="AM179" s="2" t="s">
        <v>324</v>
      </c>
      <c r="AN179" t="s">
        <v>324</v>
      </c>
      <c r="AO179" s="2" t="str">
        <f>HYPERLINK("http://exon.niaid.nih.gov/transcriptome/Tx_amboinensis_sialome/Table_1/links/SMART\TX-contig_197-SMART.txt","DDT")</f>
        <v>DDT</v>
      </c>
      <c r="AP179" t="str">
        <f>HYPERLINK("http://smart.embl-heidelberg.de/smart/do_annotation.pl?DOMAIN=DDT&amp;BLAST=DUMMY","0.060")</f>
        <v>0.060</v>
      </c>
      <c r="AQ179" s="2" t="s">
        <v>324</v>
      </c>
      <c r="AR179" t="s">
        <v>324</v>
      </c>
      <c r="AS179" s="2" t="s">
        <v>324</v>
      </c>
      <c r="AT179" t="s">
        <v>324</v>
      </c>
    </row>
    <row r="180" spans="1:46" ht="11.25">
      <c r="A180" t="str">
        <f>HYPERLINK("http://exon.niaid.nih.gov/transcriptome/Tx_amboinensis_sialome/Table_1/links/TX-contig_433.txt","TX-contig_433")</f>
        <v>TX-contig_433</v>
      </c>
      <c r="B180" t="str">
        <f>HYPERLINK("http://exon.niaid.nih.gov/transcriptome/Tx_amboinensis_sialome/Table_1/links/TX-5-90-90-asb-433.txt","Contig-433")</f>
        <v>Contig-433</v>
      </c>
      <c r="C180" t="str">
        <f>HYPERLINK("http://exon.niaid.nih.gov/transcriptome/Tx_amboinensis_sialome/Table_1/links/TX-5-90-90-433-CLU.txt","Contig433")</f>
        <v>Contig433</v>
      </c>
      <c r="D180" s="4">
        <v>1</v>
      </c>
      <c r="E180">
        <v>135</v>
      </c>
      <c r="F180" t="s">
        <v>322</v>
      </c>
      <c r="G180">
        <v>61.5</v>
      </c>
      <c r="H180">
        <v>116</v>
      </c>
      <c r="I180">
        <v>433</v>
      </c>
      <c r="J180" t="s">
        <v>1287</v>
      </c>
      <c r="K180">
        <v>116</v>
      </c>
      <c r="L180" s="3" t="s">
        <v>1035</v>
      </c>
      <c r="M180" s="4">
        <v>0</v>
      </c>
      <c r="N180" s="4">
        <v>0</v>
      </c>
      <c r="O180" s="4">
        <v>2</v>
      </c>
      <c r="P180" s="4">
        <v>0</v>
      </c>
      <c r="Q180" s="5" t="s">
        <v>1039</v>
      </c>
      <c r="R180" s="2" t="str">
        <f>HYPERLINK("http://exon.niaid.nih.gov/transcriptome/Tx_amboinensis_sialome/Table_1/links/NR\TX-contig_433-NR.txt","Putative cyclase [Rhodospirillum ru")</f>
        <v>Putative cyclase [Rhodospirillum ru</v>
      </c>
      <c r="S180" s="4" t="str">
        <f>HYPERLINK("http://www.ncbi.nlm.nih.gov/sutils/blink.cgi?pid=83591482","20")</f>
        <v>20</v>
      </c>
      <c r="T180" t="s">
        <v>75</v>
      </c>
      <c r="U180" s="4">
        <v>54</v>
      </c>
      <c r="V180" s="4">
        <v>7</v>
      </c>
      <c r="W180" t="s">
        <v>76</v>
      </c>
      <c r="X180" t="s">
        <v>77</v>
      </c>
      <c r="Y180" t="s">
        <v>324</v>
      </c>
      <c r="Z180" s="2" t="s">
        <v>324</v>
      </c>
      <c r="AA180" t="s">
        <v>324</v>
      </c>
      <c r="AB180" t="s">
        <v>324</v>
      </c>
      <c r="AC180" t="s">
        <v>324</v>
      </c>
      <c r="AD180" t="s">
        <v>324</v>
      </c>
      <c r="AE180" t="s">
        <v>324</v>
      </c>
      <c r="AF180" t="s">
        <v>324</v>
      </c>
      <c r="AG180" s="2" t="str">
        <f>HYPERLINK("http://exon.niaid.nih.gov/transcriptome/Tx_amboinensis_sialome/Table_1/links/KOG\TX-contig_433-KOG.txt","Glycolipid 2-alpha-mannosyltransferase (alpha-1,2-mannosyltransferase)")</f>
        <v>Glycolipid 2-alpha-mannosyltransferase (alpha-1,2-mannosyltransferase)</v>
      </c>
      <c r="AH180" t="str">
        <f>HYPERLINK("http://www.ncbi.nlm.nih.gov/COG/new/shokog.cgi?KOG4472","0.77")</f>
        <v>0.77</v>
      </c>
      <c r="AI180" t="s">
        <v>177</v>
      </c>
      <c r="AJ180" s="2" t="str">
        <f>HYPERLINK("http://exon.niaid.nih.gov/transcriptome/Tx_amboinensis_sialome/Table_1/links/CDD\TX-contig_433-CDD.txt","Glyco_transf_15")</f>
        <v>Glyco_transf_15</v>
      </c>
      <c r="AK180" t="str">
        <f>HYPERLINK("http://www.ncbi.nlm.nih.gov/Structure/cdd/cddsrv.cgi?uid=pfam01793&amp;version=v4.0","0.58")</f>
        <v>0.58</v>
      </c>
      <c r="AL180" t="s">
        <v>1116</v>
      </c>
      <c r="AM180" s="2" t="str">
        <f>HYPERLINK("http://exon.niaid.nih.gov/transcriptome/Tx_amboinensis_sialome/Table_1/links/PFAM\TX-contig_433-PFAM.txt","Glyco_transf_15")</f>
        <v>Glyco_transf_15</v>
      </c>
      <c r="AN180" t="str">
        <f>HYPERLINK("http://pfam.wustl.edu/cgi-bin/getdesc?acc=PF01793","0.31")</f>
        <v>0.31</v>
      </c>
      <c r="AO180" s="2" t="s">
        <v>324</v>
      </c>
      <c r="AP180" t="s">
        <v>324</v>
      </c>
      <c r="AQ180" s="2" t="s">
        <v>324</v>
      </c>
      <c r="AR180" t="s">
        <v>324</v>
      </c>
      <c r="AS180" s="2" t="s">
        <v>324</v>
      </c>
      <c r="AT180" t="s">
        <v>324</v>
      </c>
    </row>
    <row r="181" spans="1:46" ht="11.25">
      <c r="A181" t="str">
        <f>HYPERLINK("http://exon.niaid.nih.gov/transcriptome/Tx_amboinensis_sialome/Table_1/links/TX-contig_54.txt","TX-contig_54")</f>
        <v>TX-contig_54</v>
      </c>
      <c r="B181" t="str">
        <f>HYPERLINK("http://exon.niaid.nih.gov/transcriptome/Tx_amboinensis_sialome/Table_1/links/TX-5-90-90-asb-54.txt","Contig-54")</f>
        <v>Contig-54</v>
      </c>
      <c r="C181" t="str">
        <f>HYPERLINK("http://exon.niaid.nih.gov/transcriptome/Tx_amboinensis_sialome/Table_1/links/TX-5-90-90-54-CLU.txt","Contig54")</f>
        <v>Contig54</v>
      </c>
      <c r="D181" s="4">
        <v>1</v>
      </c>
      <c r="E181">
        <v>172</v>
      </c>
      <c r="F181" t="s">
        <v>322</v>
      </c>
      <c r="G181">
        <v>54.7</v>
      </c>
      <c r="H181">
        <v>153</v>
      </c>
      <c r="I181">
        <v>54</v>
      </c>
      <c r="J181" t="s">
        <v>375</v>
      </c>
      <c r="K181">
        <v>153</v>
      </c>
      <c r="L181" s="3" t="s">
        <v>1035</v>
      </c>
      <c r="M181" s="4">
        <v>0</v>
      </c>
      <c r="N181" s="4">
        <v>0</v>
      </c>
      <c r="O181" s="4">
        <v>1</v>
      </c>
      <c r="P181" s="4">
        <v>0</v>
      </c>
      <c r="Q181" s="5" t="s">
        <v>1039</v>
      </c>
      <c r="Y181" t="s">
        <v>324</v>
      </c>
      <c r="Z181" s="2" t="s">
        <v>324</v>
      </c>
      <c r="AA181" t="s">
        <v>324</v>
      </c>
      <c r="AB181" t="s">
        <v>324</v>
      </c>
      <c r="AC181" t="s">
        <v>324</v>
      </c>
      <c r="AD181" t="s">
        <v>324</v>
      </c>
      <c r="AE181" t="s">
        <v>324</v>
      </c>
      <c r="AF181" t="s">
        <v>324</v>
      </c>
      <c r="AG181" s="2" t="str">
        <f>HYPERLINK("http://exon.niaid.nih.gov/transcriptome/Tx_amboinensis_sialome/Table_1/links/KOG\TX-contig_54-KOG.txt","Metallothionein-like protein")</f>
        <v>Metallothionein-like protein</v>
      </c>
      <c r="AH181" t="str">
        <f>HYPERLINK("http://www.ncbi.nlm.nih.gov/COG/new/shokog.cgi?KOG1171","0.78")</f>
        <v>0.78</v>
      </c>
      <c r="AI181" t="s">
        <v>840</v>
      </c>
      <c r="AJ181" s="2" t="s">
        <v>324</v>
      </c>
      <c r="AK181" t="s">
        <v>324</v>
      </c>
      <c r="AL181" t="s">
        <v>324</v>
      </c>
      <c r="AM181" s="2" t="s">
        <v>324</v>
      </c>
      <c r="AN181" t="s">
        <v>324</v>
      </c>
      <c r="AO181" s="2" t="str">
        <f>HYPERLINK("http://exon.niaid.nih.gov/transcriptome/Tx_amboinensis_sialome/Table_1/links/SMART\TX-contig_54-SMART.txt","SAA")</f>
        <v>SAA</v>
      </c>
      <c r="AP181" t="str">
        <f>HYPERLINK("http://smart.embl-heidelberg.de/smart/do_annotation.pl?DOMAIN=SAA&amp;BLAST=DUMMY","0.11")</f>
        <v>0.11</v>
      </c>
      <c r="AQ181" s="2" t="s">
        <v>324</v>
      </c>
      <c r="AR181" t="s">
        <v>324</v>
      </c>
      <c r="AS181" s="2" t="s">
        <v>324</v>
      </c>
      <c r="AT181" t="s">
        <v>324</v>
      </c>
    </row>
    <row r="182" spans="1:46" ht="11.25">
      <c r="A182" t="str">
        <f>HYPERLINK("http://exon.niaid.nih.gov/transcriptome/Tx_amboinensis_sialome/Table_1/links/TX-contig_129.txt","TX-contig_129")</f>
        <v>TX-contig_129</v>
      </c>
      <c r="B182" t="str">
        <f>HYPERLINK("http://exon.niaid.nih.gov/transcriptome/Tx_amboinensis_sialome/Table_1/links/TX-5-90-90-asb-129.txt","Contig-129")</f>
        <v>Contig-129</v>
      </c>
      <c r="C182" t="str">
        <f>HYPERLINK("http://exon.niaid.nih.gov/transcriptome/Tx_amboinensis_sialome/Table_1/links/TX-5-90-90-129-CLU.txt","Contig129")</f>
        <v>Contig129</v>
      </c>
      <c r="D182" s="4">
        <v>1</v>
      </c>
      <c r="E182">
        <v>170</v>
      </c>
      <c r="F182">
        <v>0.6</v>
      </c>
      <c r="G182">
        <v>74.7</v>
      </c>
      <c r="H182">
        <v>108</v>
      </c>
      <c r="I182">
        <v>129</v>
      </c>
      <c r="J182" t="s">
        <v>445</v>
      </c>
      <c r="K182">
        <v>108</v>
      </c>
      <c r="L182" s="3" t="s">
        <v>1035</v>
      </c>
      <c r="M182" s="4">
        <v>0</v>
      </c>
      <c r="N182" s="4">
        <v>0</v>
      </c>
      <c r="O182" s="4">
        <v>2</v>
      </c>
      <c r="P182" s="4">
        <v>0</v>
      </c>
      <c r="Q182" s="5" t="s">
        <v>1039</v>
      </c>
      <c r="Y182" t="s">
        <v>324</v>
      </c>
      <c r="Z182" s="2" t="s">
        <v>324</v>
      </c>
      <c r="AA182" t="s">
        <v>324</v>
      </c>
      <c r="AB182" t="s">
        <v>324</v>
      </c>
      <c r="AC182" t="s">
        <v>324</v>
      </c>
      <c r="AD182" t="s">
        <v>324</v>
      </c>
      <c r="AE182" t="s">
        <v>324</v>
      </c>
      <c r="AF182" t="s">
        <v>324</v>
      </c>
      <c r="AG182" s="2" t="str">
        <f>HYPERLINK("http://exon.niaid.nih.gov/transcriptome/Tx_amboinensis_sialome/Table_1/links/KOG\TX-contig_129-KOG.txt","Glycolipid 2-alpha-mannosyltransferase (alpha-1,2-mannosyltransferase)")</f>
        <v>Glycolipid 2-alpha-mannosyltransferase (alpha-1,2-mannosyltransferase)</v>
      </c>
      <c r="AH182" t="str">
        <f>HYPERLINK("http://www.ncbi.nlm.nih.gov/COG/new/shokog.cgi?KOG4472","0.78")</f>
        <v>0.78</v>
      </c>
      <c r="AI182" t="s">
        <v>177</v>
      </c>
      <c r="AJ182" s="2" t="str">
        <f>HYPERLINK("http://exon.niaid.nih.gov/transcriptome/Tx_amboinensis_sialome/Table_1/links/CDD\TX-contig_129-CDD.txt","Glyco_transf_15")</f>
        <v>Glyco_transf_15</v>
      </c>
      <c r="AK182" t="str">
        <f>HYPERLINK("http://www.ncbi.nlm.nih.gov/Structure/cdd/cddsrv.cgi?uid=pfam01793&amp;version=v4.0","0.58")</f>
        <v>0.58</v>
      </c>
      <c r="AL182" t="s">
        <v>1116</v>
      </c>
      <c r="AM182" s="2" t="str">
        <f>HYPERLINK("http://exon.niaid.nih.gov/transcriptome/Tx_amboinensis_sialome/Table_1/links/PFAM\TX-contig_129-PFAM.txt","Glyco_transf_15")</f>
        <v>Glyco_transf_15</v>
      </c>
      <c r="AN182" t="str">
        <f>HYPERLINK("http://pfam.wustl.edu/cgi-bin/getdesc?acc=PF01793","0.31")</f>
        <v>0.31</v>
      </c>
      <c r="AO182" s="2" t="s">
        <v>324</v>
      </c>
      <c r="AP182" t="s">
        <v>324</v>
      </c>
      <c r="AQ182" s="2" t="s">
        <v>324</v>
      </c>
      <c r="AR182" t="s">
        <v>324</v>
      </c>
      <c r="AS182" s="2" t="s">
        <v>324</v>
      </c>
      <c r="AT182" t="s">
        <v>324</v>
      </c>
    </row>
    <row r="183" spans="1:46" ht="11.25">
      <c r="A183" t="str">
        <f>HYPERLINK("http://exon.niaid.nih.gov/transcriptome/Tx_amboinensis_sialome/Table_1/links/TX-contig_217.txt","TX-contig_217")</f>
        <v>TX-contig_217</v>
      </c>
      <c r="B183" t="str">
        <f>HYPERLINK("http://exon.niaid.nih.gov/transcriptome/Tx_amboinensis_sialome/Table_1/links/TX-5-90-90-asb-217.txt","Contig-217")</f>
        <v>Contig-217</v>
      </c>
      <c r="C183" t="str">
        <f>HYPERLINK("http://exon.niaid.nih.gov/transcriptome/Tx_amboinensis_sialome/Table_1/links/TX-5-90-90-217-CLU.txt","Contig217")</f>
        <v>Contig217</v>
      </c>
      <c r="D183" s="4">
        <v>1</v>
      </c>
      <c r="E183">
        <v>124</v>
      </c>
      <c r="F183" t="s">
        <v>322</v>
      </c>
      <c r="G183">
        <v>67.7</v>
      </c>
      <c r="H183">
        <v>105</v>
      </c>
      <c r="I183">
        <v>217</v>
      </c>
      <c r="J183" t="s">
        <v>530</v>
      </c>
      <c r="K183">
        <v>105</v>
      </c>
      <c r="L183" s="3" t="s">
        <v>1035</v>
      </c>
      <c r="M183" s="4">
        <v>0</v>
      </c>
      <c r="N183" s="4">
        <v>0</v>
      </c>
      <c r="O183" s="4">
        <v>3</v>
      </c>
      <c r="P183" s="4">
        <v>0</v>
      </c>
      <c r="Q183" s="5" t="s">
        <v>1039</v>
      </c>
      <c r="Y183" t="s">
        <v>324</v>
      </c>
      <c r="Z183" s="2" t="s">
        <v>324</v>
      </c>
      <c r="AA183" t="s">
        <v>324</v>
      </c>
      <c r="AB183" t="s">
        <v>324</v>
      </c>
      <c r="AC183" t="s">
        <v>324</v>
      </c>
      <c r="AD183" t="s">
        <v>324</v>
      </c>
      <c r="AE183" t="s">
        <v>324</v>
      </c>
      <c r="AF183" t="s">
        <v>324</v>
      </c>
      <c r="AG183" s="2" t="str">
        <f>HYPERLINK("http://exon.niaid.nih.gov/transcriptome/Tx_amboinensis_sialome/Table_1/links/KOG\TX-contig_217-KOG.txt","Glycolipid 2-alpha-mannosyltransferase (alpha-1,2-mannosyltransferase)")</f>
        <v>Glycolipid 2-alpha-mannosyltransferase (alpha-1,2-mannosyltransferase)</v>
      </c>
      <c r="AH183" t="str">
        <f>HYPERLINK("http://www.ncbi.nlm.nih.gov/COG/new/shokog.cgi?KOG4472","0.78")</f>
        <v>0.78</v>
      </c>
      <c r="AI183" t="s">
        <v>177</v>
      </c>
      <c r="AJ183" s="2" t="str">
        <f>HYPERLINK("http://exon.niaid.nih.gov/transcriptome/Tx_amboinensis_sialome/Table_1/links/CDD\TX-contig_217-CDD.txt","Glyco_transf_15")</f>
        <v>Glyco_transf_15</v>
      </c>
      <c r="AK183" t="str">
        <f>HYPERLINK("http://www.ncbi.nlm.nih.gov/Structure/cdd/cddsrv.cgi?uid=pfam01793&amp;version=v4.0","0.57")</f>
        <v>0.57</v>
      </c>
      <c r="AL183" t="s">
        <v>1116</v>
      </c>
      <c r="AM183" s="2" t="str">
        <f>HYPERLINK("http://exon.niaid.nih.gov/transcriptome/Tx_amboinensis_sialome/Table_1/links/PFAM\TX-contig_217-PFAM.txt","Glyco_transf_15")</f>
        <v>Glyco_transf_15</v>
      </c>
      <c r="AN183" t="str">
        <f>HYPERLINK("http://pfam.wustl.edu/cgi-bin/getdesc?acc=PF01793","0.31")</f>
        <v>0.31</v>
      </c>
      <c r="AO183" s="2" t="str">
        <f>HYPERLINK("http://exon.niaid.nih.gov/transcriptome/Tx_amboinensis_sialome/Table_1/links/SMART\TX-contig_217-SMART.txt","B561")</f>
        <v>B561</v>
      </c>
      <c r="AP183" t="str">
        <f>HYPERLINK("http://smart.embl-heidelberg.de/smart/do_annotation.pl?DOMAIN=B561&amp;BLAST=DUMMY","0.89")</f>
        <v>0.89</v>
      </c>
      <c r="AQ183" s="2" t="s">
        <v>324</v>
      </c>
      <c r="AR183" t="s">
        <v>324</v>
      </c>
      <c r="AS183" s="2" t="s">
        <v>324</v>
      </c>
      <c r="AT183" t="s">
        <v>324</v>
      </c>
    </row>
    <row r="184" spans="1:46" ht="11.25">
      <c r="A184" t="str">
        <f>HYPERLINK("http://exon.niaid.nih.gov/transcriptome/Tx_amboinensis_sialome/Table_1/links/TX-contig_97.txt","TX-contig_97")</f>
        <v>TX-contig_97</v>
      </c>
      <c r="B184" t="str">
        <f>HYPERLINK("http://exon.niaid.nih.gov/transcriptome/Tx_amboinensis_sialome/Table_1/links/TX-5-90-90-asb-97.txt","Contig-97")</f>
        <v>Contig-97</v>
      </c>
      <c r="C184" t="str">
        <f>HYPERLINK("http://exon.niaid.nih.gov/transcriptome/Tx_amboinensis_sialome/Table_1/links/TX-5-90-90-97-CLU.txt","Contig97")</f>
        <v>Contig97</v>
      </c>
      <c r="D184" s="4">
        <v>1</v>
      </c>
      <c r="E184">
        <v>178</v>
      </c>
      <c r="F184" t="s">
        <v>322</v>
      </c>
      <c r="G184">
        <v>69.1</v>
      </c>
      <c r="H184">
        <v>159</v>
      </c>
      <c r="I184">
        <v>97</v>
      </c>
      <c r="J184" t="s">
        <v>415</v>
      </c>
      <c r="K184">
        <v>159</v>
      </c>
      <c r="L184" s="3" t="s">
        <v>1035</v>
      </c>
      <c r="M184" s="4">
        <v>0</v>
      </c>
      <c r="N184" s="4">
        <v>0</v>
      </c>
      <c r="O184" s="4">
        <v>2</v>
      </c>
      <c r="P184" s="4">
        <v>0</v>
      </c>
      <c r="Q184" s="5" t="s">
        <v>1039</v>
      </c>
      <c r="R184" s="2" t="str">
        <f>HYPERLINK("http://exon.niaid.nih.gov/transcriptome/Tx_amboinensis_sialome/Table_1/links/NR\TX-contig_97-NR.txt","pyruvate formate lyase-activating")</f>
        <v>pyruvate formate lyase-activating</v>
      </c>
      <c r="S184" s="4" t="str">
        <f>HYPERLINK("http://www.ncbi.nlm.nih.gov/sutils/blink.cgi?pid=89094294","20")</f>
        <v>20</v>
      </c>
      <c r="T184" t="s">
        <v>78</v>
      </c>
      <c r="U184" s="4">
        <v>30</v>
      </c>
      <c r="V184" s="4">
        <v>13</v>
      </c>
      <c r="W184" t="s">
        <v>79</v>
      </c>
      <c r="X184" t="s">
        <v>80</v>
      </c>
      <c r="Y184" t="s">
        <v>324</v>
      </c>
      <c r="Z184" s="2" t="s">
        <v>324</v>
      </c>
      <c r="AA184" t="s">
        <v>324</v>
      </c>
      <c r="AB184" t="s">
        <v>324</v>
      </c>
      <c r="AC184" t="s">
        <v>324</v>
      </c>
      <c r="AD184" t="s">
        <v>324</v>
      </c>
      <c r="AE184" t="s">
        <v>324</v>
      </c>
      <c r="AF184" t="s">
        <v>324</v>
      </c>
      <c r="AG184" s="2" t="str">
        <f>HYPERLINK("http://exon.niaid.nih.gov/transcriptome/Tx_amboinensis_sialome/Table_1/links/KOG\TX-contig_97-KOG.txt","Tumor differentially expressed (TDE) protein")</f>
        <v>Tumor differentially expressed (TDE) protein</v>
      </c>
      <c r="AH184" t="str">
        <f>HYPERLINK("http://www.ncbi.nlm.nih.gov/COG/new/shokog.cgi?KOG2592","0.90")</f>
        <v>0.90</v>
      </c>
      <c r="AI184" t="s">
        <v>900</v>
      </c>
      <c r="AJ184" s="2" t="s">
        <v>324</v>
      </c>
      <c r="AK184" t="s">
        <v>324</v>
      </c>
      <c r="AL184" t="s">
        <v>324</v>
      </c>
      <c r="AM184" s="2" t="s">
        <v>324</v>
      </c>
      <c r="AN184" t="s">
        <v>324</v>
      </c>
      <c r="AO184" s="2" t="str">
        <f>HYPERLINK("http://exon.niaid.nih.gov/transcriptome/Tx_amboinensis_sialome/Table_1/links/SMART\TX-contig_97-SMART.txt","FU")</f>
        <v>FU</v>
      </c>
      <c r="AP184" t="str">
        <f>HYPERLINK("http://smart.embl-heidelberg.de/smart/do_annotation.pl?DOMAIN=FU&amp;BLAST=DUMMY","0.25")</f>
        <v>0.25</v>
      </c>
      <c r="AQ184" s="2" t="s">
        <v>324</v>
      </c>
      <c r="AR184" t="s">
        <v>324</v>
      </c>
      <c r="AS184" s="2" t="s">
        <v>324</v>
      </c>
      <c r="AT184" t="s">
        <v>324</v>
      </c>
    </row>
    <row r="185" spans="1:46" ht="11.25">
      <c r="A185" t="str">
        <f>HYPERLINK("http://exon.niaid.nih.gov/transcriptome/Tx_amboinensis_sialome/Table_1/links/TX-contig_48.txt","TX-contig_48")</f>
        <v>TX-contig_48</v>
      </c>
      <c r="B185" t="str">
        <f>HYPERLINK("http://exon.niaid.nih.gov/transcriptome/Tx_amboinensis_sialome/Table_1/links/TX-5-90-90-asb-48.txt","Contig-48")</f>
        <v>Contig-48</v>
      </c>
      <c r="C185" t="str">
        <f>HYPERLINK("http://exon.niaid.nih.gov/transcriptome/Tx_amboinensis_sialome/Table_1/links/TX-5-90-90-48-CLU.txt","Contig48")</f>
        <v>Contig48</v>
      </c>
      <c r="D185" s="4">
        <v>1</v>
      </c>
      <c r="E185">
        <v>235</v>
      </c>
      <c r="F185" t="s">
        <v>322</v>
      </c>
      <c r="G185">
        <v>72.3</v>
      </c>
      <c r="H185">
        <v>216</v>
      </c>
      <c r="I185">
        <v>48</v>
      </c>
      <c r="J185" t="s">
        <v>370</v>
      </c>
      <c r="K185">
        <v>216</v>
      </c>
      <c r="L185" s="3" t="s">
        <v>1035</v>
      </c>
      <c r="M185" s="4">
        <v>0</v>
      </c>
      <c r="N185" s="4">
        <v>0</v>
      </c>
      <c r="O185" s="4">
        <v>1</v>
      </c>
      <c r="P185" s="4">
        <v>0</v>
      </c>
      <c r="Q185" s="5" t="s">
        <v>1039</v>
      </c>
      <c r="R185" s="2" t="str">
        <f>HYPERLINK("http://exon.niaid.nih.gov/transcriptome/Tx_amboinensis_sialome/Table_1/links/NR\TX-contig_48-NR.txt","bonT [Clostridium botulinum]                31      15")</f>
        <v>bonT [Clostridium botulinum]                31      15</v>
      </c>
      <c r="S185" s="4" t="str">
        <f>HYPERLINK("http://www.ncbi.nlm.nih.gov/sutils/blink.cgi?pid=3805785","15")</f>
        <v>15</v>
      </c>
      <c r="T185" t="s">
        <v>81</v>
      </c>
      <c r="U185" s="4">
        <v>43</v>
      </c>
      <c r="V185" s="4">
        <v>2</v>
      </c>
      <c r="W185" t="s">
        <v>82</v>
      </c>
      <c r="X185" t="s">
        <v>83</v>
      </c>
      <c r="Y185" t="s">
        <v>324</v>
      </c>
      <c r="Z185" s="2" t="s">
        <v>324</v>
      </c>
      <c r="AA185" t="s">
        <v>324</v>
      </c>
      <c r="AB185" t="s">
        <v>324</v>
      </c>
      <c r="AC185" t="s">
        <v>324</v>
      </c>
      <c r="AD185" t="s">
        <v>324</v>
      </c>
      <c r="AE185" t="s">
        <v>324</v>
      </c>
      <c r="AF185" t="s">
        <v>324</v>
      </c>
      <c r="AG185" s="2" t="str">
        <f>HYPERLINK("http://exon.niaid.nih.gov/transcriptome/Tx_amboinensis_sialome/Table_1/links/KOG\TX-contig_48-KOG.txt","Alpha-mannosidase")</f>
        <v>Alpha-mannosidase</v>
      </c>
      <c r="AH185" t="str">
        <f>HYPERLINK("http://www.ncbi.nlm.nih.gov/COG/new/shokog.cgi?KOG4342","0.94")</f>
        <v>0.94</v>
      </c>
      <c r="AI185" t="s">
        <v>177</v>
      </c>
      <c r="AJ185" s="2" t="str">
        <f>HYPERLINK("http://exon.niaid.nih.gov/transcriptome/Tx_amboinensis_sialome/Table_1/links/CDD\TX-contig_48-CDD.txt","ZZ_Mind_bomb")</f>
        <v>ZZ_Mind_bomb</v>
      </c>
      <c r="AK185" t="str">
        <f>HYPERLINK("http://www.ncbi.nlm.nih.gov/Structure/cdd/cddsrv.cgi?uid=cd02339&amp;version=v4.0","0.58")</f>
        <v>0.58</v>
      </c>
      <c r="AL185" t="s">
        <v>813</v>
      </c>
      <c r="AM185" s="2" t="s">
        <v>324</v>
      </c>
      <c r="AN185" t="s">
        <v>324</v>
      </c>
      <c r="AO185" s="2" t="str">
        <f>HYPERLINK("http://exon.niaid.nih.gov/transcriptome/Tx_amboinensis_sialome/Table_1/links/SMART\TX-contig_48-SMART.txt","CARP")</f>
        <v>CARP</v>
      </c>
      <c r="AP185" t="str">
        <f>HYPERLINK("http://smart.embl-heidelberg.de/smart/do_annotation.pl?DOMAIN=CARP&amp;BLAST=DUMMY","0.26")</f>
        <v>0.26</v>
      </c>
      <c r="AQ185" s="2" t="s">
        <v>324</v>
      </c>
      <c r="AR185" t="s">
        <v>324</v>
      </c>
      <c r="AS185" s="2" t="s">
        <v>324</v>
      </c>
      <c r="AT185" t="s">
        <v>324</v>
      </c>
    </row>
    <row r="186" spans="1:46" ht="11.25">
      <c r="A186" t="str">
        <f>HYPERLINK("http://exon.niaid.nih.gov/transcriptome/Tx_amboinensis_sialome/Table_1/links/TX-contig_5.txt","TX-contig_5")</f>
        <v>TX-contig_5</v>
      </c>
      <c r="B186" t="str">
        <f>HYPERLINK("http://exon.niaid.nih.gov/transcriptome/Tx_amboinensis_sialome/Table_1/links/TX-5-90-90-asb-5.txt","Contig-5")</f>
        <v>Contig-5</v>
      </c>
      <c r="C186" t="str">
        <f>HYPERLINK("http://exon.niaid.nih.gov/transcriptome/Tx_amboinensis_sialome/Table_1/links/TX-5-90-90-5-CLU.txt","Contig5")</f>
        <v>Contig5</v>
      </c>
      <c r="D186" s="4">
        <v>1</v>
      </c>
      <c r="E186">
        <v>180</v>
      </c>
      <c r="F186">
        <v>2.2</v>
      </c>
      <c r="G186">
        <v>67.8</v>
      </c>
      <c r="H186">
        <v>136</v>
      </c>
      <c r="I186">
        <v>5</v>
      </c>
      <c r="J186" t="s">
        <v>328</v>
      </c>
      <c r="K186">
        <v>161</v>
      </c>
      <c r="L186" s="3" t="s">
        <v>1035</v>
      </c>
      <c r="M186" s="4">
        <v>0</v>
      </c>
      <c r="N186" s="4">
        <v>0</v>
      </c>
      <c r="O186" s="4">
        <v>2</v>
      </c>
      <c r="P186" s="4">
        <v>0</v>
      </c>
      <c r="Q186" s="5" t="s">
        <v>1039</v>
      </c>
      <c r="Y186" t="s">
        <v>324</v>
      </c>
      <c r="Z186" s="2" t="s">
        <v>324</v>
      </c>
      <c r="AA186" t="s">
        <v>324</v>
      </c>
      <c r="AB186" t="s">
        <v>324</v>
      </c>
      <c r="AC186" t="s">
        <v>324</v>
      </c>
      <c r="AD186" t="s">
        <v>324</v>
      </c>
      <c r="AE186" t="s">
        <v>324</v>
      </c>
      <c r="AF186" t="s">
        <v>324</v>
      </c>
      <c r="AG186" s="2" t="s">
        <v>324</v>
      </c>
      <c r="AH186" t="s">
        <v>324</v>
      </c>
      <c r="AI186" t="s">
        <v>324</v>
      </c>
      <c r="AJ186" s="2" t="s">
        <v>324</v>
      </c>
      <c r="AK186" t="s">
        <v>324</v>
      </c>
      <c r="AL186" t="s">
        <v>324</v>
      </c>
      <c r="AM186" s="2" t="str">
        <f>HYPERLINK("http://exon.niaid.nih.gov/transcriptome/Tx_amboinensis_sialome/Table_1/links/PFAM\TX-contig_5-PFAM.txt","NSP11")</f>
        <v>NSP11</v>
      </c>
      <c r="AN186" t="str">
        <f>HYPERLINK("http://pfam.wustl.edu/cgi-bin/getdesc?acc=PF06471","0.10")</f>
        <v>0.10</v>
      </c>
      <c r="AO186" s="2" t="str">
        <f>HYPERLINK("http://exon.niaid.nih.gov/transcriptome/Tx_amboinensis_sialome/Table_1/links/SMART\TX-contig_5-SMART.txt","PTPc")</f>
        <v>PTPc</v>
      </c>
      <c r="AP186" t="str">
        <f>HYPERLINK("http://smart.embl-heidelberg.de/smart/do_annotation.pl?DOMAIN=PTPc&amp;BLAST=DUMMY","0.58")</f>
        <v>0.58</v>
      </c>
      <c r="AQ186" s="2" t="s">
        <v>324</v>
      </c>
      <c r="AR186" t="s">
        <v>324</v>
      </c>
      <c r="AS186" s="2" t="s">
        <v>324</v>
      </c>
      <c r="AT186" t="s">
        <v>324</v>
      </c>
    </row>
    <row r="187" spans="1:46" ht="11.25">
      <c r="A187" t="str">
        <f>HYPERLINK("http://exon.niaid.nih.gov/transcriptome/Tx_amboinensis_sialome/Table_1/links/TX-contig_52.txt","TX-contig_52")</f>
        <v>TX-contig_52</v>
      </c>
      <c r="B187" t="str">
        <f>HYPERLINK("http://exon.niaid.nih.gov/transcriptome/Tx_amboinensis_sialome/Table_1/links/TX-5-90-90-asb-52.txt","Contig-52")</f>
        <v>Contig-52</v>
      </c>
      <c r="C187" t="str">
        <f>HYPERLINK("http://exon.niaid.nih.gov/transcriptome/Tx_amboinensis_sialome/Table_1/links/TX-5-90-90-52-CLU.txt","Contig52")</f>
        <v>Contig52</v>
      </c>
      <c r="D187" s="4">
        <v>1</v>
      </c>
      <c r="E187">
        <v>106</v>
      </c>
      <c r="F187" t="s">
        <v>322</v>
      </c>
      <c r="G187">
        <v>78.3</v>
      </c>
      <c r="H187">
        <v>78</v>
      </c>
      <c r="I187">
        <v>52</v>
      </c>
      <c r="J187" t="s">
        <v>373</v>
      </c>
      <c r="K187">
        <v>78</v>
      </c>
      <c r="L187" s="3" t="s">
        <v>1035</v>
      </c>
      <c r="M187" s="4">
        <v>0</v>
      </c>
      <c r="N187" s="4">
        <v>0</v>
      </c>
      <c r="O187" s="4">
        <v>1</v>
      </c>
      <c r="P187" s="4">
        <v>0</v>
      </c>
      <c r="Q187" s="5" t="s">
        <v>1039</v>
      </c>
      <c r="Y187" t="s">
        <v>324</v>
      </c>
      <c r="Z187" s="2" t="s">
        <v>324</v>
      </c>
      <c r="AA187" t="s">
        <v>324</v>
      </c>
      <c r="AB187" t="s">
        <v>324</v>
      </c>
      <c r="AC187" t="s">
        <v>324</v>
      </c>
      <c r="AD187" t="s">
        <v>324</v>
      </c>
      <c r="AE187" t="s">
        <v>324</v>
      </c>
      <c r="AF187" t="s">
        <v>324</v>
      </c>
      <c r="AG187" s="2" t="s">
        <v>324</v>
      </c>
      <c r="AH187" t="s">
        <v>324</v>
      </c>
      <c r="AI187" t="s">
        <v>324</v>
      </c>
      <c r="AJ187" s="2" t="s">
        <v>324</v>
      </c>
      <c r="AK187" t="s">
        <v>324</v>
      </c>
      <c r="AL187" t="s">
        <v>324</v>
      </c>
      <c r="AM187" s="2" t="s">
        <v>324</v>
      </c>
      <c r="AN187" t="s">
        <v>324</v>
      </c>
      <c r="AO187" s="2" t="s">
        <v>324</v>
      </c>
      <c r="AP187" t="s">
        <v>324</v>
      </c>
      <c r="AQ187" s="2" t="s">
        <v>324</v>
      </c>
      <c r="AR187" t="s">
        <v>324</v>
      </c>
      <c r="AS187" s="2" t="s">
        <v>324</v>
      </c>
      <c r="AT187" t="s">
        <v>324</v>
      </c>
    </row>
    <row r="188" spans="1:46" ht="11.25">
      <c r="A188" t="str">
        <f>HYPERLINK("http://exon.niaid.nih.gov/transcriptome/Tx_amboinensis_sialome/Table_1/links/TX-contig_57.txt","TX-contig_57")</f>
        <v>TX-contig_57</v>
      </c>
      <c r="B188" t="str">
        <f>HYPERLINK("http://exon.niaid.nih.gov/transcriptome/Tx_amboinensis_sialome/Table_1/links/TX-5-90-90-asb-57.txt","Contig-57")</f>
        <v>Contig-57</v>
      </c>
      <c r="C188" t="str">
        <f>HYPERLINK("http://exon.niaid.nih.gov/transcriptome/Tx_amboinensis_sialome/Table_1/links/TX-5-90-90-57-CLU.txt","Contig57")</f>
        <v>Contig57</v>
      </c>
      <c r="D188" s="4">
        <v>1</v>
      </c>
      <c r="E188">
        <v>142</v>
      </c>
      <c r="F188" t="s">
        <v>322</v>
      </c>
      <c r="G188">
        <v>68.3</v>
      </c>
      <c r="H188">
        <v>123</v>
      </c>
      <c r="I188">
        <v>57</v>
      </c>
      <c r="J188" t="s">
        <v>377</v>
      </c>
      <c r="K188">
        <v>123</v>
      </c>
      <c r="L188" s="3" t="s">
        <v>1035</v>
      </c>
      <c r="M188" s="4">
        <v>0</v>
      </c>
      <c r="N188" s="4">
        <v>0</v>
      </c>
      <c r="O188" s="4">
        <v>1</v>
      </c>
      <c r="P188" s="4">
        <v>0</v>
      </c>
      <c r="Q188" s="5" t="s">
        <v>1039</v>
      </c>
      <c r="Y188" t="s">
        <v>324</v>
      </c>
      <c r="Z188" s="2" t="s">
        <v>324</v>
      </c>
      <c r="AA188" t="s">
        <v>324</v>
      </c>
      <c r="AB188" t="s">
        <v>324</v>
      </c>
      <c r="AC188" t="s">
        <v>324</v>
      </c>
      <c r="AD188" t="s">
        <v>324</v>
      </c>
      <c r="AE188" t="s">
        <v>324</v>
      </c>
      <c r="AF188" t="s">
        <v>324</v>
      </c>
      <c r="AG188" s="2" t="s">
        <v>324</v>
      </c>
      <c r="AH188" t="s">
        <v>324</v>
      </c>
      <c r="AI188" t="s">
        <v>324</v>
      </c>
      <c r="AJ188" s="2" t="s">
        <v>324</v>
      </c>
      <c r="AK188" t="s">
        <v>324</v>
      </c>
      <c r="AL188" t="s">
        <v>324</v>
      </c>
      <c r="AM188" s="2" t="s">
        <v>324</v>
      </c>
      <c r="AN188" t="s">
        <v>324</v>
      </c>
      <c r="AO188" s="2" t="s">
        <v>324</v>
      </c>
      <c r="AP188" t="s">
        <v>324</v>
      </c>
      <c r="AQ188" s="2" t="s">
        <v>324</v>
      </c>
      <c r="AR188" t="s">
        <v>324</v>
      </c>
      <c r="AS188" s="2" t="s">
        <v>324</v>
      </c>
      <c r="AT188" t="s">
        <v>324</v>
      </c>
    </row>
    <row r="189" spans="1:46" ht="11.25">
      <c r="A189" t="str">
        <f>HYPERLINK("http://exon.niaid.nih.gov/transcriptome/Tx_amboinensis_sialome/Table_1/links/TX-contig_59.txt","TX-contig_59")</f>
        <v>TX-contig_59</v>
      </c>
      <c r="B189" t="str">
        <f>HYPERLINK("http://exon.niaid.nih.gov/transcriptome/Tx_amboinensis_sialome/Table_1/links/TX-5-90-90-asb-59.txt","Contig-59")</f>
        <v>Contig-59</v>
      </c>
      <c r="C189" t="str">
        <f>HYPERLINK("http://exon.niaid.nih.gov/transcriptome/Tx_amboinensis_sialome/Table_1/links/TX-5-90-90-59-CLU.txt","Contig59")</f>
        <v>Contig59</v>
      </c>
      <c r="D189" s="4">
        <v>1</v>
      </c>
      <c r="E189">
        <v>97</v>
      </c>
      <c r="F189" t="s">
        <v>322</v>
      </c>
      <c r="G189">
        <v>79.4</v>
      </c>
      <c r="H189">
        <v>70</v>
      </c>
      <c r="I189">
        <v>59</v>
      </c>
      <c r="J189" t="s">
        <v>379</v>
      </c>
      <c r="K189">
        <v>70</v>
      </c>
      <c r="L189" s="3" t="s">
        <v>1035</v>
      </c>
      <c r="M189" s="4">
        <v>0</v>
      </c>
      <c r="N189" s="4">
        <v>0</v>
      </c>
      <c r="O189" s="4">
        <v>1</v>
      </c>
      <c r="P189" s="4">
        <v>0</v>
      </c>
      <c r="Q189" s="5" t="s">
        <v>1039</v>
      </c>
      <c r="Y189" t="s">
        <v>324</v>
      </c>
      <c r="Z189" s="2" t="s">
        <v>324</v>
      </c>
      <c r="AA189" t="s">
        <v>324</v>
      </c>
      <c r="AB189" t="s">
        <v>324</v>
      </c>
      <c r="AC189" t="s">
        <v>324</v>
      </c>
      <c r="AD189" t="s">
        <v>324</v>
      </c>
      <c r="AE189" t="s">
        <v>324</v>
      </c>
      <c r="AF189" t="s">
        <v>324</v>
      </c>
      <c r="AG189" s="2" t="s">
        <v>324</v>
      </c>
      <c r="AH189" t="s">
        <v>324</v>
      </c>
      <c r="AI189" t="s">
        <v>324</v>
      </c>
      <c r="AJ189" s="2" t="s">
        <v>324</v>
      </c>
      <c r="AK189" t="s">
        <v>324</v>
      </c>
      <c r="AL189" t="s">
        <v>324</v>
      </c>
      <c r="AM189" s="2" t="str">
        <f>HYPERLINK("http://exon.niaid.nih.gov/transcriptome/Tx_amboinensis_sialome/Table_1/links/PFAM\TX-contig_59-PFAM.txt","Glyco_transf_15")</f>
        <v>Glyco_transf_15</v>
      </c>
      <c r="AN189" t="str">
        <f>HYPERLINK("http://pfam.wustl.edu/cgi-bin/getdesc?acc=PF01793","1.00")</f>
        <v>1.00</v>
      </c>
      <c r="AO189" s="2" t="s">
        <v>324</v>
      </c>
      <c r="AP189" t="s">
        <v>324</v>
      </c>
      <c r="AQ189" s="2" t="s">
        <v>324</v>
      </c>
      <c r="AR189" t="s">
        <v>324</v>
      </c>
      <c r="AS189" s="2" t="s">
        <v>324</v>
      </c>
      <c r="AT189" t="s">
        <v>324</v>
      </c>
    </row>
    <row r="190" spans="1:46" ht="11.25">
      <c r="A190" t="str">
        <f>HYPERLINK("http://exon.niaid.nih.gov/transcriptome/Tx_amboinensis_sialome/Table_1/links/TX-contig_60.txt","TX-contig_60")</f>
        <v>TX-contig_60</v>
      </c>
      <c r="B190" t="str">
        <f>HYPERLINK("http://exon.niaid.nih.gov/transcriptome/Tx_amboinensis_sialome/Table_1/links/TX-5-90-90-asb-60.txt","Contig-60")</f>
        <v>Contig-60</v>
      </c>
      <c r="C190" t="str">
        <f>HYPERLINK("http://exon.niaid.nih.gov/transcriptome/Tx_amboinensis_sialome/Table_1/links/TX-5-90-90-60-CLU.txt","Contig60")</f>
        <v>Contig60</v>
      </c>
      <c r="D190" s="4">
        <v>1</v>
      </c>
      <c r="E190">
        <v>151</v>
      </c>
      <c r="F190" t="s">
        <v>322</v>
      </c>
      <c r="G190">
        <v>78.1</v>
      </c>
      <c r="H190">
        <v>90</v>
      </c>
      <c r="I190">
        <v>60</v>
      </c>
      <c r="J190" t="s">
        <v>380</v>
      </c>
      <c r="K190">
        <v>90</v>
      </c>
      <c r="L190" s="3" t="s">
        <v>1035</v>
      </c>
      <c r="M190" s="4">
        <v>0</v>
      </c>
      <c r="N190" s="4">
        <v>0</v>
      </c>
      <c r="O190" s="4">
        <v>1</v>
      </c>
      <c r="P190" s="4">
        <v>0</v>
      </c>
      <c r="Q190" s="5" t="s">
        <v>1039</v>
      </c>
      <c r="Y190" t="s">
        <v>324</v>
      </c>
      <c r="Z190" s="2" t="s">
        <v>324</v>
      </c>
      <c r="AA190" t="s">
        <v>324</v>
      </c>
      <c r="AB190" t="s">
        <v>324</v>
      </c>
      <c r="AC190" t="s">
        <v>324</v>
      </c>
      <c r="AD190" t="s">
        <v>324</v>
      </c>
      <c r="AE190" t="s">
        <v>324</v>
      </c>
      <c r="AF190" t="s">
        <v>324</v>
      </c>
      <c r="AG190" s="2" t="s">
        <v>324</v>
      </c>
      <c r="AH190" t="s">
        <v>324</v>
      </c>
      <c r="AI190" t="s">
        <v>324</v>
      </c>
      <c r="AJ190" s="2" t="s">
        <v>324</v>
      </c>
      <c r="AK190" t="s">
        <v>324</v>
      </c>
      <c r="AL190" t="s">
        <v>324</v>
      </c>
      <c r="AM190" s="2" t="s">
        <v>324</v>
      </c>
      <c r="AN190" t="s">
        <v>324</v>
      </c>
      <c r="AO190" s="2" t="s">
        <v>324</v>
      </c>
      <c r="AP190" t="s">
        <v>324</v>
      </c>
      <c r="AQ190" s="2" t="s">
        <v>324</v>
      </c>
      <c r="AR190" t="s">
        <v>324</v>
      </c>
      <c r="AS190" s="2" t="s">
        <v>324</v>
      </c>
      <c r="AT190" t="s">
        <v>324</v>
      </c>
    </row>
    <row r="191" spans="1:46" ht="11.25">
      <c r="A191" t="str">
        <f>HYPERLINK("http://exon.niaid.nih.gov/transcriptome/Tx_amboinensis_sialome/Table_1/links/TX-contig_66.txt","TX-contig_66")</f>
        <v>TX-contig_66</v>
      </c>
      <c r="B191" t="str">
        <f>HYPERLINK("http://exon.niaid.nih.gov/transcriptome/Tx_amboinensis_sialome/Table_1/links/TX-5-90-90-asb-66.txt","Contig-66")</f>
        <v>Contig-66</v>
      </c>
      <c r="C191" t="str">
        <f>HYPERLINK("http://exon.niaid.nih.gov/transcriptome/Tx_amboinensis_sialome/Table_1/links/TX-5-90-90-66-CLU.txt","Contig66")</f>
        <v>Contig66</v>
      </c>
      <c r="D191" s="4">
        <v>1</v>
      </c>
      <c r="E191">
        <v>189</v>
      </c>
      <c r="F191">
        <v>1.6</v>
      </c>
      <c r="G191">
        <v>73.5</v>
      </c>
      <c r="H191">
        <v>107</v>
      </c>
      <c r="I191">
        <v>66</v>
      </c>
      <c r="J191" t="s">
        <v>385</v>
      </c>
      <c r="K191">
        <v>107</v>
      </c>
      <c r="L191" s="3" t="s">
        <v>1035</v>
      </c>
      <c r="M191" s="4">
        <v>0</v>
      </c>
      <c r="N191" s="4">
        <v>0</v>
      </c>
      <c r="O191" s="4">
        <v>1</v>
      </c>
      <c r="P191" s="4">
        <v>0</v>
      </c>
      <c r="Q191" s="5" t="s">
        <v>1039</v>
      </c>
      <c r="Y191" t="s">
        <v>324</v>
      </c>
      <c r="Z191" s="2" t="s">
        <v>324</v>
      </c>
      <c r="AA191" t="s">
        <v>324</v>
      </c>
      <c r="AB191" t="s">
        <v>324</v>
      </c>
      <c r="AC191" t="s">
        <v>324</v>
      </c>
      <c r="AD191" t="s">
        <v>324</v>
      </c>
      <c r="AE191" t="s">
        <v>324</v>
      </c>
      <c r="AF191" t="s">
        <v>324</v>
      </c>
      <c r="AG191" s="2" t="s">
        <v>324</v>
      </c>
      <c r="AH191" t="s">
        <v>324</v>
      </c>
      <c r="AI191" t="s">
        <v>324</v>
      </c>
      <c r="AJ191" s="2" t="s">
        <v>324</v>
      </c>
      <c r="AK191" t="s">
        <v>324</v>
      </c>
      <c r="AL191" t="s">
        <v>324</v>
      </c>
      <c r="AM191" s="2" t="s">
        <v>324</v>
      </c>
      <c r="AN191" t="s">
        <v>324</v>
      </c>
      <c r="AO191" s="2" t="s">
        <v>324</v>
      </c>
      <c r="AP191" t="s">
        <v>324</v>
      </c>
      <c r="AQ191" s="2" t="s">
        <v>324</v>
      </c>
      <c r="AR191" t="s">
        <v>324</v>
      </c>
      <c r="AS191" s="2" t="s">
        <v>324</v>
      </c>
      <c r="AT191" t="s">
        <v>324</v>
      </c>
    </row>
    <row r="192" spans="1:46" ht="11.25">
      <c r="A192" t="str">
        <f>HYPERLINK("http://exon.niaid.nih.gov/transcriptome/Tx_amboinensis_sialome/Table_1/links/TX-contig_74.txt","TX-contig_74")</f>
        <v>TX-contig_74</v>
      </c>
      <c r="B192" t="str">
        <f>HYPERLINK("http://exon.niaid.nih.gov/transcriptome/Tx_amboinensis_sialome/Table_1/links/TX-5-90-90-asb-74.txt","Contig-74")</f>
        <v>Contig-74</v>
      </c>
      <c r="C192" t="str">
        <f>HYPERLINK("http://exon.niaid.nih.gov/transcriptome/Tx_amboinensis_sialome/Table_1/links/TX-5-90-90-74-CLU.txt","Contig74")</f>
        <v>Contig74</v>
      </c>
      <c r="D192" s="4">
        <v>1</v>
      </c>
      <c r="E192">
        <v>194</v>
      </c>
      <c r="F192">
        <v>2.6</v>
      </c>
      <c r="G192">
        <v>85.6</v>
      </c>
      <c r="H192">
        <v>64</v>
      </c>
      <c r="I192">
        <v>74</v>
      </c>
      <c r="J192" t="s">
        <v>392</v>
      </c>
      <c r="K192">
        <v>64</v>
      </c>
      <c r="L192" s="3" t="s">
        <v>1035</v>
      </c>
      <c r="M192" s="4">
        <v>0</v>
      </c>
      <c r="N192" s="4">
        <v>0</v>
      </c>
      <c r="O192" s="4">
        <v>2</v>
      </c>
      <c r="P192" s="4">
        <v>0</v>
      </c>
      <c r="Q192" s="5" t="s">
        <v>1039</v>
      </c>
      <c r="Y192" t="s">
        <v>324</v>
      </c>
      <c r="Z192" s="2" t="s">
        <v>324</v>
      </c>
      <c r="AA192" t="s">
        <v>324</v>
      </c>
      <c r="AB192" t="s">
        <v>324</v>
      </c>
      <c r="AC192" t="s">
        <v>324</v>
      </c>
      <c r="AD192" t="s">
        <v>324</v>
      </c>
      <c r="AE192" t="s">
        <v>324</v>
      </c>
      <c r="AF192" t="s">
        <v>324</v>
      </c>
      <c r="AG192" s="2" t="s">
        <v>324</v>
      </c>
      <c r="AH192" t="s">
        <v>324</v>
      </c>
      <c r="AI192" t="s">
        <v>324</v>
      </c>
      <c r="AJ192" s="2" t="s">
        <v>324</v>
      </c>
      <c r="AK192" t="s">
        <v>324</v>
      </c>
      <c r="AL192" t="s">
        <v>324</v>
      </c>
      <c r="AM192" s="2" t="s">
        <v>324</v>
      </c>
      <c r="AN192" t="s">
        <v>324</v>
      </c>
      <c r="AO192" s="2" t="s">
        <v>324</v>
      </c>
      <c r="AP192" t="s">
        <v>324</v>
      </c>
      <c r="AQ192" s="2" t="s">
        <v>324</v>
      </c>
      <c r="AR192" t="s">
        <v>324</v>
      </c>
      <c r="AS192" s="2" t="s">
        <v>324</v>
      </c>
      <c r="AT192" t="s">
        <v>324</v>
      </c>
    </row>
    <row r="193" spans="1:46" ht="11.25">
      <c r="A193" t="str">
        <f>HYPERLINK("http://exon.niaid.nih.gov/transcriptome/Tx_amboinensis_sialome/Table_1/links/TX-contig_76.txt","TX-contig_76")</f>
        <v>TX-contig_76</v>
      </c>
      <c r="B193" t="str">
        <f>HYPERLINK("http://exon.niaid.nih.gov/transcriptome/Tx_amboinensis_sialome/Table_1/links/TX-5-90-90-asb-76.txt","Contig-76")</f>
        <v>Contig-76</v>
      </c>
      <c r="C193" t="str">
        <f>HYPERLINK("http://exon.niaid.nih.gov/transcriptome/Tx_amboinensis_sialome/Table_1/links/TX-5-90-90-76-CLU.txt","Contig76")</f>
        <v>Contig76</v>
      </c>
      <c r="D193" s="4">
        <v>1</v>
      </c>
      <c r="E193">
        <v>155</v>
      </c>
      <c r="F193" t="s">
        <v>322</v>
      </c>
      <c r="G193">
        <v>91.6</v>
      </c>
      <c r="H193">
        <v>44</v>
      </c>
      <c r="I193">
        <v>76</v>
      </c>
      <c r="J193" t="s">
        <v>394</v>
      </c>
      <c r="K193">
        <v>44</v>
      </c>
      <c r="L193" s="3" t="s">
        <v>1035</v>
      </c>
      <c r="M193" s="4">
        <v>0</v>
      </c>
      <c r="N193" s="4">
        <v>0</v>
      </c>
      <c r="O193" s="4">
        <v>1</v>
      </c>
      <c r="P193" s="4">
        <v>0</v>
      </c>
      <c r="Q193" s="5" t="s">
        <v>1039</v>
      </c>
      <c r="Y193" t="s">
        <v>324</v>
      </c>
      <c r="Z193" s="2" t="s">
        <v>324</v>
      </c>
      <c r="AA193" t="s">
        <v>324</v>
      </c>
      <c r="AB193" t="s">
        <v>324</v>
      </c>
      <c r="AC193" t="s">
        <v>324</v>
      </c>
      <c r="AD193" t="s">
        <v>324</v>
      </c>
      <c r="AE193" t="s">
        <v>324</v>
      </c>
      <c r="AF193" t="s">
        <v>324</v>
      </c>
      <c r="AG193" s="2" t="s">
        <v>324</v>
      </c>
      <c r="AH193" t="s">
        <v>324</v>
      </c>
      <c r="AI193" t="s">
        <v>324</v>
      </c>
      <c r="AJ193" s="2" t="s">
        <v>324</v>
      </c>
      <c r="AK193" t="s">
        <v>324</v>
      </c>
      <c r="AL193" t="s">
        <v>324</v>
      </c>
      <c r="AM193" s="2" t="s">
        <v>324</v>
      </c>
      <c r="AN193" t="s">
        <v>324</v>
      </c>
      <c r="AO193" s="2" t="s">
        <v>324</v>
      </c>
      <c r="AP193" t="s">
        <v>324</v>
      </c>
      <c r="AQ193" s="2" t="s">
        <v>324</v>
      </c>
      <c r="AR193" t="s">
        <v>324</v>
      </c>
      <c r="AS193" s="2" t="s">
        <v>324</v>
      </c>
      <c r="AT193" t="s">
        <v>324</v>
      </c>
    </row>
    <row r="194" spans="1:46" ht="11.25">
      <c r="A194" t="str">
        <f>HYPERLINK("http://exon.niaid.nih.gov/transcriptome/Tx_amboinensis_sialome/Table_1/links/TX-contig_78.txt","TX-contig_78")</f>
        <v>TX-contig_78</v>
      </c>
      <c r="B194" t="str">
        <f>HYPERLINK("http://exon.niaid.nih.gov/transcriptome/Tx_amboinensis_sialome/Table_1/links/TX-5-90-90-asb-78.txt","Contig-78")</f>
        <v>Contig-78</v>
      </c>
      <c r="C194" t="str">
        <f>HYPERLINK("http://exon.niaid.nih.gov/transcriptome/Tx_amboinensis_sialome/Table_1/links/TX-5-90-90-78-CLU.txt","Contig78")</f>
        <v>Contig78</v>
      </c>
      <c r="D194" s="4">
        <v>1</v>
      </c>
      <c r="E194">
        <v>204</v>
      </c>
      <c r="F194">
        <v>0.5</v>
      </c>
      <c r="G194">
        <v>71.6</v>
      </c>
      <c r="H194">
        <v>185</v>
      </c>
      <c r="I194">
        <v>78</v>
      </c>
      <c r="J194" t="s">
        <v>396</v>
      </c>
      <c r="K194">
        <v>185</v>
      </c>
      <c r="L194" s="3" t="s">
        <v>1035</v>
      </c>
      <c r="M194" s="4">
        <v>0</v>
      </c>
      <c r="N194" s="4">
        <v>0</v>
      </c>
      <c r="O194" s="4">
        <v>1</v>
      </c>
      <c r="P194" s="4">
        <v>0</v>
      </c>
      <c r="Q194" s="5" t="s">
        <v>1039</v>
      </c>
      <c r="R194" s="2" t="str">
        <f>HYPERLINK("http://exon.niaid.nih.gov/transcriptome/Tx_amboinensis_sialome/Table_1/links/NR\TX-contig_78-NR.txt","TrkA domain protein [Clostridium per")</f>
        <v>TrkA domain protein [Clostridium per</v>
      </c>
      <c r="S194" s="4" t="str">
        <f>HYPERLINK("http://www.ncbi.nlm.nih.gov/sutils/blink.cgi?pid=110674828","15")</f>
        <v>15</v>
      </c>
      <c r="T194" t="s">
        <v>84</v>
      </c>
      <c r="U194" s="4">
        <v>36</v>
      </c>
      <c r="V194" s="4">
        <v>22</v>
      </c>
      <c r="W194" t="s">
        <v>85</v>
      </c>
      <c r="X194" t="s">
        <v>86</v>
      </c>
      <c r="Y194" t="s">
        <v>324</v>
      </c>
      <c r="Z194" s="2" t="s">
        <v>324</v>
      </c>
      <c r="AA194" t="s">
        <v>324</v>
      </c>
      <c r="AB194" t="s">
        <v>324</v>
      </c>
      <c r="AC194" t="s">
        <v>324</v>
      </c>
      <c r="AD194" t="s">
        <v>324</v>
      </c>
      <c r="AE194" t="s">
        <v>324</v>
      </c>
      <c r="AF194" t="s">
        <v>324</v>
      </c>
      <c r="AG194" s="2" t="s">
        <v>324</v>
      </c>
      <c r="AH194" t="s">
        <v>324</v>
      </c>
      <c r="AI194" t="s">
        <v>324</v>
      </c>
      <c r="AJ194" s="2" t="str">
        <f>HYPERLINK("http://exon.niaid.nih.gov/transcriptome/Tx_amboinensis_sialome/Table_1/links/CDD\TX-contig_78-CDD.txt","VAR1")</f>
        <v>VAR1</v>
      </c>
      <c r="AK194" t="str">
        <f>HYPERLINK("http://www.ncbi.nlm.nih.gov/Structure/cdd/cddsrv.cgi?uid=pfam05316&amp;version=v4.0","0.67")</f>
        <v>0.67</v>
      </c>
      <c r="AL194" t="s">
        <v>957</v>
      </c>
      <c r="AM194" s="2" t="str">
        <f>HYPERLINK("http://exon.niaid.nih.gov/transcriptome/Tx_amboinensis_sialome/Table_1/links/PFAM\TX-contig_78-PFAM.txt","VAR1")</f>
        <v>VAR1</v>
      </c>
      <c r="AN194" t="str">
        <f>HYPERLINK("http://pfam.wustl.edu/cgi-bin/getdesc?acc=PF05316","0.36")</f>
        <v>0.36</v>
      </c>
      <c r="AO194" s="2" t="str">
        <f>HYPERLINK("http://exon.niaid.nih.gov/transcriptome/Tx_amboinensis_sialome/Table_1/links/SMART\TX-contig_78-SMART.txt","LITAF")</f>
        <v>LITAF</v>
      </c>
      <c r="AP194" t="str">
        <f>HYPERLINK("http://smart.embl-heidelberg.de/smart/do_annotation.pl?DOMAIN=LITAF&amp;BLAST=DUMMY","0.14")</f>
        <v>0.14</v>
      </c>
      <c r="AQ194" s="2" t="s">
        <v>324</v>
      </c>
      <c r="AR194" t="s">
        <v>324</v>
      </c>
      <c r="AS194" s="2" t="s">
        <v>324</v>
      </c>
      <c r="AT194" t="s">
        <v>324</v>
      </c>
    </row>
    <row r="195" spans="1:46" ht="11.25">
      <c r="A195" t="str">
        <f>HYPERLINK("http://exon.niaid.nih.gov/transcriptome/Tx_amboinensis_sialome/Table_1/links/TX-contig_88.txt","TX-contig_88")</f>
        <v>TX-contig_88</v>
      </c>
      <c r="B195" t="str">
        <f>HYPERLINK("http://exon.niaid.nih.gov/transcriptome/Tx_amboinensis_sialome/Table_1/links/TX-5-90-90-asb-88.txt","Contig-88")</f>
        <v>Contig-88</v>
      </c>
      <c r="C195" t="str">
        <f>HYPERLINK("http://exon.niaid.nih.gov/transcriptome/Tx_amboinensis_sialome/Table_1/links/TX-5-90-90-88-CLU.txt","Contig88")</f>
        <v>Contig88</v>
      </c>
      <c r="D195" s="4">
        <v>1</v>
      </c>
      <c r="E195">
        <v>206</v>
      </c>
      <c r="F195">
        <v>1.9</v>
      </c>
      <c r="G195">
        <v>83.5</v>
      </c>
      <c r="H195">
        <v>106</v>
      </c>
      <c r="I195">
        <v>88</v>
      </c>
      <c r="J195" t="s">
        <v>406</v>
      </c>
      <c r="K195">
        <v>106</v>
      </c>
      <c r="L195" s="3" t="s">
        <v>1035</v>
      </c>
      <c r="M195" s="4">
        <v>0</v>
      </c>
      <c r="N195" s="4">
        <v>0</v>
      </c>
      <c r="O195" s="4">
        <v>2</v>
      </c>
      <c r="P195" s="4">
        <v>0</v>
      </c>
      <c r="Q195" s="5" t="s">
        <v>1039</v>
      </c>
      <c r="Y195" t="s">
        <v>324</v>
      </c>
      <c r="Z195" s="2" t="s">
        <v>324</v>
      </c>
      <c r="AA195" t="s">
        <v>324</v>
      </c>
      <c r="AB195" t="s">
        <v>324</v>
      </c>
      <c r="AC195" t="s">
        <v>324</v>
      </c>
      <c r="AD195" t="s">
        <v>324</v>
      </c>
      <c r="AE195" t="s">
        <v>324</v>
      </c>
      <c r="AF195" t="s">
        <v>324</v>
      </c>
      <c r="AG195" s="2" t="s">
        <v>324</v>
      </c>
      <c r="AH195" t="s">
        <v>324</v>
      </c>
      <c r="AI195" t="s">
        <v>324</v>
      </c>
      <c r="AJ195" s="2" t="s">
        <v>324</v>
      </c>
      <c r="AK195" t="s">
        <v>324</v>
      </c>
      <c r="AL195" t="s">
        <v>324</v>
      </c>
      <c r="AM195" s="2" t="s">
        <v>324</v>
      </c>
      <c r="AN195" t="s">
        <v>324</v>
      </c>
      <c r="AO195" s="2" t="s">
        <v>324</v>
      </c>
      <c r="AP195" t="s">
        <v>324</v>
      </c>
      <c r="AQ195" s="2" t="s">
        <v>324</v>
      </c>
      <c r="AR195" t="s">
        <v>324</v>
      </c>
      <c r="AS195" s="2" t="s">
        <v>324</v>
      </c>
      <c r="AT195" t="s">
        <v>324</v>
      </c>
    </row>
    <row r="196" spans="1:46" ht="11.25">
      <c r="A196" t="str">
        <f>HYPERLINK("http://exon.niaid.nih.gov/transcriptome/Tx_amboinensis_sialome/Table_1/links/TX-contig_99.txt","TX-contig_99")</f>
        <v>TX-contig_99</v>
      </c>
      <c r="B196" t="str">
        <f>HYPERLINK("http://exon.niaid.nih.gov/transcriptome/Tx_amboinensis_sialome/Table_1/links/TX-5-90-90-asb-99.txt","Contig-99")</f>
        <v>Contig-99</v>
      </c>
      <c r="C196" t="str">
        <f>HYPERLINK("http://exon.niaid.nih.gov/transcriptome/Tx_amboinensis_sialome/Table_1/links/TX-5-90-90-99-CLU.txt","Contig99")</f>
        <v>Contig99</v>
      </c>
      <c r="D196" s="4">
        <v>1</v>
      </c>
      <c r="E196">
        <v>201</v>
      </c>
      <c r="F196">
        <v>2.5</v>
      </c>
      <c r="G196">
        <v>77.6</v>
      </c>
      <c r="H196">
        <v>120</v>
      </c>
      <c r="I196">
        <v>99</v>
      </c>
      <c r="J196" t="s">
        <v>417</v>
      </c>
      <c r="K196">
        <v>120</v>
      </c>
      <c r="L196" s="3" t="s">
        <v>1035</v>
      </c>
      <c r="M196" s="4">
        <v>0</v>
      </c>
      <c r="N196" s="4">
        <v>0</v>
      </c>
      <c r="O196" s="4">
        <v>2</v>
      </c>
      <c r="P196" s="4">
        <v>0</v>
      </c>
      <c r="Q196" s="5" t="s">
        <v>1039</v>
      </c>
      <c r="Y196" t="s">
        <v>324</v>
      </c>
      <c r="Z196" s="2" t="s">
        <v>324</v>
      </c>
      <c r="AA196" t="s">
        <v>324</v>
      </c>
      <c r="AB196" t="s">
        <v>324</v>
      </c>
      <c r="AC196" t="s">
        <v>324</v>
      </c>
      <c r="AD196" t="s">
        <v>324</v>
      </c>
      <c r="AE196" t="s">
        <v>324</v>
      </c>
      <c r="AF196" t="s">
        <v>324</v>
      </c>
      <c r="AG196" s="2" t="s">
        <v>324</v>
      </c>
      <c r="AH196" t="s">
        <v>324</v>
      </c>
      <c r="AI196" t="s">
        <v>324</v>
      </c>
      <c r="AJ196" s="2" t="s">
        <v>324</v>
      </c>
      <c r="AK196" t="s">
        <v>324</v>
      </c>
      <c r="AL196" t="s">
        <v>324</v>
      </c>
      <c r="AM196" s="2" t="s">
        <v>324</v>
      </c>
      <c r="AN196" t="s">
        <v>324</v>
      </c>
      <c r="AO196" s="2" t="str">
        <f>HYPERLINK("http://exon.niaid.nih.gov/transcriptome/Tx_amboinensis_sialome/Table_1/links/SMART\TX-contig_99-SMART.txt","STE")</f>
        <v>STE</v>
      </c>
      <c r="AP196" t="str">
        <f>HYPERLINK("http://smart.embl-heidelberg.de/smart/do_annotation.pl?DOMAIN=STE&amp;BLAST=DUMMY","0.63")</f>
        <v>0.63</v>
      </c>
      <c r="AQ196" s="2" t="s">
        <v>324</v>
      </c>
      <c r="AR196" t="s">
        <v>324</v>
      </c>
      <c r="AS196" s="2" t="s">
        <v>324</v>
      </c>
      <c r="AT196" t="s">
        <v>324</v>
      </c>
    </row>
    <row r="197" spans="1:46" ht="11.25">
      <c r="A197" t="str">
        <f>HYPERLINK("http://exon.niaid.nih.gov/transcriptome/Tx_amboinensis_sialome/Table_1/links/TX-contig_108.txt","TX-contig_108")</f>
        <v>TX-contig_108</v>
      </c>
      <c r="B197" t="str">
        <f>HYPERLINK("http://exon.niaid.nih.gov/transcriptome/Tx_amboinensis_sialome/Table_1/links/TX-5-90-90-asb-108.txt","Contig-108")</f>
        <v>Contig-108</v>
      </c>
      <c r="C197" t="str">
        <f>HYPERLINK("http://exon.niaid.nih.gov/transcriptome/Tx_amboinensis_sialome/Table_1/links/TX-5-90-90-108-CLU.txt","Contig108")</f>
        <v>Contig108</v>
      </c>
      <c r="D197" s="4">
        <v>1</v>
      </c>
      <c r="E197">
        <v>201</v>
      </c>
      <c r="F197" t="s">
        <v>322</v>
      </c>
      <c r="G197">
        <v>84.1</v>
      </c>
      <c r="H197">
        <v>78</v>
      </c>
      <c r="I197">
        <v>108</v>
      </c>
      <c r="J197" t="s">
        <v>425</v>
      </c>
      <c r="K197">
        <v>78</v>
      </c>
      <c r="L197" s="3" t="s">
        <v>1035</v>
      </c>
      <c r="M197" s="4">
        <v>0</v>
      </c>
      <c r="N197" s="4">
        <v>0</v>
      </c>
      <c r="O197" s="4">
        <v>1</v>
      </c>
      <c r="P197" s="4">
        <v>0</v>
      </c>
      <c r="Q197" s="5" t="s">
        <v>1039</v>
      </c>
      <c r="Y197" t="s">
        <v>324</v>
      </c>
      <c r="Z197" s="2" t="s">
        <v>324</v>
      </c>
      <c r="AA197" t="s">
        <v>324</v>
      </c>
      <c r="AB197" t="s">
        <v>324</v>
      </c>
      <c r="AC197" t="s">
        <v>324</v>
      </c>
      <c r="AD197" t="s">
        <v>324</v>
      </c>
      <c r="AE197" t="s">
        <v>324</v>
      </c>
      <c r="AF197" t="s">
        <v>324</v>
      </c>
      <c r="AG197" s="2" t="s">
        <v>324</v>
      </c>
      <c r="AH197" t="s">
        <v>324</v>
      </c>
      <c r="AI197" t="s">
        <v>324</v>
      </c>
      <c r="AJ197" s="2" t="s">
        <v>324</v>
      </c>
      <c r="AK197" t="s">
        <v>324</v>
      </c>
      <c r="AL197" t="s">
        <v>324</v>
      </c>
      <c r="AM197" s="2" t="s">
        <v>324</v>
      </c>
      <c r="AN197" t="s">
        <v>324</v>
      </c>
      <c r="AO197" s="2" t="s">
        <v>324</v>
      </c>
      <c r="AP197" t="s">
        <v>324</v>
      </c>
      <c r="AQ197" s="2" t="s">
        <v>324</v>
      </c>
      <c r="AR197" t="s">
        <v>324</v>
      </c>
      <c r="AS197" s="2" t="s">
        <v>324</v>
      </c>
      <c r="AT197" t="s">
        <v>324</v>
      </c>
    </row>
    <row r="198" spans="1:46" ht="11.25">
      <c r="A198" t="str">
        <f>HYPERLINK("http://exon.niaid.nih.gov/transcriptome/Tx_amboinensis_sialome/Table_1/links/TX-contig_122.txt","TX-contig_122")</f>
        <v>TX-contig_122</v>
      </c>
      <c r="B198" t="str">
        <f>HYPERLINK("http://exon.niaid.nih.gov/transcriptome/Tx_amboinensis_sialome/Table_1/links/TX-5-90-90-asb-122.txt","Contig-122")</f>
        <v>Contig-122</v>
      </c>
      <c r="C198" t="str">
        <f>HYPERLINK("http://exon.niaid.nih.gov/transcriptome/Tx_amboinensis_sialome/Table_1/links/TX-5-90-90-122-CLU.txt","Contig122")</f>
        <v>Contig122</v>
      </c>
      <c r="D198" s="4">
        <v>1</v>
      </c>
      <c r="E198">
        <v>136</v>
      </c>
      <c r="F198" t="s">
        <v>322</v>
      </c>
      <c r="G198">
        <v>54.4</v>
      </c>
      <c r="H198" t="s">
        <v>324</v>
      </c>
      <c r="I198">
        <v>122</v>
      </c>
      <c r="J198" t="s">
        <v>438</v>
      </c>
      <c r="K198" t="s">
        <v>324</v>
      </c>
      <c r="L198" s="3" t="s">
        <v>1035</v>
      </c>
      <c r="M198" s="4">
        <v>0</v>
      </c>
      <c r="N198" s="4">
        <v>0</v>
      </c>
      <c r="O198" s="4">
        <v>2</v>
      </c>
      <c r="P198" s="4">
        <v>0</v>
      </c>
      <c r="Q198" s="5" t="s">
        <v>1039</v>
      </c>
      <c r="R198" s="2" t="str">
        <f>HYPERLINK("http://exon.niaid.nih.gov/transcriptome/Tx_amboinensis_sialome/Table_1/links/NR\TX-contig_122-NR.txt","IstB-like ATP-binding protein [Al")</f>
        <v>IstB-like ATP-binding protein [Al</v>
      </c>
      <c r="S198" s="4" t="str">
        <f>HYPERLINK("http://www.ncbi.nlm.nih.gov/sutils/blink.cgi?pid=77684017","20")</f>
        <v>20</v>
      </c>
      <c r="T198" t="s">
        <v>87</v>
      </c>
      <c r="U198" s="4">
        <v>42</v>
      </c>
      <c r="V198" s="4">
        <v>15</v>
      </c>
      <c r="W198" t="s">
        <v>88</v>
      </c>
      <c r="X198" t="s">
        <v>89</v>
      </c>
      <c r="Y198" t="s">
        <v>324</v>
      </c>
      <c r="Z198" s="2" t="s">
        <v>324</v>
      </c>
      <c r="AA198" t="s">
        <v>324</v>
      </c>
      <c r="AB198" t="s">
        <v>324</v>
      </c>
      <c r="AC198" t="s">
        <v>324</v>
      </c>
      <c r="AD198" t="s">
        <v>324</v>
      </c>
      <c r="AE198" t="s">
        <v>324</v>
      </c>
      <c r="AF198" t="s">
        <v>324</v>
      </c>
      <c r="AG198" s="2" t="s">
        <v>324</v>
      </c>
      <c r="AH198" t="s">
        <v>324</v>
      </c>
      <c r="AI198" t="s">
        <v>324</v>
      </c>
      <c r="AJ198" s="2" t="s">
        <v>324</v>
      </c>
      <c r="AK198" t="s">
        <v>324</v>
      </c>
      <c r="AL198" t="s">
        <v>324</v>
      </c>
      <c r="AM198" s="2" t="str">
        <f>HYPERLINK("http://exon.niaid.nih.gov/transcriptome/Tx_amboinensis_sialome/Table_1/links/PFAM\TX-contig_122-PFAM.txt","HGWP")</f>
        <v>HGWP</v>
      </c>
      <c r="AN198" t="str">
        <f>HYPERLINK("http://pfam.wustl.edu/cgi-bin/getdesc?acc=PF03578","0.45")</f>
        <v>0.45</v>
      </c>
      <c r="AO198" s="2" t="str">
        <f>HYPERLINK("http://exon.niaid.nih.gov/transcriptome/Tx_amboinensis_sialome/Table_1/links/SMART\TX-contig_122-SMART.txt","NRF")</f>
        <v>NRF</v>
      </c>
      <c r="AP198" t="str">
        <f>HYPERLINK("http://smart.embl-heidelberg.de/smart/do_annotation.pl?DOMAIN=NRF&amp;BLAST=DUMMY","0.94")</f>
        <v>0.94</v>
      </c>
      <c r="AQ198" s="2" t="s">
        <v>324</v>
      </c>
      <c r="AR198" t="s">
        <v>324</v>
      </c>
      <c r="AS198" s="2" t="s">
        <v>324</v>
      </c>
      <c r="AT198" t="s">
        <v>324</v>
      </c>
    </row>
    <row r="199" spans="1:46" ht="11.25">
      <c r="A199" t="str">
        <f>HYPERLINK("http://exon.niaid.nih.gov/transcriptome/Tx_amboinensis_sialome/Table_1/links/TX-contig_125.txt","TX-contig_125")</f>
        <v>TX-contig_125</v>
      </c>
      <c r="B199" t="str">
        <f>HYPERLINK("http://exon.niaid.nih.gov/transcriptome/Tx_amboinensis_sialome/Table_1/links/TX-5-90-90-asb-125.txt","Contig-125")</f>
        <v>Contig-125</v>
      </c>
      <c r="C199" t="str">
        <f>HYPERLINK("http://exon.niaid.nih.gov/transcriptome/Tx_amboinensis_sialome/Table_1/links/TX-5-90-90-125-CLU.txt","Contig125")</f>
        <v>Contig125</v>
      </c>
      <c r="D199" s="4">
        <v>1</v>
      </c>
      <c r="E199">
        <v>123</v>
      </c>
      <c r="F199" t="s">
        <v>322</v>
      </c>
      <c r="G199">
        <v>94.3</v>
      </c>
      <c r="H199">
        <v>27</v>
      </c>
      <c r="I199">
        <v>125</v>
      </c>
      <c r="J199" t="s">
        <v>441</v>
      </c>
      <c r="K199">
        <v>27</v>
      </c>
      <c r="L199" s="3" t="s">
        <v>1035</v>
      </c>
      <c r="M199" s="4">
        <v>0</v>
      </c>
      <c r="N199" s="4">
        <v>0</v>
      </c>
      <c r="O199" s="4">
        <v>1</v>
      </c>
      <c r="P199" s="4">
        <v>0</v>
      </c>
      <c r="Q199" s="5" t="s">
        <v>1039</v>
      </c>
      <c r="Y199" t="s">
        <v>324</v>
      </c>
      <c r="Z199" s="2" t="s">
        <v>324</v>
      </c>
      <c r="AA199" t="s">
        <v>324</v>
      </c>
      <c r="AB199" t="s">
        <v>324</v>
      </c>
      <c r="AC199" t="s">
        <v>324</v>
      </c>
      <c r="AD199" t="s">
        <v>324</v>
      </c>
      <c r="AE199" t="s">
        <v>324</v>
      </c>
      <c r="AF199" t="s">
        <v>324</v>
      </c>
      <c r="AG199" s="2" t="s">
        <v>324</v>
      </c>
      <c r="AH199" t="s">
        <v>324</v>
      </c>
      <c r="AI199" t="s">
        <v>324</v>
      </c>
      <c r="AJ199" s="2" t="s">
        <v>324</v>
      </c>
      <c r="AK199" t="s">
        <v>324</v>
      </c>
      <c r="AL199" t="s">
        <v>324</v>
      </c>
      <c r="AM199" s="2" t="s">
        <v>324</v>
      </c>
      <c r="AN199" t="s">
        <v>324</v>
      </c>
      <c r="AO199" s="2" t="s">
        <v>324</v>
      </c>
      <c r="AP199" t="s">
        <v>324</v>
      </c>
      <c r="AQ199" s="2" t="s">
        <v>324</v>
      </c>
      <c r="AR199" t="s">
        <v>324</v>
      </c>
      <c r="AS199" s="2" t="s">
        <v>324</v>
      </c>
      <c r="AT199" t="s">
        <v>324</v>
      </c>
    </row>
    <row r="200" spans="1:46" ht="11.25">
      <c r="A200" t="str">
        <f>HYPERLINK("http://exon.niaid.nih.gov/transcriptome/Tx_amboinensis_sialome/Table_1/links/TX-contig_126.txt","TX-contig_126")</f>
        <v>TX-contig_126</v>
      </c>
      <c r="B200" t="str">
        <f>HYPERLINK("http://exon.niaid.nih.gov/transcriptome/Tx_amboinensis_sialome/Table_1/links/TX-5-90-90-asb-126.txt","Contig-126")</f>
        <v>Contig-126</v>
      </c>
      <c r="C200" t="str">
        <f>HYPERLINK("http://exon.niaid.nih.gov/transcriptome/Tx_amboinensis_sialome/Table_1/links/TX-5-90-90-126-CLU.txt","Contig126")</f>
        <v>Contig126</v>
      </c>
      <c r="D200" s="4">
        <v>1</v>
      </c>
      <c r="E200">
        <v>138</v>
      </c>
      <c r="F200">
        <v>3.6</v>
      </c>
      <c r="G200">
        <v>77.5</v>
      </c>
      <c r="H200">
        <v>56</v>
      </c>
      <c r="I200">
        <v>126</v>
      </c>
      <c r="J200" t="s">
        <v>442</v>
      </c>
      <c r="K200">
        <v>56</v>
      </c>
      <c r="L200" s="3" t="s">
        <v>1035</v>
      </c>
      <c r="M200" s="4">
        <v>0</v>
      </c>
      <c r="N200" s="4">
        <v>0</v>
      </c>
      <c r="O200" s="4">
        <v>1</v>
      </c>
      <c r="P200" s="4">
        <v>0</v>
      </c>
      <c r="Q200" s="5" t="s">
        <v>1039</v>
      </c>
      <c r="Y200" t="s">
        <v>324</v>
      </c>
      <c r="Z200" s="2" t="s">
        <v>324</v>
      </c>
      <c r="AA200" t="s">
        <v>324</v>
      </c>
      <c r="AB200" t="s">
        <v>324</v>
      </c>
      <c r="AC200" t="s">
        <v>324</v>
      </c>
      <c r="AD200" t="s">
        <v>324</v>
      </c>
      <c r="AE200" t="s">
        <v>324</v>
      </c>
      <c r="AF200" t="s">
        <v>324</v>
      </c>
      <c r="AG200" s="2" t="s">
        <v>324</v>
      </c>
      <c r="AH200" t="s">
        <v>324</v>
      </c>
      <c r="AI200" t="s">
        <v>324</v>
      </c>
      <c r="AJ200" s="2" t="s">
        <v>324</v>
      </c>
      <c r="AK200" t="s">
        <v>324</v>
      </c>
      <c r="AL200" t="s">
        <v>324</v>
      </c>
      <c r="AM200" s="2" t="s">
        <v>324</v>
      </c>
      <c r="AN200" t="s">
        <v>324</v>
      </c>
      <c r="AO200" s="2" t="s">
        <v>324</v>
      </c>
      <c r="AP200" t="s">
        <v>324</v>
      </c>
      <c r="AQ200" s="2" t="s">
        <v>324</v>
      </c>
      <c r="AR200" t="s">
        <v>324</v>
      </c>
      <c r="AS200" s="2" t="s">
        <v>324</v>
      </c>
      <c r="AT200" t="s">
        <v>324</v>
      </c>
    </row>
    <row r="201" spans="1:46" ht="11.25">
      <c r="A201" t="str">
        <f>HYPERLINK("http://exon.niaid.nih.gov/transcriptome/Tx_amboinensis_sialome/Table_1/links/TX-contig_139.txt","TX-contig_139")</f>
        <v>TX-contig_139</v>
      </c>
      <c r="B201" t="str">
        <f>HYPERLINK("http://exon.niaid.nih.gov/transcriptome/Tx_amboinensis_sialome/Table_1/links/TX-5-90-90-asb-139.txt","Contig-139")</f>
        <v>Contig-139</v>
      </c>
      <c r="C201" t="str">
        <f>HYPERLINK("http://exon.niaid.nih.gov/transcriptome/Tx_amboinensis_sialome/Table_1/links/TX-5-90-90-139-CLU.txt","Contig139")</f>
        <v>Contig139</v>
      </c>
      <c r="D201" s="4">
        <v>1</v>
      </c>
      <c r="E201">
        <v>144</v>
      </c>
      <c r="F201" t="s">
        <v>322</v>
      </c>
      <c r="G201">
        <v>83.3</v>
      </c>
      <c r="H201">
        <v>69</v>
      </c>
      <c r="I201">
        <v>139</v>
      </c>
      <c r="J201" t="s">
        <v>455</v>
      </c>
      <c r="K201">
        <v>69</v>
      </c>
      <c r="L201" s="3" t="s">
        <v>1035</v>
      </c>
      <c r="M201" s="4">
        <v>0</v>
      </c>
      <c r="N201" s="4">
        <v>0</v>
      </c>
      <c r="O201" s="4">
        <v>1</v>
      </c>
      <c r="P201" s="4">
        <v>0</v>
      </c>
      <c r="Q201" s="5" t="s">
        <v>1039</v>
      </c>
      <c r="Y201" t="s">
        <v>324</v>
      </c>
      <c r="Z201" s="2" t="s">
        <v>324</v>
      </c>
      <c r="AA201" t="s">
        <v>324</v>
      </c>
      <c r="AB201" t="s">
        <v>324</v>
      </c>
      <c r="AC201" t="s">
        <v>324</v>
      </c>
      <c r="AD201" t="s">
        <v>324</v>
      </c>
      <c r="AE201" t="s">
        <v>324</v>
      </c>
      <c r="AF201" t="s">
        <v>324</v>
      </c>
      <c r="AG201" s="2" t="s">
        <v>324</v>
      </c>
      <c r="AH201" t="s">
        <v>324</v>
      </c>
      <c r="AI201" t="s">
        <v>324</v>
      </c>
      <c r="AJ201" s="2" t="s">
        <v>324</v>
      </c>
      <c r="AK201" t="s">
        <v>324</v>
      </c>
      <c r="AL201" t="s">
        <v>324</v>
      </c>
      <c r="AM201" s="2" t="s">
        <v>324</v>
      </c>
      <c r="AN201" t="s">
        <v>324</v>
      </c>
      <c r="AO201" s="2" t="s">
        <v>324</v>
      </c>
      <c r="AP201" t="s">
        <v>324</v>
      </c>
      <c r="AQ201" s="2" t="s">
        <v>324</v>
      </c>
      <c r="AR201" t="s">
        <v>324</v>
      </c>
      <c r="AS201" s="2" t="s">
        <v>324</v>
      </c>
      <c r="AT201" t="s">
        <v>324</v>
      </c>
    </row>
    <row r="202" spans="1:46" ht="11.25">
      <c r="A202" t="str">
        <f>HYPERLINK("http://exon.niaid.nih.gov/transcriptome/Tx_amboinensis_sialome/Table_1/links/TX-contig_148.txt","TX-contig_148")</f>
        <v>TX-contig_148</v>
      </c>
      <c r="B202" t="str">
        <f>HYPERLINK("http://exon.niaid.nih.gov/transcriptome/Tx_amboinensis_sialome/Table_1/links/TX-5-90-90-asb-148.txt","Contig-148")</f>
        <v>Contig-148</v>
      </c>
      <c r="C202" t="str">
        <f>HYPERLINK("http://exon.niaid.nih.gov/transcriptome/Tx_amboinensis_sialome/Table_1/links/TX-5-90-90-148-CLU.txt","Contig148")</f>
        <v>Contig148</v>
      </c>
      <c r="D202" s="4">
        <v>1</v>
      </c>
      <c r="E202">
        <v>234</v>
      </c>
      <c r="F202">
        <v>2.1</v>
      </c>
      <c r="G202">
        <v>82.5</v>
      </c>
      <c r="H202">
        <v>105</v>
      </c>
      <c r="I202">
        <v>148</v>
      </c>
      <c r="J202" t="s">
        <v>462</v>
      </c>
      <c r="K202">
        <v>105</v>
      </c>
      <c r="L202" s="3" t="s">
        <v>1035</v>
      </c>
      <c r="M202" s="4">
        <v>0</v>
      </c>
      <c r="N202" s="4">
        <v>0</v>
      </c>
      <c r="O202" s="4">
        <v>1</v>
      </c>
      <c r="P202" s="4">
        <v>0</v>
      </c>
      <c r="Q202" s="5" t="s">
        <v>1039</v>
      </c>
      <c r="Y202" t="s">
        <v>324</v>
      </c>
      <c r="Z202" s="2" t="s">
        <v>324</v>
      </c>
      <c r="AA202" t="s">
        <v>324</v>
      </c>
      <c r="AB202" t="s">
        <v>324</v>
      </c>
      <c r="AC202" t="s">
        <v>324</v>
      </c>
      <c r="AD202" t="s">
        <v>324</v>
      </c>
      <c r="AE202" t="s">
        <v>324</v>
      </c>
      <c r="AF202" t="s">
        <v>324</v>
      </c>
      <c r="AG202" s="2" t="s">
        <v>324</v>
      </c>
      <c r="AH202" t="s">
        <v>324</v>
      </c>
      <c r="AI202" t="s">
        <v>324</v>
      </c>
      <c r="AJ202" s="2" t="s">
        <v>324</v>
      </c>
      <c r="AK202" t="s">
        <v>324</v>
      </c>
      <c r="AL202" t="s">
        <v>324</v>
      </c>
      <c r="AM202" s="2" t="s">
        <v>324</v>
      </c>
      <c r="AN202" t="s">
        <v>324</v>
      </c>
      <c r="AO202" s="2" t="s">
        <v>324</v>
      </c>
      <c r="AP202" t="s">
        <v>324</v>
      </c>
      <c r="AQ202" s="2" t="s">
        <v>324</v>
      </c>
      <c r="AR202" t="s">
        <v>324</v>
      </c>
      <c r="AS202" s="2" t="s">
        <v>324</v>
      </c>
      <c r="AT202" t="s">
        <v>324</v>
      </c>
    </row>
    <row r="203" spans="1:46" ht="11.25">
      <c r="A203" t="str">
        <f>HYPERLINK("http://exon.niaid.nih.gov/transcriptome/Tx_amboinensis_sialome/Table_1/links/TX-contig_153.txt","TX-contig_153")</f>
        <v>TX-contig_153</v>
      </c>
      <c r="B203" t="str">
        <f>HYPERLINK("http://exon.niaid.nih.gov/transcriptome/Tx_amboinensis_sialome/Table_1/links/TX-5-90-90-asb-153.txt","Contig-153")</f>
        <v>Contig-153</v>
      </c>
      <c r="C203" t="str">
        <f>HYPERLINK("http://exon.niaid.nih.gov/transcriptome/Tx_amboinensis_sialome/Table_1/links/TX-5-90-90-153-CLU.txt","Contig153")</f>
        <v>Contig153</v>
      </c>
      <c r="D203" s="4">
        <v>1</v>
      </c>
      <c r="E203">
        <v>167</v>
      </c>
      <c r="F203">
        <v>3.6</v>
      </c>
      <c r="G203">
        <v>66.5</v>
      </c>
      <c r="H203">
        <v>98</v>
      </c>
      <c r="I203">
        <v>153</v>
      </c>
      <c r="J203" t="s">
        <v>467</v>
      </c>
      <c r="K203">
        <v>98</v>
      </c>
      <c r="L203" s="3" t="s">
        <v>1035</v>
      </c>
      <c r="M203" s="4">
        <v>0</v>
      </c>
      <c r="N203" s="4">
        <v>0</v>
      </c>
      <c r="O203" s="4">
        <v>1</v>
      </c>
      <c r="P203" s="4">
        <v>0</v>
      </c>
      <c r="Q203" s="5" t="s">
        <v>1039</v>
      </c>
      <c r="Y203" t="s">
        <v>324</v>
      </c>
      <c r="Z203" s="2" t="s">
        <v>324</v>
      </c>
      <c r="AA203" t="s">
        <v>324</v>
      </c>
      <c r="AB203" t="s">
        <v>324</v>
      </c>
      <c r="AC203" t="s">
        <v>324</v>
      </c>
      <c r="AD203" t="s">
        <v>324</v>
      </c>
      <c r="AE203" t="s">
        <v>324</v>
      </c>
      <c r="AF203" t="s">
        <v>324</v>
      </c>
      <c r="AG203" s="2" t="s">
        <v>324</v>
      </c>
      <c r="AH203" t="s">
        <v>324</v>
      </c>
      <c r="AI203" t="s">
        <v>324</v>
      </c>
      <c r="AJ203" s="2" t="s">
        <v>324</v>
      </c>
      <c r="AK203" t="s">
        <v>324</v>
      </c>
      <c r="AL203" t="s">
        <v>324</v>
      </c>
      <c r="AM203" s="2" t="s">
        <v>324</v>
      </c>
      <c r="AN203" t="s">
        <v>324</v>
      </c>
      <c r="AO203" s="2" t="s">
        <v>324</v>
      </c>
      <c r="AP203" t="s">
        <v>324</v>
      </c>
      <c r="AQ203" s="2" t="s">
        <v>324</v>
      </c>
      <c r="AR203" t="s">
        <v>324</v>
      </c>
      <c r="AS203" s="2" t="s">
        <v>324</v>
      </c>
      <c r="AT203" t="s">
        <v>324</v>
      </c>
    </row>
    <row r="204" spans="1:46" ht="11.25">
      <c r="A204" t="str">
        <f>HYPERLINK("http://exon.niaid.nih.gov/transcriptome/Tx_amboinensis_sialome/Table_1/links/TX-contig_158.txt","TX-contig_158")</f>
        <v>TX-contig_158</v>
      </c>
      <c r="B204" t="str">
        <f>HYPERLINK("http://exon.niaid.nih.gov/transcriptome/Tx_amboinensis_sialome/Table_1/links/TX-5-90-90-asb-158.txt","Contig-158")</f>
        <v>Contig-158</v>
      </c>
      <c r="C204" t="str">
        <f>HYPERLINK("http://exon.niaid.nih.gov/transcriptome/Tx_amboinensis_sialome/Table_1/links/TX-5-90-90-158-CLU.txt","Contig158")</f>
        <v>Contig158</v>
      </c>
      <c r="D204" s="4">
        <v>1</v>
      </c>
      <c r="E204">
        <v>204</v>
      </c>
      <c r="F204">
        <v>4.4</v>
      </c>
      <c r="G204">
        <v>79.4</v>
      </c>
      <c r="H204">
        <v>66</v>
      </c>
      <c r="I204">
        <v>158</v>
      </c>
      <c r="J204" t="s">
        <v>472</v>
      </c>
      <c r="K204">
        <v>66</v>
      </c>
      <c r="L204" s="3" t="s">
        <v>1035</v>
      </c>
      <c r="M204" s="4">
        <v>0</v>
      </c>
      <c r="N204" s="4">
        <v>0</v>
      </c>
      <c r="O204" s="4">
        <v>1</v>
      </c>
      <c r="P204" s="4">
        <v>0</v>
      </c>
      <c r="Q204" s="5" t="s">
        <v>1039</v>
      </c>
      <c r="Y204" t="s">
        <v>324</v>
      </c>
      <c r="Z204" s="2" t="s">
        <v>324</v>
      </c>
      <c r="AA204" t="s">
        <v>324</v>
      </c>
      <c r="AB204" t="s">
        <v>324</v>
      </c>
      <c r="AC204" t="s">
        <v>324</v>
      </c>
      <c r="AD204" t="s">
        <v>324</v>
      </c>
      <c r="AE204" t="s">
        <v>324</v>
      </c>
      <c r="AF204" t="s">
        <v>324</v>
      </c>
      <c r="AG204" s="2" t="s">
        <v>324</v>
      </c>
      <c r="AH204" t="s">
        <v>324</v>
      </c>
      <c r="AI204" t="s">
        <v>324</v>
      </c>
      <c r="AJ204" s="2" t="s">
        <v>324</v>
      </c>
      <c r="AK204" t="s">
        <v>324</v>
      </c>
      <c r="AL204" t="s">
        <v>324</v>
      </c>
      <c r="AM204" s="2" t="s">
        <v>324</v>
      </c>
      <c r="AN204" t="s">
        <v>324</v>
      </c>
      <c r="AO204" s="2" t="s">
        <v>324</v>
      </c>
      <c r="AP204" t="s">
        <v>324</v>
      </c>
      <c r="AQ204" s="2" t="s">
        <v>324</v>
      </c>
      <c r="AR204" t="s">
        <v>324</v>
      </c>
      <c r="AS204" s="2" t="s">
        <v>324</v>
      </c>
      <c r="AT204" t="s">
        <v>324</v>
      </c>
    </row>
    <row r="205" spans="1:46" ht="11.25">
      <c r="A205" t="str">
        <f>HYPERLINK("http://exon.niaid.nih.gov/transcriptome/Tx_amboinensis_sialome/Table_1/links/TX-contig_162.txt","TX-contig_162")</f>
        <v>TX-contig_162</v>
      </c>
      <c r="B205" t="str">
        <f>HYPERLINK("http://exon.niaid.nih.gov/transcriptome/Tx_amboinensis_sialome/Table_1/links/TX-5-90-90-asb-162.txt","Contig-162")</f>
        <v>Contig-162</v>
      </c>
      <c r="C205" t="str">
        <f>HYPERLINK("http://exon.niaid.nih.gov/transcriptome/Tx_amboinensis_sialome/Table_1/links/TX-5-90-90-162-CLU.txt","Contig162")</f>
        <v>Contig162</v>
      </c>
      <c r="D205" s="4">
        <v>1</v>
      </c>
      <c r="E205">
        <v>160</v>
      </c>
      <c r="F205">
        <v>0.6</v>
      </c>
      <c r="G205">
        <v>85</v>
      </c>
      <c r="H205">
        <v>94</v>
      </c>
      <c r="I205">
        <v>162</v>
      </c>
      <c r="J205" t="s">
        <v>475</v>
      </c>
      <c r="K205">
        <v>94</v>
      </c>
      <c r="L205" s="3" t="s">
        <v>1035</v>
      </c>
      <c r="M205" s="4">
        <v>0</v>
      </c>
      <c r="N205" s="4">
        <v>0</v>
      </c>
      <c r="O205" s="4">
        <v>1</v>
      </c>
      <c r="P205" s="4">
        <v>0</v>
      </c>
      <c r="Q205" s="5" t="s">
        <v>1039</v>
      </c>
      <c r="Y205" t="s">
        <v>324</v>
      </c>
      <c r="Z205" s="2" t="s">
        <v>324</v>
      </c>
      <c r="AA205" t="s">
        <v>324</v>
      </c>
      <c r="AB205" t="s">
        <v>324</v>
      </c>
      <c r="AC205" t="s">
        <v>324</v>
      </c>
      <c r="AD205" t="s">
        <v>324</v>
      </c>
      <c r="AE205" t="s">
        <v>324</v>
      </c>
      <c r="AF205" t="s">
        <v>324</v>
      </c>
      <c r="AG205" s="2" t="s">
        <v>324</v>
      </c>
      <c r="AH205" t="s">
        <v>324</v>
      </c>
      <c r="AI205" t="s">
        <v>324</v>
      </c>
      <c r="AJ205" s="2" t="s">
        <v>324</v>
      </c>
      <c r="AK205" t="s">
        <v>324</v>
      </c>
      <c r="AL205" t="s">
        <v>324</v>
      </c>
      <c r="AM205" s="2" t="s">
        <v>324</v>
      </c>
      <c r="AN205" t="s">
        <v>324</v>
      </c>
      <c r="AO205" s="2" t="s">
        <v>324</v>
      </c>
      <c r="AP205" t="s">
        <v>324</v>
      </c>
      <c r="AQ205" s="2" t="s">
        <v>324</v>
      </c>
      <c r="AR205" t="s">
        <v>324</v>
      </c>
      <c r="AS205" s="2" t="s">
        <v>324</v>
      </c>
      <c r="AT205" t="s">
        <v>324</v>
      </c>
    </row>
    <row r="206" spans="1:46" ht="11.25">
      <c r="A206" t="str">
        <f>HYPERLINK("http://exon.niaid.nih.gov/transcriptome/Tx_amboinensis_sialome/Table_1/links/TX-contig_183.txt","TX-contig_183")</f>
        <v>TX-contig_183</v>
      </c>
      <c r="B206" t="str">
        <f>HYPERLINK("http://exon.niaid.nih.gov/transcriptome/Tx_amboinensis_sialome/Table_1/links/TX-5-90-90-asb-183.txt","Contig-183")</f>
        <v>Contig-183</v>
      </c>
      <c r="C206" t="str">
        <f>HYPERLINK("http://exon.niaid.nih.gov/transcriptome/Tx_amboinensis_sialome/Table_1/links/TX-5-90-90-183-CLU.txt","Contig183")</f>
        <v>Contig183</v>
      </c>
      <c r="D206" s="4">
        <v>1</v>
      </c>
      <c r="E206">
        <v>144</v>
      </c>
      <c r="F206">
        <v>1.4</v>
      </c>
      <c r="G206">
        <v>91</v>
      </c>
      <c r="H206">
        <v>31</v>
      </c>
      <c r="I206">
        <v>183</v>
      </c>
      <c r="J206" t="s">
        <v>496</v>
      </c>
      <c r="K206">
        <v>31</v>
      </c>
      <c r="L206" s="3" t="s">
        <v>1035</v>
      </c>
      <c r="M206" s="4">
        <v>0</v>
      </c>
      <c r="N206" s="4">
        <v>0</v>
      </c>
      <c r="O206" s="4">
        <v>2</v>
      </c>
      <c r="P206" s="4">
        <v>0</v>
      </c>
      <c r="Q206" s="5" t="s">
        <v>1039</v>
      </c>
      <c r="Y206" t="s">
        <v>324</v>
      </c>
      <c r="Z206" s="2" t="s">
        <v>324</v>
      </c>
      <c r="AA206" t="s">
        <v>324</v>
      </c>
      <c r="AB206" t="s">
        <v>324</v>
      </c>
      <c r="AC206" t="s">
        <v>324</v>
      </c>
      <c r="AD206" t="s">
        <v>324</v>
      </c>
      <c r="AE206" t="s">
        <v>324</v>
      </c>
      <c r="AF206" t="s">
        <v>324</v>
      </c>
      <c r="AG206" s="2" t="s">
        <v>324</v>
      </c>
      <c r="AH206" t="s">
        <v>324</v>
      </c>
      <c r="AI206" t="s">
        <v>324</v>
      </c>
      <c r="AJ206" s="2" t="s">
        <v>324</v>
      </c>
      <c r="AK206" t="s">
        <v>324</v>
      </c>
      <c r="AL206" t="s">
        <v>324</v>
      </c>
      <c r="AM206" s="2" t="s">
        <v>324</v>
      </c>
      <c r="AN206" t="s">
        <v>324</v>
      </c>
      <c r="AO206" s="2" t="s">
        <v>324</v>
      </c>
      <c r="AP206" t="s">
        <v>324</v>
      </c>
      <c r="AQ206" s="2" t="s">
        <v>324</v>
      </c>
      <c r="AR206" t="s">
        <v>324</v>
      </c>
      <c r="AS206" s="2" t="s">
        <v>324</v>
      </c>
      <c r="AT206" t="s">
        <v>324</v>
      </c>
    </row>
    <row r="207" spans="1:46" ht="11.25">
      <c r="A207" t="str">
        <f>HYPERLINK("http://exon.niaid.nih.gov/transcriptome/Tx_amboinensis_sialome/Table_1/links/TX-contig_187.txt","TX-contig_187")</f>
        <v>TX-contig_187</v>
      </c>
      <c r="B207" t="str">
        <f>HYPERLINK("http://exon.niaid.nih.gov/transcriptome/Tx_amboinensis_sialome/Table_1/links/TX-5-90-90-asb-187.txt","Contig-187")</f>
        <v>Contig-187</v>
      </c>
      <c r="C207" t="str">
        <f>HYPERLINK("http://exon.niaid.nih.gov/transcriptome/Tx_amboinensis_sialome/Table_1/links/TX-5-90-90-187-CLU.txt","Contig187")</f>
        <v>Contig187</v>
      </c>
      <c r="D207" s="4">
        <v>1</v>
      </c>
      <c r="E207">
        <v>132</v>
      </c>
      <c r="F207">
        <v>0.8</v>
      </c>
      <c r="G207">
        <v>93.2</v>
      </c>
      <c r="H207">
        <v>32</v>
      </c>
      <c r="I207">
        <v>187</v>
      </c>
      <c r="J207" t="s">
        <v>500</v>
      </c>
      <c r="K207">
        <v>32</v>
      </c>
      <c r="L207" s="3" t="s">
        <v>1035</v>
      </c>
      <c r="M207" s="4">
        <v>0</v>
      </c>
      <c r="N207" s="4">
        <v>0</v>
      </c>
      <c r="O207" s="4">
        <v>1</v>
      </c>
      <c r="P207" s="4">
        <v>0</v>
      </c>
      <c r="Q207" s="5" t="s">
        <v>1039</v>
      </c>
      <c r="Y207" t="s">
        <v>324</v>
      </c>
      <c r="Z207" s="2" t="s">
        <v>324</v>
      </c>
      <c r="AA207" t="s">
        <v>324</v>
      </c>
      <c r="AB207" t="s">
        <v>324</v>
      </c>
      <c r="AC207" t="s">
        <v>324</v>
      </c>
      <c r="AD207" t="s">
        <v>324</v>
      </c>
      <c r="AE207" t="s">
        <v>324</v>
      </c>
      <c r="AF207" t="s">
        <v>324</v>
      </c>
      <c r="AG207" s="2" t="s">
        <v>324</v>
      </c>
      <c r="AH207" t="s">
        <v>324</v>
      </c>
      <c r="AI207" t="s">
        <v>324</v>
      </c>
      <c r="AJ207" s="2" t="s">
        <v>324</v>
      </c>
      <c r="AK207" t="s">
        <v>324</v>
      </c>
      <c r="AL207" t="s">
        <v>324</v>
      </c>
      <c r="AM207" s="2" t="s">
        <v>324</v>
      </c>
      <c r="AN207" t="s">
        <v>324</v>
      </c>
      <c r="AO207" s="2" t="s">
        <v>324</v>
      </c>
      <c r="AP207" t="s">
        <v>324</v>
      </c>
      <c r="AQ207" s="2" t="s">
        <v>324</v>
      </c>
      <c r="AR207" t="s">
        <v>324</v>
      </c>
      <c r="AS207" s="2" t="s">
        <v>324</v>
      </c>
      <c r="AT207" t="s">
        <v>324</v>
      </c>
    </row>
    <row r="208" spans="1:46" ht="11.25">
      <c r="A208" t="str">
        <f>HYPERLINK("http://exon.niaid.nih.gov/transcriptome/Tx_amboinensis_sialome/Table_1/links/TX-contig_198.txt","TX-contig_198")</f>
        <v>TX-contig_198</v>
      </c>
      <c r="B208" t="str">
        <f>HYPERLINK("http://exon.niaid.nih.gov/transcriptome/Tx_amboinensis_sialome/Table_1/links/TX-5-90-90-asb-198.txt","Contig-198")</f>
        <v>Contig-198</v>
      </c>
      <c r="C208" t="str">
        <f>HYPERLINK("http://exon.niaid.nih.gov/transcriptome/Tx_amboinensis_sialome/Table_1/links/TX-5-90-90-198-CLU.txt","Contig198")</f>
        <v>Contig198</v>
      </c>
      <c r="D208" s="4">
        <v>1</v>
      </c>
      <c r="E208">
        <v>140</v>
      </c>
      <c r="F208" t="s">
        <v>322</v>
      </c>
      <c r="G208">
        <v>87.1</v>
      </c>
      <c r="H208">
        <v>61</v>
      </c>
      <c r="I208">
        <v>198</v>
      </c>
      <c r="J208" t="s">
        <v>511</v>
      </c>
      <c r="K208">
        <v>61</v>
      </c>
      <c r="L208" s="3" t="s">
        <v>1035</v>
      </c>
      <c r="M208" s="4">
        <v>0</v>
      </c>
      <c r="N208" s="4">
        <v>0</v>
      </c>
      <c r="O208" s="4">
        <v>2</v>
      </c>
      <c r="P208" s="4">
        <v>0</v>
      </c>
      <c r="Q208" s="5" t="s">
        <v>1039</v>
      </c>
      <c r="Y208" t="s">
        <v>324</v>
      </c>
      <c r="Z208" s="2" t="s">
        <v>324</v>
      </c>
      <c r="AA208" t="s">
        <v>324</v>
      </c>
      <c r="AB208" t="s">
        <v>324</v>
      </c>
      <c r="AC208" t="s">
        <v>324</v>
      </c>
      <c r="AD208" t="s">
        <v>324</v>
      </c>
      <c r="AE208" t="s">
        <v>324</v>
      </c>
      <c r="AF208" t="s">
        <v>324</v>
      </c>
      <c r="AG208" s="2" t="s">
        <v>324</v>
      </c>
      <c r="AH208" t="s">
        <v>324</v>
      </c>
      <c r="AI208" t="s">
        <v>324</v>
      </c>
      <c r="AJ208" s="2" t="s">
        <v>324</v>
      </c>
      <c r="AK208" t="s">
        <v>324</v>
      </c>
      <c r="AL208" t="s">
        <v>324</v>
      </c>
      <c r="AM208" s="2" t="s">
        <v>324</v>
      </c>
      <c r="AN208" t="s">
        <v>324</v>
      </c>
      <c r="AO208" s="2" t="s">
        <v>324</v>
      </c>
      <c r="AP208" t="s">
        <v>324</v>
      </c>
      <c r="AQ208" s="2" t="s">
        <v>324</v>
      </c>
      <c r="AR208" t="s">
        <v>324</v>
      </c>
      <c r="AS208" s="2" t="s">
        <v>324</v>
      </c>
      <c r="AT208" t="s">
        <v>324</v>
      </c>
    </row>
    <row r="209" spans="1:46" ht="11.25">
      <c r="A209" t="str">
        <f>HYPERLINK("http://exon.niaid.nih.gov/transcriptome/Tx_amboinensis_sialome/Table_1/links/TX-contig_202.txt","TX-contig_202")</f>
        <v>TX-contig_202</v>
      </c>
      <c r="B209" t="str">
        <f>HYPERLINK("http://exon.niaid.nih.gov/transcriptome/Tx_amboinensis_sialome/Table_1/links/TX-5-90-90-asb-202.txt","Contig-202")</f>
        <v>Contig-202</v>
      </c>
      <c r="C209" t="str">
        <f>HYPERLINK("http://exon.niaid.nih.gov/transcriptome/Tx_amboinensis_sialome/Table_1/links/TX-5-90-90-202-CLU.txt","Contig202")</f>
        <v>Contig202</v>
      </c>
      <c r="D209" s="4">
        <v>1</v>
      </c>
      <c r="E209">
        <v>159</v>
      </c>
      <c r="F209">
        <v>2.5</v>
      </c>
      <c r="G209">
        <v>68.6</v>
      </c>
      <c r="H209">
        <v>140</v>
      </c>
      <c r="I209">
        <v>202</v>
      </c>
      <c r="J209" t="s">
        <v>515</v>
      </c>
      <c r="K209">
        <v>140</v>
      </c>
      <c r="L209" s="3" t="s">
        <v>1035</v>
      </c>
      <c r="M209" s="4">
        <v>0</v>
      </c>
      <c r="N209" s="4">
        <v>0</v>
      </c>
      <c r="O209" s="4">
        <v>1</v>
      </c>
      <c r="P209" s="4">
        <v>0</v>
      </c>
      <c r="Q209" s="5" t="s">
        <v>1039</v>
      </c>
      <c r="Y209" t="s">
        <v>324</v>
      </c>
      <c r="Z209" s="2" t="s">
        <v>324</v>
      </c>
      <c r="AA209" t="s">
        <v>324</v>
      </c>
      <c r="AB209" t="s">
        <v>324</v>
      </c>
      <c r="AC209" t="s">
        <v>324</v>
      </c>
      <c r="AD209" t="s">
        <v>324</v>
      </c>
      <c r="AE209" t="s">
        <v>324</v>
      </c>
      <c r="AF209" t="s">
        <v>324</v>
      </c>
      <c r="AG209" s="2" t="s">
        <v>324</v>
      </c>
      <c r="AH209" t="s">
        <v>324</v>
      </c>
      <c r="AI209" t="s">
        <v>324</v>
      </c>
      <c r="AJ209" s="2" t="s">
        <v>324</v>
      </c>
      <c r="AK209" t="s">
        <v>324</v>
      </c>
      <c r="AL209" t="s">
        <v>324</v>
      </c>
      <c r="AM209" s="2" t="s">
        <v>324</v>
      </c>
      <c r="AN209" t="s">
        <v>324</v>
      </c>
      <c r="AO209" s="2" t="str">
        <f>HYPERLINK("http://exon.niaid.nih.gov/transcriptome/Tx_amboinensis_sialome/Table_1/links/SMART\TX-contig_202-SMART.txt","PIPKc")</f>
        <v>PIPKc</v>
      </c>
      <c r="AP209" t="str">
        <f>HYPERLINK("http://smart.embl-heidelberg.de/smart/do_annotation.pl?DOMAIN=PIPKc&amp;BLAST=DUMMY","0.81")</f>
        <v>0.81</v>
      </c>
      <c r="AQ209" s="2" t="s">
        <v>324</v>
      </c>
      <c r="AR209" t="s">
        <v>324</v>
      </c>
      <c r="AS209" s="2" t="s">
        <v>324</v>
      </c>
      <c r="AT209" t="s">
        <v>324</v>
      </c>
    </row>
    <row r="210" spans="1:46" ht="11.25">
      <c r="A210" t="str">
        <f>HYPERLINK("http://exon.niaid.nih.gov/transcriptome/Tx_amboinensis_sialome/Table_1/links/TX-contig_209.txt","TX-contig_209")</f>
        <v>TX-contig_209</v>
      </c>
      <c r="B210" t="str">
        <f>HYPERLINK("http://exon.niaid.nih.gov/transcriptome/Tx_amboinensis_sialome/Table_1/links/TX-5-90-90-asb-209.txt","Contig-209")</f>
        <v>Contig-209</v>
      </c>
      <c r="C210" t="str">
        <f>HYPERLINK("http://exon.niaid.nih.gov/transcriptome/Tx_amboinensis_sialome/Table_1/links/TX-5-90-90-209-CLU.txt","Contig209")</f>
        <v>Contig209</v>
      </c>
      <c r="D210" s="4">
        <v>1</v>
      </c>
      <c r="E210">
        <v>130</v>
      </c>
      <c r="F210">
        <v>0.8</v>
      </c>
      <c r="G210">
        <v>81.5</v>
      </c>
      <c r="H210">
        <v>75</v>
      </c>
      <c r="I210">
        <v>209</v>
      </c>
      <c r="J210" t="s">
        <v>522</v>
      </c>
      <c r="K210">
        <v>75</v>
      </c>
      <c r="L210" s="3" t="s">
        <v>1035</v>
      </c>
      <c r="M210" s="4">
        <v>0</v>
      </c>
      <c r="N210" s="4">
        <v>0</v>
      </c>
      <c r="O210" s="4">
        <v>2</v>
      </c>
      <c r="P210" s="4">
        <v>0</v>
      </c>
      <c r="Q210" s="5" t="s">
        <v>1039</v>
      </c>
      <c r="Y210" t="s">
        <v>324</v>
      </c>
      <c r="Z210" s="2" t="s">
        <v>324</v>
      </c>
      <c r="AA210" t="s">
        <v>324</v>
      </c>
      <c r="AB210" t="s">
        <v>324</v>
      </c>
      <c r="AC210" t="s">
        <v>324</v>
      </c>
      <c r="AD210" t="s">
        <v>324</v>
      </c>
      <c r="AE210" t="s">
        <v>324</v>
      </c>
      <c r="AF210" t="s">
        <v>324</v>
      </c>
      <c r="AG210" s="2" t="s">
        <v>324</v>
      </c>
      <c r="AH210" t="s">
        <v>324</v>
      </c>
      <c r="AI210" t="s">
        <v>324</v>
      </c>
      <c r="AJ210" s="2" t="s">
        <v>324</v>
      </c>
      <c r="AK210" t="s">
        <v>324</v>
      </c>
      <c r="AL210" t="s">
        <v>324</v>
      </c>
      <c r="AM210" s="2" t="s">
        <v>324</v>
      </c>
      <c r="AN210" t="s">
        <v>324</v>
      </c>
      <c r="AO210" s="2" t="str">
        <f>HYPERLINK("http://exon.niaid.nih.gov/transcriptome/Tx_amboinensis_sialome/Table_1/links/SMART\TX-contig_209-SMART.txt","Skp1")</f>
        <v>Skp1</v>
      </c>
      <c r="AP210" t="str">
        <f>HYPERLINK("http://smart.embl-heidelberg.de/smart/do_annotation.pl?DOMAIN=Skp1&amp;BLAST=DUMMY","0.56")</f>
        <v>0.56</v>
      </c>
      <c r="AQ210" s="2" t="s">
        <v>324</v>
      </c>
      <c r="AR210" t="s">
        <v>324</v>
      </c>
      <c r="AS210" s="2" t="s">
        <v>324</v>
      </c>
      <c r="AT210" t="s">
        <v>324</v>
      </c>
    </row>
    <row r="211" spans="1:46" ht="11.25">
      <c r="A211" t="str">
        <f>HYPERLINK("http://exon.niaid.nih.gov/transcriptome/Tx_amboinensis_sialome/Table_1/links/TX-contig_216.txt","TX-contig_216")</f>
        <v>TX-contig_216</v>
      </c>
      <c r="B211" t="str">
        <f>HYPERLINK("http://exon.niaid.nih.gov/transcriptome/Tx_amboinensis_sialome/Table_1/links/TX-5-90-90-asb-216.txt","Contig-216")</f>
        <v>Contig-216</v>
      </c>
      <c r="C211" t="str">
        <f>HYPERLINK("http://exon.niaid.nih.gov/transcriptome/Tx_amboinensis_sialome/Table_1/links/TX-5-90-90-216-CLU.txt","Contig216")</f>
        <v>Contig216</v>
      </c>
      <c r="D211" s="4">
        <v>1</v>
      </c>
      <c r="E211">
        <v>141</v>
      </c>
      <c r="F211">
        <v>2.8</v>
      </c>
      <c r="G211">
        <v>53.9</v>
      </c>
      <c r="H211" t="s">
        <v>324</v>
      </c>
      <c r="I211">
        <v>216</v>
      </c>
      <c r="J211" t="s">
        <v>529</v>
      </c>
      <c r="K211" t="s">
        <v>324</v>
      </c>
      <c r="L211" s="3" t="s">
        <v>1035</v>
      </c>
      <c r="M211" s="4">
        <v>0</v>
      </c>
      <c r="N211" s="4">
        <v>0</v>
      </c>
      <c r="O211" s="4">
        <v>1</v>
      </c>
      <c r="P211" s="4">
        <v>0</v>
      </c>
      <c r="Q211" s="5" t="s">
        <v>1039</v>
      </c>
      <c r="Y211" t="s">
        <v>324</v>
      </c>
      <c r="Z211" s="2" t="s">
        <v>324</v>
      </c>
      <c r="AA211" t="s">
        <v>324</v>
      </c>
      <c r="AB211" t="s">
        <v>324</v>
      </c>
      <c r="AC211" t="s">
        <v>324</v>
      </c>
      <c r="AD211" t="s">
        <v>324</v>
      </c>
      <c r="AE211" t="s">
        <v>324</v>
      </c>
      <c r="AF211" t="s">
        <v>324</v>
      </c>
      <c r="AG211" s="2" t="s">
        <v>324</v>
      </c>
      <c r="AH211" t="s">
        <v>324</v>
      </c>
      <c r="AI211" t="s">
        <v>324</v>
      </c>
      <c r="AJ211" s="2" t="s">
        <v>324</v>
      </c>
      <c r="AK211" t="s">
        <v>324</v>
      </c>
      <c r="AL211" t="s">
        <v>324</v>
      </c>
      <c r="AM211" s="2" t="s">
        <v>324</v>
      </c>
      <c r="AN211" t="s">
        <v>324</v>
      </c>
      <c r="AO211" s="2" t="s">
        <v>324</v>
      </c>
      <c r="AP211" t="s">
        <v>324</v>
      </c>
      <c r="AQ211" s="2" t="s">
        <v>324</v>
      </c>
      <c r="AR211" t="s">
        <v>324</v>
      </c>
      <c r="AS211" s="2" t="s">
        <v>324</v>
      </c>
      <c r="AT211" t="s">
        <v>324</v>
      </c>
    </row>
    <row r="212" spans="1:46" ht="11.25">
      <c r="A212" t="str">
        <f>HYPERLINK("http://exon.niaid.nih.gov/transcriptome/Tx_amboinensis_sialome/Table_1/links/TX-contig_220.txt","TX-contig_220")</f>
        <v>TX-contig_220</v>
      </c>
      <c r="B212" t="str">
        <f>HYPERLINK("http://exon.niaid.nih.gov/transcriptome/Tx_amboinensis_sialome/Table_1/links/TX-5-90-90-asb-220.txt","Contig-220")</f>
        <v>Contig-220</v>
      </c>
      <c r="C212" t="str">
        <f>HYPERLINK("http://exon.niaid.nih.gov/transcriptome/Tx_amboinensis_sialome/Table_1/links/TX-5-90-90-220-CLU.txt","Contig220")</f>
        <v>Contig220</v>
      </c>
      <c r="D212" s="4">
        <v>1</v>
      </c>
      <c r="E212">
        <v>128</v>
      </c>
      <c r="F212" t="s">
        <v>322</v>
      </c>
      <c r="G212">
        <v>66.4</v>
      </c>
      <c r="H212">
        <v>109</v>
      </c>
      <c r="I212">
        <v>220</v>
      </c>
      <c r="J212" t="s">
        <v>533</v>
      </c>
      <c r="K212">
        <v>109</v>
      </c>
      <c r="L212" s="3" t="s">
        <v>1035</v>
      </c>
      <c r="M212" s="4">
        <v>0</v>
      </c>
      <c r="N212" s="4">
        <v>0</v>
      </c>
      <c r="O212" s="4">
        <v>2</v>
      </c>
      <c r="P212" s="4">
        <v>0</v>
      </c>
      <c r="Q212" s="5" t="s">
        <v>1039</v>
      </c>
      <c r="Y212" t="s">
        <v>324</v>
      </c>
      <c r="Z212" s="2" t="s">
        <v>324</v>
      </c>
      <c r="AA212" t="s">
        <v>324</v>
      </c>
      <c r="AB212" t="s">
        <v>324</v>
      </c>
      <c r="AC212" t="s">
        <v>324</v>
      </c>
      <c r="AD212" t="s">
        <v>324</v>
      </c>
      <c r="AE212" t="s">
        <v>324</v>
      </c>
      <c r="AF212" t="s">
        <v>324</v>
      </c>
      <c r="AG212" s="2" t="s">
        <v>324</v>
      </c>
      <c r="AH212" t="s">
        <v>324</v>
      </c>
      <c r="AI212" t="s">
        <v>324</v>
      </c>
      <c r="AJ212" s="2" t="s">
        <v>324</v>
      </c>
      <c r="AK212" t="s">
        <v>324</v>
      </c>
      <c r="AL212" t="s">
        <v>324</v>
      </c>
      <c r="AM212" s="2" t="s">
        <v>324</v>
      </c>
      <c r="AN212" t="s">
        <v>324</v>
      </c>
      <c r="AO212" s="2" t="str">
        <f>HYPERLINK("http://exon.niaid.nih.gov/transcriptome/Tx_amboinensis_sialome/Table_1/links/SMART\TX-contig_220-SMART.txt","THN")</f>
        <v>THN</v>
      </c>
      <c r="AP212" t="str">
        <f>HYPERLINK("http://smart.embl-heidelberg.de/smart/do_annotation.pl?DOMAIN=THN&amp;BLAST=DUMMY","0.97")</f>
        <v>0.97</v>
      </c>
      <c r="AQ212" s="2" t="s">
        <v>324</v>
      </c>
      <c r="AR212" t="s">
        <v>324</v>
      </c>
      <c r="AS212" s="2" t="s">
        <v>324</v>
      </c>
      <c r="AT212" t="s">
        <v>324</v>
      </c>
    </row>
    <row r="213" spans="1:46" ht="11.25">
      <c r="A213" t="str">
        <f>HYPERLINK("http://exon.niaid.nih.gov/transcriptome/Tx_amboinensis_sialome/Table_1/links/TX-contig_222.txt","TX-contig_222")</f>
        <v>TX-contig_222</v>
      </c>
      <c r="B213" t="str">
        <f>HYPERLINK("http://exon.niaid.nih.gov/transcriptome/Tx_amboinensis_sialome/Table_1/links/TX-5-90-90-asb-222.txt","Contig-222")</f>
        <v>Contig-222</v>
      </c>
      <c r="C213" t="str">
        <f>HYPERLINK("http://exon.niaid.nih.gov/transcriptome/Tx_amboinensis_sialome/Table_1/links/TX-5-90-90-222-CLU.txt","Contig222")</f>
        <v>Contig222</v>
      </c>
      <c r="D213" s="4">
        <v>1</v>
      </c>
      <c r="E213">
        <v>168</v>
      </c>
      <c r="F213" t="s">
        <v>322</v>
      </c>
      <c r="G213">
        <v>65.5</v>
      </c>
      <c r="H213">
        <v>149</v>
      </c>
      <c r="I213">
        <v>222</v>
      </c>
      <c r="J213" t="s">
        <v>535</v>
      </c>
      <c r="K213">
        <v>149</v>
      </c>
      <c r="L213" s="3" t="s">
        <v>1035</v>
      </c>
      <c r="M213" s="4">
        <v>0</v>
      </c>
      <c r="N213" s="4">
        <v>0</v>
      </c>
      <c r="O213" s="4">
        <v>1</v>
      </c>
      <c r="P213" s="4">
        <v>0</v>
      </c>
      <c r="Q213" s="5" t="s">
        <v>1039</v>
      </c>
      <c r="Y213" t="s">
        <v>324</v>
      </c>
      <c r="Z213" s="2" t="s">
        <v>324</v>
      </c>
      <c r="AA213" t="s">
        <v>324</v>
      </c>
      <c r="AB213" t="s">
        <v>324</v>
      </c>
      <c r="AC213" t="s">
        <v>324</v>
      </c>
      <c r="AD213" t="s">
        <v>324</v>
      </c>
      <c r="AE213" t="s">
        <v>324</v>
      </c>
      <c r="AF213" t="s">
        <v>324</v>
      </c>
      <c r="AG213" s="2" t="s">
        <v>324</v>
      </c>
      <c r="AH213" t="s">
        <v>324</v>
      </c>
      <c r="AI213" t="s">
        <v>324</v>
      </c>
      <c r="AJ213" s="2" t="s">
        <v>324</v>
      </c>
      <c r="AK213" t="s">
        <v>324</v>
      </c>
      <c r="AL213" t="s">
        <v>324</v>
      </c>
      <c r="AM213" s="2" t="s">
        <v>324</v>
      </c>
      <c r="AN213" t="s">
        <v>324</v>
      </c>
      <c r="AO213" s="2" t="str">
        <f>HYPERLINK("http://exon.niaid.nih.gov/transcriptome/Tx_amboinensis_sialome/Table_1/links/SMART\TX-contig_222-SMART.txt","DNaseIc")</f>
        <v>DNaseIc</v>
      </c>
      <c r="AP213" t="str">
        <f>HYPERLINK("http://smart.embl-heidelberg.de/smart/do_annotation.pl?DOMAIN=DNaseIc&amp;BLAST=DUMMY","0.54")</f>
        <v>0.54</v>
      </c>
      <c r="AQ213" s="2" t="s">
        <v>324</v>
      </c>
      <c r="AR213" t="s">
        <v>324</v>
      </c>
      <c r="AS213" s="2" t="s">
        <v>324</v>
      </c>
      <c r="AT213" t="s">
        <v>324</v>
      </c>
    </row>
    <row r="214" spans="1:46" ht="11.25">
      <c r="A214" t="str">
        <f>HYPERLINK("http://exon.niaid.nih.gov/transcriptome/Tx_amboinensis_sialome/Table_1/links/TX-contig_230.txt","TX-contig_230")</f>
        <v>TX-contig_230</v>
      </c>
      <c r="B214" t="str">
        <f>HYPERLINK("http://exon.niaid.nih.gov/transcriptome/Tx_amboinensis_sialome/Table_1/links/TX-5-90-90-asb-230.txt","Contig-230")</f>
        <v>Contig-230</v>
      </c>
      <c r="C214" t="str">
        <f>HYPERLINK("http://exon.niaid.nih.gov/transcriptome/Tx_amboinensis_sialome/Table_1/links/TX-5-90-90-230-CLU.txt","Contig230")</f>
        <v>Contig230</v>
      </c>
      <c r="D214" s="4">
        <v>1</v>
      </c>
      <c r="E214">
        <v>111</v>
      </c>
      <c r="F214">
        <v>0.9</v>
      </c>
      <c r="G214">
        <v>62.2</v>
      </c>
      <c r="H214">
        <v>92</v>
      </c>
      <c r="I214">
        <v>230</v>
      </c>
      <c r="J214" t="s">
        <v>543</v>
      </c>
      <c r="K214">
        <v>92</v>
      </c>
      <c r="L214" s="3" t="s">
        <v>1035</v>
      </c>
      <c r="M214" s="4">
        <v>0</v>
      </c>
      <c r="N214" s="4">
        <v>0</v>
      </c>
      <c r="O214" s="4">
        <v>1</v>
      </c>
      <c r="P214" s="4">
        <v>0</v>
      </c>
      <c r="Q214" s="5" t="s">
        <v>1039</v>
      </c>
      <c r="Y214" t="s">
        <v>324</v>
      </c>
      <c r="Z214" s="2" t="s">
        <v>324</v>
      </c>
      <c r="AA214" t="s">
        <v>324</v>
      </c>
      <c r="AB214" t="s">
        <v>324</v>
      </c>
      <c r="AC214" t="s">
        <v>324</v>
      </c>
      <c r="AD214" t="s">
        <v>324</v>
      </c>
      <c r="AE214" t="s">
        <v>324</v>
      </c>
      <c r="AF214" t="s">
        <v>324</v>
      </c>
      <c r="AG214" s="2" t="s">
        <v>324</v>
      </c>
      <c r="AH214" t="s">
        <v>324</v>
      </c>
      <c r="AI214" t="s">
        <v>324</v>
      </c>
      <c r="AJ214" s="2" t="s">
        <v>324</v>
      </c>
      <c r="AK214" t="s">
        <v>324</v>
      </c>
      <c r="AL214" t="s">
        <v>324</v>
      </c>
      <c r="AM214" s="2" t="s">
        <v>324</v>
      </c>
      <c r="AN214" t="s">
        <v>324</v>
      </c>
      <c r="AO214" s="2" t="s">
        <v>324</v>
      </c>
      <c r="AP214" t="s">
        <v>324</v>
      </c>
      <c r="AQ214" s="2" t="s">
        <v>324</v>
      </c>
      <c r="AR214" t="s">
        <v>324</v>
      </c>
      <c r="AS214" s="2" t="s">
        <v>324</v>
      </c>
      <c r="AT214" t="s">
        <v>324</v>
      </c>
    </row>
    <row r="215" spans="1:46" ht="11.25">
      <c r="A215" t="str">
        <f>HYPERLINK("http://exon.niaid.nih.gov/transcriptome/Tx_amboinensis_sialome/Table_1/links/TX-contig_231.txt","TX-contig_231")</f>
        <v>TX-contig_231</v>
      </c>
      <c r="B215" t="str">
        <f>HYPERLINK("http://exon.niaid.nih.gov/transcriptome/Tx_amboinensis_sialome/Table_1/links/TX-5-90-90-asb-231.txt","Contig-231")</f>
        <v>Contig-231</v>
      </c>
      <c r="C215" t="str">
        <f>HYPERLINK("http://exon.niaid.nih.gov/transcriptome/Tx_amboinensis_sialome/Table_1/links/TX-5-90-90-231-CLU.txt","Contig231")</f>
        <v>Contig231</v>
      </c>
      <c r="D215" s="4">
        <v>1</v>
      </c>
      <c r="E215">
        <v>98</v>
      </c>
      <c r="F215" t="s">
        <v>322</v>
      </c>
      <c r="G215">
        <v>79.6</v>
      </c>
      <c r="H215">
        <v>79</v>
      </c>
      <c r="I215">
        <v>231</v>
      </c>
      <c r="J215" t="s">
        <v>544</v>
      </c>
      <c r="K215">
        <v>79</v>
      </c>
      <c r="L215" s="3" t="s">
        <v>1035</v>
      </c>
      <c r="M215" s="4">
        <v>0</v>
      </c>
      <c r="N215" s="4">
        <v>0</v>
      </c>
      <c r="O215" s="4">
        <v>1</v>
      </c>
      <c r="P215" s="4">
        <v>0</v>
      </c>
      <c r="Q215" s="5" t="s">
        <v>1039</v>
      </c>
      <c r="Y215" t="s">
        <v>324</v>
      </c>
      <c r="Z215" s="2" t="s">
        <v>324</v>
      </c>
      <c r="AA215" t="s">
        <v>324</v>
      </c>
      <c r="AB215" t="s">
        <v>324</v>
      </c>
      <c r="AC215" t="s">
        <v>324</v>
      </c>
      <c r="AD215" t="s">
        <v>324</v>
      </c>
      <c r="AE215" t="s">
        <v>324</v>
      </c>
      <c r="AF215" t="s">
        <v>324</v>
      </c>
      <c r="AG215" s="2" t="s">
        <v>324</v>
      </c>
      <c r="AH215" t="s">
        <v>324</v>
      </c>
      <c r="AI215" t="s">
        <v>324</v>
      </c>
      <c r="AJ215" s="2" t="str">
        <f>HYPERLINK("http://exon.niaid.nih.gov/transcriptome/Tx_amboinensis_sialome/Table_1/links/CDD\TX-contig_231-CDD.txt","DUF1405")</f>
        <v>DUF1405</v>
      </c>
      <c r="AK215" t="str">
        <f>HYPERLINK("http://www.ncbi.nlm.nih.gov/Structure/cdd/cddsrv.cgi?uid=pfam07187&amp;version=v4.0","0.81")</f>
        <v>0.81</v>
      </c>
      <c r="AL215" t="s">
        <v>889</v>
      </c>
      <c r="AM215" s="2" t="str">
        <f>HYPERLINK("http://exon.niaid.nih.gov/transcriptome/Tx_amboinensis_sialome/Table_1/links/PFAM\TX-contig_231-PFAM.txt","DUF1405")</f>
        <v>DUF1405</v>
      </c>
      <c r="AN215" t="str">
        <f>HYPERLINK("http://pfam.wustl.edu/cgi-bin/getdesc?acc=PF07187","0.43")</f>
        <v>0.43</v>
      </c>
      <c r="AO215" s="2" t="s">
        <v>324</v>
      </c>
      <c r="AP215" t="s">
        <v>324</v>
      </c>
      <c r="AQ215" s="2" t="s">
        <v>324</v>
      </c>
      <c r="AR215" t="s">
        <v>324</v>
      </c>
      <c r="AS215" s="2" t="s">
        <v>324</v>
      </c>
      <c r="AT215" t="s">
        <v>324</v>
      </c>
    </row>
    <row r="216" spans="1:46" ht="11.25">
      <c r="A216" t="str">
        <f>HYPERLINK("http://exon.niaid.nih.gov/transcriptome/Tx_amboinensis_sialome/Table_1/links/TX-contig_232.txt","TX-contig_232")</f>
        <v>TX-contig_232</v>
      </c>
      <c r="B216" t="str">
        <f>HYPERLINK("http://exon.niaid.nih.gov/transcriptome/Tx_amboinensis_sialome/Table_1/links/TX-5-90-90-asb-232.txt","Contig-232")</f>
        <v>Contig-232</v>
      </c>
      <c r="C216" t="str">
        <f>HYPERLINK("http://exon.niaid.nih.gov/transcriptome/Tx_amboinensis_sialome/Table_1/links/TX-5-90-90-232-CLU.txt","Contig232")</f>
        <v>Contig232</v>
      </c>
      <c r="D216" s="4">
        <v>1</v>
      </c>
      <c r="E216">
        <v>175</v>
      </c>
      <c r="F216">
        <v>0.6</v>
      </c>
      <c r="G216">
        <v>88.6</v>
      </c>
      <c r="H216">
        <v>58</v>
      </c>
      <c r="I216">
        <v>232</v>
      </c>
      <c r="J216" t="s">
        <v>545</v>
      </c>
      <c r="K216">
        <v>58</v>
      </c>
      <c r="L216" s="3" t="s">
        <v>1035</v>
      </c>
      <c r="M216" s="4">
        <v>0</v>
      </c>
      <c r="N216" s="4">
        <v>0</v>
      </c>
      <c r="O216" s="4">
        <v>1</v>
      </c>
      <c r="P216" s="4">
        <v>0</v>
      </c>
      <c r="Q216" s="5" t="s">
        <v>1039</v>
      </c>
      <c r="Y216" t="s">
        <v>324</v>
      </c>
      <c r="Z216" s="2" t="s">
        <v>324</v>
      </c>
      <c r="AA216" t="s">
        <v>324</v>
      </c>
      <c r="AB216" t="s">
        <v>324</v>
      </c>
      <c r="AC216" t="s">
        <v>324</v>
      </c>
      <c r="AD216" t="s">
        <v>324</v>
      </c>
      <c r="AE216" t="s">
        <v>324</v>
      </c>
      <c r="AF216" t="s">
        <v>324</v>
      </c>
      <c r="AG216" s="2" t="s">
        <v>324</v>
      </c>
      <c r="AH216" t="s">
        <v>324</v>
      </c>
      <c r="AI216" t="s">
        <v>324</v>
      </c>
      <c r="AJ216" s="2" t="s">
        <v>324</v>
      </c>
      <c r="AK216" t="s">
        <v>324</v>
      </c>
      <c r="AL216" t="s">
        <v>324</v>
      </c>
      <c r="AM216" s="2" t="s">
        <v>324</v>
      </c>
      <c r="AN216" t="s">
        <v>324</v>
      </c>
      <c r="AO216" s="2" t="s">
        <v>324</v>
      </c>
      <c r="AP216" t="s">
        <v>324</v>
      </c>
      <c r="AQ216" s="2" t="s">
        <v>324</v>
      </c>
      <c r="AR216" t="s">
        <v>324</v>
      </c>
      <c r="AS216" s="2" t="s">
        <v>324</v>
      </c>
      <c r="AT216" t="s">
        <v>324</v>
      </c>
    </row>
    <row r="217" spans="1:46" ht="11.25">
      <c r="A217" t="str">
        <f>HYPERLINK("http://exon.niaid.nih.gov/transcriptome/Tx_amboinensis_sialome/Table_1/links/TX-contig_234.txt","TX-contig_234")</f>
        <v>TX-contig_234</v>
      </c>
      <c r="B217" t="str">
        <f>HYPERLINK("http://exon.niaid.nih.gov/transcriptome/Tx_amboinensis_sialome/Table_1/links/TX-5-90-90-asb-234.txt","Contig-234")</f>
        <v>Contig-234</v>
      </c>
      <c r="C217" t="str">
        <f>HYPERLINK("http://exon.niaid.nih.gov/transcriptome/Tx_amboinensis_sialome/Table_1/links/TX-5-90-90-234-CLU.txt","Contig234")</f>
        <v>Contig234</v>
      </c>
      <c r="D217" s="4">
        <v>1</v>
      </c>
      <c r="E217">
        <v>150</v>
      </c>
      <c r="F217" t="s">
        <v>322</v>
      </c>
      <c r="G217">
        <v>90</v>
      </c>
      <c r="H217">
        <v>40</v>
      </c>
      <c r="I217">
        <v>234</v>
      </c>
      <c r="J217" t="s">
        <v>547</v>
      </c>
      <c r="K217">
        <v>40</v>
      </c>
      <c r="L217" s="3" t="s">
        <v>1035</v>
      </c>
      <c r="M217" s="4">
        <v>0</v>
      </c>
      <c r="N217" s="4">
        <v>0</v>
      </c>
      <c r="O217" s="4">
        <v>1</v>
      </c>
      <c r="P217" s="4">
        <v>0</v>
      </c>
      <c r="Q217" s="5" t="s">
        <v>1039</v>
      </c>
      <c r="Y217" t="s">
        <v>324</v>
      </c>
      <c r="Z217" s="2" t="s">
        <v>324</v>
      </c>
      <c r="AA217" t="s">
        <v>324</v>
      </c>
      <c r="AB217" t="s">
        <v>324</v>
      </c>
      <c r="AC217" t="s">
        <v>324</v>
      </c>
      <c r="AD217" t="s">
        <v>324</v>
      </c>
      <c r="AE217" t="s">
        <v>324</v>
      </c>
      <c r="AF217" t="s">
        <v>324</v>
      </c>
      <c r="AG217" s="2" t="s">
        <v>324</v>
      </c>
      <c r="AH217" t="s">
        <v>324</v>
      </c>
      <c r="AI217" t="s">
        <v>324</v>
      </c>
      <c r="AJ217" s="2" t="s">
        <v>324</v>
      </c>
      <c r="AK217" t="s">
        <v>324</v>
      </c>
      <c r="AL217" t="s">
        <v>324</v>
      </c>
      <c r="AM217" s="2" t="s">
        <v>324</v>
      </c>
      <c r="AN217" t="s">
        <v>324</v>
      </c>
      <c r="AO217" s="2" t="s">
        <v>324</v>
      </c>
      <c r="AP217" t="s">
        <v>324</v>
      </c>
      <c r="AQ217" s="2" t="s">
        <v>324</v>
      </c>
      <c r="AR217" t="s">
        <v>324</v>
      </c>
      <c r="AS217" s="2" t="s">
        <v>324</v>
      </c>
      <c r="AT217" t="s">
        <v>324</v>
      </c>
    </row>
    <row r="218" spans="1:46" ht="11.25">
      <c r="A218" t="str">
        <f>HYPERLINK("http://exon.niaid.nih.gov/transcriptome/Tx_amboinensis_sialome/Table_1/links/TX-contig_237.txt","TX-contig_237")</f>
        <v>TX-contig_237</v>
      </c>
      <c r="B218" t="str">
        <f>HYPERLINK("http://exon.niaid.nih.gov/transcriptome/Tx_amboinensis_sialome/Table_1/links/TX-5-90-90-asb-237.txt","Contig-237")</f>
        <v>Contig-237</v>
      </c>
      <c r="C218" t="str">
        <f>HYPERLINK("http://exon.niaid.nih.gov/transcriptome/Tx_amboinensis_sialome/Table_1/links/TX-5-90-90-237-CLU.txt","Contig237")</f>
        <v>Contig237</v>
      </c>
      <c r="D218" s="4">
        <v>1</v>
      </c>
      <c r="E218">
        <v>107</v>
      </c>
      <c r="F218">
        <v>0.9</v>
      </c>
      <c r="G218">
        <v>79.4</v>
      </c>
      <c r="H218">
        <v>88</v>
      </c>
      <c r="I218">
        <v>237</v>
      </c>
      <c r="J218" t="s">
        <v>550</v>
      </c>
      <c r="K218">
        <v>88</v>
      </c>
      <c r="L218" s="3" t="s">
        <v>1035</v>
      </c>
      <c r="M218" s="4">
        <v>0</v>
      </c>
      <c r="N218" s="4">
        <v>0</v>
      </c>
      <c r="O218" s="4">
        <v>1</v>
      </c>
      <c r="P218" s="4">
        <v>0</v>
      </c>
      <c r="Q218" s="5" t="s">
        <v>1039</v>
      </c>
      <c r="Y218" t="s">
        <v>324</v>
      </c>
      <c r="Z218" s="2" t="s">
        <v>324</v>
      </c>
      <c r="AA218" t="s">
        <v>324</v>
      </c>
      <c r="AB218" t="s">
        <v>324</v>
      </c>
      <c r="AC218" t="s">
        <v>324</v>
      </c>
      <c r="AD218" t="s">
        <v>324</v>
      </c>
      <c r="AE218" t="s">
        <v>324</v>
      </c>
      <c r="AF218" t="s">
        <v>324</v>
      </c>
      <c r="AG218" s="2" t="s">
        <v>324</v>
      </c>
      <c r="AH218" t="s">
        <v>324</v>
      </c>
      <c r="AI218" t="s">
        <v>324</v>
      </c>
      <c r="AJ218" s="2" t="s">
        <v>324</v>
      </c>
      <c r="AK218" t="s">
        <v>324</v>
      </c>
      <c r="AL218" t="s">
        <v>324</v>
      </c>
      <c r="AM218" s="2" t="str">
        <f>HYPERLINK("http://exon.niaid.nih.gov/transcriptome/Tx_amboinensis_sialome/Table_1/links/PFAM\TX-contig_237-PFAM.txt","TAS2R")</f>
        <v>TAS2R</v>
      </c>
      <c r="AN218" t="str">
        <f>HYPERLINK("http://pfam.wustl.edu/cgi-bin/getdesc?acc=PF05296","0.93")</f>
        <v>0.93</v>
      </c>
      <c r="AO218" s="2" t="s">
        <v>324</v>
      </c>
      <c r="AP218" t="s">
        <v>324</v>
      </c>
      <c r="AQ218" s="2" t="s">
        <v>324</v>
      </c>
      <c r="AR218" t="s">
        <v>324</v>
      </c>
      <c r="AS218" s="2" t="s">
        <v>324</v>
      </c>
      <c r="AT218" t="s">
        <v>324</v>
      </c>
    </row>
    <row r="219" spans="1:46" ht="11.25">
      <c r="A219" t="str">
        <f>HYPERLINK("http://exon.niaid.nih.gov/transcriptome/Tx_amboinensis_sialome/Table_1/links/TX-contig_240.txt","TX-contig_240")</f>
        <v>TX-contig_240</v>
      </c>
      <c r="B219" t="str">
        <f>HYPERLINK("http://exon.niaid.nih.gov/transcriptome/Tx_amboinensis_sialome/Table_1/links/TX-5-90-90-asb-240.txt","Contig-240")</f>
        <v>Contig-240</v>
      </c>
      <c r="C219" t="str">
        <f>HYPERLINK("http://exon.niaid.nih.gov/transcriptome/Tx_amboinensis_sialome/Table_1/links/TX-5-90-90-240-CLU.txt","Contig240")</f>
        <v>Contig240</v>
      </c>
      <c r="D219" s="4">
        <v>1</v>
      </c>
      <c r="E219">
        <v>140</v>
      </c>
      <c r="F219">
        <v>1.4</v>
      </c>
      <c r="G219">
        <v>80.7</v>
      </c>
      <c r="H219">
        <v>59</v>
      </c>
      <c r="I219">
        <v>240</v>
      </c>
      <c r="J219" t="s">
        <v>553</v>
      </c>
      <c r="K219">
        <v>59</v>
      </c>
      <c r="L219" s="3" t="s">
        <v>1035</v>
      </c>
      <c r="M219" s="4">
        <v>0</v>
      </c>
      <c r="N219" s="4">
        <v>0</v>
      </c>
      <c r="O219" s="4">
        <v>2</v>
      </c>
      <c r="P219" s="4">
        <v>0</v>
      </c>
      <c r="Q219" s="5" t="s">
        <v>1039</v>
      </c>
      <c r="Y219" t="s">
        <v>324</v>
      </c>
      <c r="Z219" s="2" t="s">
        <v>324</v>
      </c>
      <c r="AA219" t="s">
        <v>324</v>
      </c>
      <c r="AB219" t="s">
        <v>324</v>
      </c>
      <c r="AC219" t="s">
        <v>324</v>
      </c>
      <c r="AD219" t="s">
        <v>324</v>
      </c>
      <c r="AE219" t="s">
        <v>324</v>
      </c>
      <c r="AF219" t="s">
        <v>324</v>
      </c>
      <c r="AG219" s="2" t="s">
        <v>324</v>
      </c>
      <c r="AH219" t="s">
        <v>324</v>
      </c>
      <c r="AI219" t="s">
        <v>324</v>
      </c>
      <c r="AJ219" s="2" t="s">
        <v>324</v>
      </c>
      <c r="AK219" t="s">
        <v>324</v>
      </c>
      <c r="AL219" t="s">
        <v>324</v>
      </c>
      <c r="AM219" s="2" t="s">
        <v>324</v>
      </c>
      <c r="AN219" t="s">
        <v>324</v>
      </c>
      <c r="AO219" s="2" t="s">
        <v>324</v>
      </c>
      <c r="AP219" t="s">
        <v>324</v>
      </c>
      <c r="AQ219" s="2" t="s">
        <v>324</v>
      </c>
      <c r="AR219" t="s">
        <v>324</v>
      </c>
      <c r="AS219" s="2" t="s">
        <v>324</v>
      </c>
      <c r="AT219" t="s">
        <v>324</v>
      </c>
    </row>
    <row r="220" spans="1:46" ht="11.25">
      <c r="A220" t="str">
        <f>HYPERLINK("http://exon.niaid.nih.gov/transcriptome/Tx_amboinensis_sialome/Table_1/links/TX-contig_241.txt","TX-contig_241")</f>
        <v>TX-contig_241</v>
      </c>
      <c r="B220" t="str">
        <f>HYPERLINK("http://exon.niaid.nih.gov/transcriptome/Tx_amboinensis_sialome/Table_1/links/TX-5-90-90-asb-241.txt","Contig-241")</f>
        <v>Contig-241</v>
      </c>
      <c r="C220" t="str">
        <f>HYPERLINK("http://exon.niaid.nih.gov/transcriptome/Tx_amboinensis_sialome/Table_1/links/TX-5-90-90-241-CLU.txt","Contig241")</f>
        <v>Contig241</v>
      </c>
      <c r="D220" s="4">
        <v>1</v>
      </c>
      <c r="E220">
        <v>215</v>
      </c>
      <c r="F220" t="s">
        <v>322</v>
      </c>
      <c r="G220">
        <v>82.3</v>
      </c>
      <c r="H220">
        <v>100</v>
      </c>
      <c r="I220">
        <v>241</v>
      </c>
      <c r="J220" t="s">
        <v>554</v>
      </c>
      <c r="K220">
        <v>100</v>
      </c>
      <c r="L220" s="3" t="s">
        <v>1035</v>
      </c>
      <c r="M220" s="4">
        <v>0</v>
      </c>
      <c r="N220" s="4">
        <v>0</v>
      </c>
      <c r="O220" s="4">
        <v>2</v>
      </c>
      <c r="P220" s="4">
        <v>0</v>
      </c>
      <c r="Q220" s="5" t="s">
        <v>1039</v>
      </c>
      <c r="Y220" t="s">
        <v>324</v>
      </c>
      <c r="Z220" s="2" t="s">
        <v>324</v>
      </c>
      <c r="AA220" t="s">
        <v>324</v>
      </c>
      <c r="AB220" t="s">
        <v>324</v>
      </c>
      <c r="AC220" t="s">
        <v>324</v>
      </c>
      <c r="AD220" t="s">
        <v>324</v>
      </c>
      <c r="AE220" t="s">
        <v>324</v>
      </c>
      <c r="AF220" t="s">
        <v>324</v>
      </c>
      <c r="AG220" s="2" t="s">
        <v>324</v>
      </c>
      <c r="AH220" t="s">
        <v>324</v>
      </c>
      <c r="AI220" t="s">
        <v>324</v>
      </c>
      <c r="AJ220" s="2" t="s">
        <v>324</v>
      </c>
      <c r="AK220" t="s">
        <v>324</v>
      </c>
      <c r="AL220" t="s">
        <v>324</v>
      </c>
      <c r="AM220" s="2" t="s">
        <v>324</v>
      </c>
      <c r="AN220" t="s">
        <v>324</v>
      </c>
      <c r="AO220" s="2" t="str">
        <f>HYPERLINK("http://exon.niaid.nih.gov/transcriptome/Tx_amboinensis_sialome/Table_1/links/SMART\TX-contig_241-SMART.txt","FN3")</f>
        <v>FN3</v>
      </c>
      <c r="AP220" t="str">
        <f>HYPERLINK("http://smart.embl-heidelberg.de/smart/do_annotation.pl?DOMAIN=FN3&amp;BLAST=DUMMY","0.43")</f>
        <v>0.43</v>
      </c>
      <c r="AQ220" s="2" t="s">
        <v>324</v>
      </c>
      <c r="AR220" t="s">
        <v>324</v>
      </c>
      <c r="AS220" s="2" t="s">
        <v>324</v>
      </c>
      <c r="AT220" t="s">
        <v>324</v>
      </c>
    </row>
    <row r="221" spans="1:46" ht="11.25">
      <c r="A221" t="str">
        <f>HYPERLINK("http://exon.niaid.nih.gov/transcriptome/Tx_amboinensis_sialome/Table_1/links/TX-contig_253.txt","TX-contig_253")</f>
        <v>TX-contig_253</v>
      </c>
      <c r="B221" t="str">
        <f>HYPERLINK("http://exon.niaid.nih.gov/transcriptome/Tx_amboinensis_sialome/Table_1/links/TX-5-90-90-asb-253.txt","Contig-253")</f>
        <v>Contig-253</v>
      </c>
      <c r="C221" t="str">
        <f>HYPERLINK("http://exon.niaid.nih.gov/transcriptome/Tx_amboinensis_sialome/Table_1/links/TX-5-90-90-253-CLU.txt","Contig253")</f>
        <v>Contig253</v>
      </c>
      <c r="D221" s="4">
        <v>1</v>
      </c>
      <c r="E221">
        <v>156</v>
      </c>
      <c r="F221">
        <v>4.5</v>
      </c>
      <c r="G221">
        <v>74.4</v>
      </c>
      <c r="H221" t="s">
        <v>324</v>
      </c>
      <c r="I221">
        <v>253</v>
      </c>
      <c r="J221" t="s">
        <v>566</v>
      </c>
      <c r="K221" t="s">
        <v>324</v>
      </c>
      <c r="L221" s="3" t="s">
        <v>1035</v>
      </c>
      <c r="M221" s="4">
        <v>0</v>
      </c>
      <c r="N221" s="4">
        <v>0</v>
      </c>
      <c r="O221" s="4">
        <v>1</v>
      </c>
      <c r="P221" s="4">
        <v>0</v>
      </c>
      <c r="Q221" s="5" t="s">
        <v>1039</v>
      </c>
      <c r="Y221" t="s">
        <v>324</v>
      </c>
      <c r="Z221" s="2" t="s">
        <v>324</v>
      </c>
      <c r="AA221" t="s">
        <v>324</v>
      </c>
      <c r="AB221" t="s">
        <v>324</v>
      </c>
      <c r="AC221" t="s">
        <v>324</v>
      </c>
      <c r="AD221" t="s">
        <v>324</v>
      </c>
      <c r="AE221" t="s">
        <v>324</v>
      </c>
      <c r="AF221" t="s">
        <v>324</v>
      </c>
      <c r="AG221" s="2" t="s">
        <v>324</v>
      </c>
      <c r="AH221" t="s">
        <v>324</v>
      </c>
      <c r="AI221" t="s">
        <v>324</v>
      </c>
      <c r="AJ221" s="2" t="s">
        <v>324</v>
      </c>
      <c r="AK221" t="s">
        <v>324</v>
      </c>
      <c r="AL221" t="s">
        <v>324</v>
      </c>
      <c r="AM221" s="2" t="s">
        <v>324</v>
      </c>
      <c r="AN221" t="s">
        <v>324</v>
      </c>
      <c r="AO221" s="2" t="s">
        <v>324</v>
      </c>
      <c r="AP221" t="s">
        <v>324</v>
      </c>
      <c r="AQ221" s="2" t="s">
        <v>324</v>
      </c>
      <c r="AR221" t="s">
        <v>324</v>
      </c>
      <c r="AS221" s="2" t="s">
        <v>324</v>
      </c>
      <c r="AT221" t="s">
        <v>324</v>
      </c>
    </row>
    <row r="222" spans="1:46" ht="11.25">
      <c r="A222" t="str">
        <f>HYPERLINK("http://exon.niaid.nih.gov/transcriptome/Tx_amboinensis_sialome/Table_1/links/TX-contig_259.txt","TX-contig_259")</f>
        <v>TX-contig_259</v>
      </c>
      <c r="B222" t="str">
        <f>HYPERLINK("http://exon.niaid.nih.gov/transcriptome/Tx_amboinensis_sialome/Table_1/links/TX-5-90-90-asb-259.txt","Contig-259")</f>
        <v>Contig-259</v>
      </c>
      <c r="C222" t="str">
        <f>HYPERLINK("http://exon.niaid.nih.gov/transcriptome/Tx_amboinensis_sialome/Table_1/links/TX-5-90-90-259-CLU.txt","Contig259")</f>
        <v>Contig259</v>
      </c>
      <c r="D222" s="4">
        <v>1</v>
      </c>
      <c r="E222">
        <v>153</v>
      </c>
      <c r="F222" t="s">
        <v>322</v>
      </c>
      <c r="G222">
        <v>58.8</v>
      </c>
      <c r="H222" t="s">
        <v>324</v>
      </c>
      <c r="I222">
        <v>259</v>
      </c>
      <c r="J222" t="s">
        <v>572</v>
      </c>
      <c r="K222" t="s">
        <v>324</v>
      </c>
      <c r="L222" s="3" t="s">
        <v>1035</v>
      </c>
      <c r="M222" s="4">
        <v>0</v>
      </c>
      <c r="N222" s="4">
        <v>0</v>
      </c>
      <c r="O222" s="4">
        <v>2</v>
      </c>
      <c r="P222" s="4">
        <v>0</v>
      </c>
      <c r="Q222" s="5" t="s">
        <v>1039</v>
      </c>
      <c r="Y222" t="s">
        <v>324</v>
      </c>
      <c r="Z222" s="2" t="s">
        <v>324</v>
      </c>
      <c r="AA222" t="s">
        <v>324</v>
      </c>
      <c r="AB222" t="s">
        <v>324</v>
      </c>
      <c r="AC222" t="s">
        <v>324</v>
      </c>
      <c r="AD222" t="s">
        <v>324</v>
      </c>
      <c r="AE222" t="s">
        <v>324</v>
      </c>
      <c r="AF222" t="s">
        <v>324</v>
      </c>
      <c r="AG222" s="2" t="s">
        <v>324</v>
      </c>
      <c r="AH222" t="s">
        <v>324</v>
      </c>
      <c r="AI222" t="s">
        <v>324</v>
      </c>
      <c r="AJ222" s="2" t="s">
        <v>324</v>
      </c>
      <c r="AK222" t="s">
        <v>324</v>
      </c>
      <c r="AL222" t="s">
        <v>324</v>
      </c>
      <c r="AM222" s="2" t="s">
        <v>324</v>
      </c>
      <c r="AN222" t="s">
        <v>324</v>
      </c>
      <c r="AO222" s="2" t="str">
        <f>HYPERLINK("http://exon.niaid.nih.gov/transcriptome/Tx_amboinensis_sialome/Table_1/links/SMART\TX-contig_259-SMART.txt","PSN")</f>
        <v>PSN</v>
      </c>
      <c r="AP222" t="str">
        <f>HYPERLINK("http://smart.embl-heidelberg.de/smart/do_annotation.pl?DOMAIN=PSN&amp;BLAST=DUMMY","0.068")</f>
        <v>0.068</v>
      </c>
      <c r="AQ222" s="2" t="s">
        <v>324</v>
      </c>
      <c r="AR222" t="s">
        <v>324</v>
      </c>
      <c r="AS222" s="2" t="s">
        <v>324</v>
      </c>
      <c r="AT222" t="s">
        <v>324</v>
      </c>
    </row>
    <row r="223" spans="1:46" ht="11.25">
      <c r="A223" t="str">
        <f>HYPERLINK("http://exon.niaid.nih.gov/transcriptome/Tx_amboinensis_sialome/Table_1/links/TX-contig_261.txt","TX-contig_261")</f>
        <v>TX-contig_261</v>
      </c>
      <c r="B223" t="str">
        <f>HYPERLINK("http://exon.niaid.nih.gov/transcriptome/Tx_amboinensis_sialome/Table_1/links/TX-5-90-90-asb-261.txt","Contig-261")</f>
        <v>Contig-261</v>
      </c>
      <c r="C223" t="str">
        <f>HYPERLINK("http://exon.niaid.nih.gov/transcriptome/Tx_amboinensis_sialome/Table_1/links/TX-5-90-90-261-CLU.txt","Contig261")</f>
        <v>Contig261</v>
      </c>
      <c r="D223" s="4">
        <v>1</v>
      </c>
      <c r="E223">
        <v>139</v>
      </c>
      <c r="F223" t="s">
        <v>322</v>
      </c>
      <c r="G223">
        <v>68.3</v>
      </c>
      <c r="H223">
        <v>120</v>
      </c>
      <c r="I223">
        <v>261</v>
      </c>
      <c r="J223" t="s">
        <v>574</v>
      </c>
      <c r="K223">
        <v>120</v>
      </c>
      <c r="L223" s="3" t="s">
        <v>1035</v>
      </c>
      <c r="M223" s="4">
        <v>0</v>
      </c>
      <c r="N223" s="4">
        <v>0</v>
      </c>
      <c r="O223" s="4">
        <v>1</v>
      </c>
      <c r="P223" s="4">
        <v>0</v>
      </c>
      <c r="Q223" s="5" t="s">
        <v>1039</v>
      </c>
      <c r="Y223" t="s">
        <v>324</v>
      </c>
      <c r="Z223" s="2" t="s">
        <v>324</v>
      </c>
      <c r="AA223" t="s">
        <v>324</v>
      </c>
      <c r="AB223" t="s">
        <v>324</v>
      </c>
      <c r="AC223" t="s">
        <v>324</v>
      </c>
      <c r="AD223" t="s">
        <v>324</v>
      </c>
      <c r="AE223" t="s">
        <v>324</v>
      </c>
      <c r="AF223" t="s">
        <v>324</v>
      </c>
      <c r="AG223" s="2" t="s">
        <v>324</v>
      </c>
      <c r="AH223" t="s">
        <v>324</v>
      </c>
      <c r="AI223" t="s">
        <v>324</v>
      </c>
      <c r="AJ223" s="2" t="s">
        <v>324</v>
      </c>
      <c r="AK223" t="s">
        <v>324</v>
      </c>
      <c r="AL223" t="s">
        <v>324</v>
      </c>
      <c r="AM223" s="2" t="s">
        <v>324</v>
      </c>
      <c r="AN223" t="s">
        <v>324</v>
      </c>
      <c r="AO223" s="2" t="str">
        <f>HYPERLINK("http://exon.niaid.nih.gov/transcriptome/Tx_amboinensis_sialome/Table_1/links/SMART\TX-contig_261-SMART.txt","LITAF")</f>
        <v>LITAF</v>
      </c>
      <c r="AP223" t="str">
        <f>HYPERLINK("http://smart.embl-heidelberg.de/smart/do_annotation.pl?DOMAIN=LITAF&amp;BLAST=DUMMY","0.34")</f>
        <v>0.34</v>
      </c>
      <c r="AQ223" s="2" t="s">
        <v>324</v>
      </c>
      <c r="AR223" t="s">
        <v>324</v>
      </c>
      <c r="AS223" s="2" t="s">
        <v>324</v>
      </c>
      <c r="AT223" t="s">
        <v>324</v>
      </c>
    </row>
    <row r="224" spans="1:46" ht="11.25">
      <c r="A224" t="str">
        <f>HYPERLINK("http://exon.niaid.nih.gov/transcriptome/Tx_amboinensis_sialome/Table_1/links/TX-contig_269.txt","TX-contig_269")</f>
        <v>TX-contig_269</v>
      </c>
      <c r="B224" t="str">
        <f>HYPERLINK("http://exon.niaid.nih.gov/transcriptome/Tx_amboinensis_sialome/Table_1/links/TX-5-90-90-asb-269.txt","Contig-269")</f>
        <v>Contig-269</v>
      </c>
      <c r="C224" t="str">
        <f>HYPERLINK("http://exon.niaid.nih.gov/transcriptome/Tx_amboinensis_sialome/Table_1/links/TX-5-90-90-269-CLU.txt","Contig269")</f>
        <v>Contig269</v>
      </c>
      <c r="D224" s="4">
        <v>1</v>
      </c>
      <c r="E224">
        <v>197</v>
      </c>
      <c r="F224" t="s">
        <v>322</v>
      </c>
      <c r="G224">
        <v>83.8</v>
      </c>
      <c r="H224">
        <v>79</v>
      </c>
      <c r="I224">
        <v>269</v>
      </c>
      <c r="J224" t="s">
        <v>582</v>
      </c>
      <c r="K224">
        <v>79</v>
      </c>
      <c r="L224" s="3" t="s">
        <v>1035</v>
      </c>
      <c r="M224" s="4">
        <v>0</v>
      </c>
      <c r="N224" s="4">
        <v>0</v>
      </c>
      <c r="O224" s="4">
        <v>1</v>
      </c>
      <c r="P224" s="4">
        <v>0</v>
      </c>
      <c r="Q224" s="5" t="s">
        <v>1039</v>
      </c>
      <c r="Y224" t="s">
        <v>324</v>
      </c>
      <c r="Z224" s="2" t="s">
        <v>324</v>
      </c>
      <c r="AA224" t="s">
        <v>324</v>
      </c>
      <c r="AB224" t="s">
        <v>324</v>
      </c>
      <c r="AC224" t="s">
        <v>324</v>
      </c>
      <c r="AD224" t="s">
        <v>324</v>
      </c>
      <c r="AE224" t="s">
        <v>324</v>
      </c>
      <c r="AF224" t="s">
        <v>324</v>
      </c>
      <c r="AG224" s="2" t="s">
        <v>324</v>
      </c>
      <c r="AH224" t="s">
        <v>324</v>
      </c>
      <c r="AI224" t="s">
        <v>324</v>
      </c>
      <c r="AJ224" s="2" t="s">
        <v>324</v>
      </c>
      <c r="AK224" t="s">
        <v>324</v>
      </c>
      <c r="AL224" t="s">
        <v>324</v>
      </c>
      <c r="AM224" s="2" t="s">
        <v>324</v>
      </c>
      <c r="AN224" t="s">
        <v>324</v>
      </c>
      <c r="AO224" s="2" t="s">
        <v>324</v>
      </c>
      <c r="AP224" t="s">
        <v>324</v>
      </c>
      <c r="AQ224" s="2" t="s">
        <v>324</v>
      </c>
      <c r="AR224" t="s">
        <v>324</v>
      </c>
      <c r="AS224" s="2" t="s">
        <v>324</v>
      </c>
      <c r="AT224" t="s">
        <v>324</v>
      </c>
    </row>
    <row r="225" spans="1:46" ht="11.25">
      <c r="A225" t="str">
        <f>HYPERLINK("http://exon.niaid.nih.gov/transcriptome/Tx_amboinensis_sialome/Table_1/links/TX-contig_270.txt","TX-contig_270")</f>
        <v>TX-contig_270</v>
      </c>
      <c r="B225" t="str">
        <f>HYPERLINK("http://exon.niaid.nih.gov/transcriptome/Tx_amboinensis_sialome/Table_1/links/TX-5-90-90-asb-270.txt","Contig-270")</f>
        <v>Contig-270</v>
      </c>
      <c r="C225" t="str">
        <f>HYPERLINK("http://exon.niaid.nih.gov/transcriptome/Tx_amboinensis_sialome/Table_1/links/TX-5-90-90-270-CLU.txt","Contig270")</f>
        <v>Contig270</v>
      </c>
      <c r="D225" s="4">
        <v>1</v>
      </c>
      <c r="E225">
        <v>144</v>
      </c>
      <c r="F225" t="s">
        <v>322</v>
      </c>
      <c r="G225">
        <v>88.2</v>
      </c>
      <c r="H225">
        <v>44</v>
      </c>
      <c r="I225">
        <v>270</v>
      </c>
      <c r="J225" t="s">
        <v>583</v>
      </c>
      <c r="K225">
        <v>44</v>
      </c>
      <c r="L225" s="3" t="s">
        <v>1035</v>
      </c>
      <c r="M225" s="4">
        <v>0</v>
      </c>
      <c r="N225" s="4">
        <v>0</v>
      </c>
      <c r="O225" s="4">
        <v>2</v>
      </c>
      <c r="P225" s="4">
        <v>0</v>
      </c>
      <c r="Q225" s="5" t="s">
        <v>1039</v>
      </c>
      <c r="Y225" t="s">
        <v>324</v>
      </c>
      <c r="Z225" s="2" t="s">
        <v>324</v>
      </c>
      <c r="AA225" t="s">
        <v>324</v>
      </c>
      <c r="AB225" t="s">
        <v>324</v>
      </c>
      <c r="AC225" t="s">
        <v>324</v>
      </c>
      <c r="AD225" t="s">
        <v>324</v>
      </c>
      <c r="AE225" t="s">
        <v>324</v>
      </c>
      <c r="AF225" t="s">
        <v>324</v>
      </c>
      <c r="AG225" s="2" t="s">
        <v>324</v>
      </c>
      <c r="AH225" t="s">
        <v>324</v>
      </c>
      <c r="AI225" t="s">
        <v>324</v>
      </c>
      <c r="AJ225" s="2" t="s">
        <v>324</v>
      </c>
      <c r="AK225" t="s">
        <v>324</v>
      </c>
      <c r="AL225" t="s">
        <v>324</v>
      </c>
      <c r="AM225" s="2" t="s">
        <v>324</v>
      </c>
      <c r="AN225" t="s">
        <v>324</v>
      </c>
      <c r="AO225" s="2" t="s">
        <v>324</v>
      </c>
      <c r="AP225" t="s">
        <v>324</v>
      </c>
      <c r="AQ225" s="2" t="s">
        <v>324</v>
      </c>
      <c r="AR225" t="s">
        <v>324</v>
      </c>
      <c r="AS225" s="2" t="s">
        <v>324</v>
      </c>
      <c r="AT225" t="s">
        <v>324</v>
      </c>
    </row>
    <row r="226" spans="1:46" ht="11.25">
      <c r="A226" t="str">
        <f>HYPERLINK("http://exon.niaid.nih.gov/transcriptome/Tx_amboinensis_sialome/Table_1/links/TX-contig_272.txt","TX-contig_272")</f>
        <v>TX-contig_272</v>
      </c>
      <c r="B226" t="str">
        <f>HYPERLINK("http://exon.niaid.nih.gov/transcriptome/Tx_amboinensis_sialome/Table_1/links/TX-5-90-90-asb-272.txt","Contig-272")</f>
        <v>Contig-272</v>
      </c>
      <c r="C226" t="str">
        <f>HYPERLINK("http://exon.niaid.nih.gov/transcriptome/Tx_amboinensis_sialome/Table_1/links/TX-5-90-90-272-CLU.txt","Contig272")</f>
        <v>Contig272</v>
      </c>
      <c r="D226" s="4">
        <v>1</v>
      </c>
      <c r="E226">
        <v>136</v>
      </c>
      <c r="F226">
        <v>3.7</v>
      </c>
      <c r="G226">
        <v>78.7</v>
      </c>
      <c r="H226">
        <v>84</v>
      </c>
      <c r="I226">
        <v>272</v>
      </c>
      <c r="J226" t="s">
        <v>585</v>
      </c>
      <c r="K226">
        <v>84</v>
      </c>
      <c r="L226" s="3" t="s">
        <v>1035</v>
      </c>
      <c r="M226" s="4">
        <v>0</v>
      </c>
      <c r="N226" s="4">
        <v>0</v>
      </c>
      <c r="O226" s="4">
        <v>2</v>
      </c>
      <c r="P226" s="4">
        <v>0</v>
      </c>
      <c r="Q226" s="5" t="s">
        <v>1039</v>
      </c>
      <c r="Y226" t="s">
        <v>324</v>
      </c>
      <c r="Z226" s="2" t="s">
        <v>324</v>
      </c>
      <c r="AA226" t="s">
        <v>324</v>
      </c>
      <c r="AB226" t="s">
        <v>324</v>
      </c>
      <c r="AC226" t="s">
        <v>324</v>
      </c>
      <c r="AD226" t="s">
        <v>324</v>
      </c>
      <c r="AE226" t="s">
        <v>324</v>
      </c>
      <c r="AF226" t="s">
        <v>324</v>
      </c>
      <c r="AG226" s="2" t="s">
        <v>324</v>
      </c>
      <c r="AH226" t="s">
        <v>324</v>
      </c>
      <c r="AI226" t="s">
        <v>324</v>
      </c>
      <c r="AJ226" s="2" t="s">
        <v>324</v>
      </c>
      <c r="AK226" t="s">
        <v>324</v>
      </c>
      <c r="AL226" t="s">
        <v>324</v>
      </c>
      <c r="AM226" s="2" t="s">
        <v>324</v>
      </c>
      <c r="AN226" t="s">
        <v>324</v>
      </c>
      <c r="AO226" s="2" t="s">
        <v>324</v>
      </c>
      <c r="AP226" t="s">
        <v>324</v>
      </c>
      <c r="AQ226" s="2" t="s">
        <v>324</v>
      </c>
      <c r="AR226" t="s">
        <v>324</v>
      </c>
      <c r="AS226" s="2" t="s">
        <v>324</v>
      </c>
      <c r="AT226" t="s">
        <v>324</v>
      </c>
    </row>
    <row r="227" spans="1:46" ht="11.25">
      <c r="A227" t="str">
        <f>HYPERLINK("http://exon.niaid.nih.gov/transcriptome/Tx_amboinensis_sialome/Table_1/links/TX-contig_283.txt","TX-contig_283")</f>
        <v>TX-contig_283</v>
      </c>
      <c r="B227" t="str">
        <f>HYPERLINK("http://exon.niaid.nih.gov/transcriptome/Tx_amboinensis_sialome/Table_1/links/TX-5-90-90-asb-283.txt","Contig-283")</f>
        <v>Contig-283</v>
      </c>
      <c r="C227" t="str">
        <f>HYPERLINK("http://exon.niaid.nih.gov/transcriptome/Tx_amboinensis_sialome/Table_1/links/TX-5-90-90-283-CLU.txt","Contig283")</f>
        <v>Contig283</v>
      </c>
      <c r="D227" s="4">
        <v>1</v>
      </c>
      <c r="E227">
        <v>155</v>
      </c>
      <c r="F227">
        <v>0.6</v>
      </c>
      <c r="G227">
        <v>68.4</v>
      </c>
      <c r="H227">
        <v>136</v>
      </c>
      <c r="I227">
        <v>283</v>
      </c>
      <c r="J227" t="s">
        <v>596</v>
      </c>
      <c r="K227">
        <v>136</v>
      </c>
      <c r="L227" s="3" t="s">
        <v>1035</v>
      </c>
      <c r="M227" s="4">
        <v>0</v>
      </c>
      <c r="N227" s="4">
        <v>0</v>
      </c>
      <c r="O227" s="4">
        <v>1</v>
      </c>
      <c r="P227" s="4">
        <v>0</v>
      </c>
      <c r="Q227" s="5" t="s">
        <v>1039</v>
      </c>
      <c r="Y227" t="s">
        <v>324</v>
      </c>
      <c r="Z227" s="2" t="s">
        <v>324</v>
      </c>
      <c r="AA227" t="s">
        <v>324</v>
      </c>
      <c r="AB227" t="s">
        <v>324</v>
      </c>
      <c r="AC227" t="s">
        <v>324</v>
      </c>
      <c r="AD227" t="s">
        <v>324</v>
      </c>
      <c r="AE227" t="s">
        <v>324</v>
      </c>
      <c r="AF227" t="s">
        <v>324</v>
      </c>
      <c r="AG227" s="2" t="s">
        <v>324</v>
      </c>
      <c r="AH227" t="s">
        <v>324</v>
      </c>
      <c r="AI227" t="s">
        <v>324</v>
      </c>
      <c r="AJ227" s="2" t="str">
        <f>HYPERLINK("http://exon.niaid.nih.gov/transcriptome/Tx_amboinensis_sialome/Table_1/links/CDD\TX-contig_283-CDD.txt","GRS1")</f>
        <v>GRS1</v>
      </c>
      <c r="AK227" t="str">
        <f>HYPERLINK("http://www.ncbi.nlm.nih.gov/Structure/cdd/cddsrv.cgi?uid=COG0423&amp;version=v4.0","0.77")</f>
        <v>0.77</v>
      </c>
      <c r="AL227" t="s">
        <v>736</v>
      </c>
      <c r="AM227" s="2" t="s">
        <v>324</v>
      </c>
      <c r="AN227" t="s">
        <v>324</v>
      </c>
      <c r="AO227" s="2" t="str">
        <f>HYPERLINK("http://exon.niaid.nih.gov/transcriptome/Tx_amboinensis_sialome/Table_1/links/SMART\TX-contig_283-SMART.txt","HormR")</f>
        <v>HormR</v>
      </c>
      <c r="AP227" t="str">
        <f>HYPERLINK("http://smart.embl-heidelberg.de/smart/do_annotation.pl?DOMAIN=HormR&amp;BLAST=DUMMY","0.63")</f>
        <v>0.63</v>
      </c>
      <c r="AQ227" s="2" t="s">
        <v>324</v>
      </c>
      <c r="AR227" t="s">
        <v>324</v>
      </c>
      <c r="AS227" s="2" t="s">
        <v>324</v>
      </c>
      <c r="AT227" t="s">
        <v>324</v>
      </c>
    </row>
    <row r="228" spans="1:46" ht="11.25">
      <c r="A228" t="str">
        <f>HYPERLINK("http://exon.niaid.nih.gov/transcriptome/Tx_amboinensis_sialome/Table_1/links/TX-contig_288.txt","TX-contig_288")</f>
        <v>TX-contig_288</v>
      </c>
      <c r="B228" t="str">
        <f>HYPERLINK("http://exon.niaid.nih.gov/transcriptome/Tx_amboinensis_sialome/Table_1/links/TX-5-90-90-asb-288.txt","Contig-288")</f>
        <v>Contig-288</v>
      </c>
      <c r="C228" t="str">
        <f>HYPERLINK("http://exon.niaid.nih.gov/transcriptome/Tx_amboinensis_sialome/Table_1/links/TX-5-90-90-288-CLU.txt","Contig288")</f>
        <v>Contig288</v>
      </c>
      <c r="D228" s="4">
        <v>1</v>
      </c>
      <c r="E228">
        <v>229</v>
      </c>
      <c r="F228">
        <v>1.3</v>
      </c>
      <c r="G228">
        <v>69.9</v>
      </c>
      <c r="H228">
        <v>210</v>
      </c>
      <c r="I228">
        <v>288</v>
      </c>
      <c r="J228" t="s">
        <v>601</v>
      </c>
      <c r="K228">
        <v>210</v>
      </c>
      <c r="L228" s="3" t="s">
        <v>1035</v>
      </c>
      <c r="M228" s="4">
        <v>0</v>
      </c>
      <c r="N228" s="4">
        <v>0</v>
      </c>
      <c r="O228" s="4">
        <v>1</v>
      </c>
      <c r="P228" s="4">
        <v>0</v>
      </c>
      <c r="Q228" s="5" t="s">
        <v>1039</v>
      </c>
      <c r="Y228" t="s">
        <v>324</v>
      </c>
      <c r="Z228" s="2" t="s">
        <v>324</v>
      </c>
      <c r="AA228" t="s">
        <v>324</v>
      </c>
      <c r="AB228" t="s">
        <v>324</v>
      </c>
      <c r="AC228" t="s">
        <v>324</v>
      </c>
      <c r="AD228" t="s">
        <v>324</v>
      </c>
      <c r="AE228" t="s">
        <v>324</v>
      </c>
      <c r="AF228" t="s">
        <v>324</v>
      </c>
      <c r="AG228" s="2" t="s">
        <v>324</v>
      </c>
      <c r="AH228" t="s">
        <v>324</v>
      </c>
      <c r="AI228" t="s">
        <v>324</v>
      </c>
      <c r="AJ228" s="2" t="str">
        <f>HYPERLINK("http://exon.niaid.nih.gov/transcriptome/Tx_amboinensis_sialome/Table_1/links/CDD\TX-contig_288-CDD.txt","LGT")</f>
        <v>LGT</v>
      </c>
      <c r="AK228" t="str">
        <f>HYPERLINK("http://www.ncbi.nlm.nih.gov/Structure/cdd/cddsrv.cgi?uid=pfam01790&amp;version=v4.0","0.90")</f>
        <v>0.90</v>
      </c>
      <c r="AL228" t="s">
        <v>737</v>
      </c>
      <c r="AM228" s="2" t="str">
        <f>HYPERLINK("http://exon.niaid.nih.gov/transcriptome/Tx_amboinensis_sialome/Table_1/links/PFAM\TX-contig_288-PFAM.txt","LGT")</f>
        <v>LGT</v>
      </c>
      <c r="AN228" t="str">
        <f>HYPERLINK("http://pfam.wustl.edu/cgi-bin/getdesc?acc=PF01790","0.47")</f>
        <v>0.47</v>
      </c>
      <c r="AO228" s="2" t="str">
        <f>HYPERLINK("http://exon.niaid.nih.gov/transcriptome/Tx_amboinensis_sialome/Table_1/links/SMART\TX-contig_288-SMART.txt","INB")</f>
        <v>INB</v>
      </c>
      <c r="AP228" t="str">
        <f>HYPERLINK("http://smart.embl-heidelberg.de/smart/do_annotation.pl?DOMAIN=INB&amp;BLAST=DUMMY","0.67")</f>
        <v>0.67</v>
      </c>
      <c r="AQ228" s="2" t="s">
        <v>324</v>
      </c>
      <c r="AR228" t="s">
        <v>324</v>
      </c>
      <c r="AS228" s="2" t="s">
        <v>324</v>
      </c>
      <c r="AT228" t="s">
        <v>324</v>
      </c>
    </row>
    <row r="229" spans="1:46" ht="11.25">
      <c r="A229" t="str">
        <f>HYPERLINK("http://exon.niaid.nih.gov/transcriptome/Tx_amboinensis_sialome/Table_1/links/TX-contig_293.txt","TX-contig_293")</f>
        <v>TX-contig_293</v>
      </c>
      <c r="B229" t="str">
        <f>HYPERLINK("http://exon.niaid.nih.gov/transcriptome/Tx_amboinensis_sialome/Table_1/links/TX-5-90-90-asb-293.txt","Contig-293")</f>
        <v>Contig-293</v>
      </c>
      <c r="C229" t="str">
        <f>HYPERLINK("http://exon.niaid.nih.gov/transcriptome/Tx_amboinensis_sialome/Table_1/links/TX-5-90-90-293-CLU.txt","Contig293")</f>
        <v>Contig293</v>
      </c>
      <c r="D229" s="4">
        <v>1</v>
      </c>
      <c r="E229">
        <v>137</v>
      </c>
      <c r="F229" t="s">
        <v>322</v>
      </c>
      <c r="G229">
        <v>58.4</v>
      </c>
      <c r="H229">
        <v>118</v>
      </c>
      <c r="I229">
        <v>293</v>
      </c>
      <c r="J229" t="s">
        <v>606</v>
      </c>
      <c r="K229">
        <v>118</v>
      </c>
      <c r="L229" s="3" t="s">
        <v>1035</v>
      </c>
      <c r="M229" s="4">
        <v>0</v>
      </c>
      <c r="N229" s="4">
        <v>0</v>
      </c>
      <c r="O229" s="4">
        <v>1</v>
      </c>
      <c r="P229" s="4">
        <v>0</v>
      </c>
      <c r="Q229" s="5" t="s">
        <v>1039</v>
      </c>
      <c r="Y229" t="s">
        <v>324</v>
      </c>
      <c r="Z229" s="2" t="s">
        <v>324</v>
      </c>
      <c r="AA229" t="s">
        <v>324</v>
      </c>
      <c r="AB229" t="s">
        <v>324</v>
      </c>
      <c r="AC229" t="s">
        <v>324</v>
      </c>
      <c r="AD229" t="s">
        <v>324</v>
      </c>
      <c r="AE229" t="s">
        <v>324</v>
      </c>
      <c r="AF229" t="s">
        <v>324</v>
      </c>
      <c r="AG229" s="2" t="s">
        <v>324</v>
      </c>
      <c r="AH229" t="s">
        <v>324</v>
      </c>
      <c r="AI229" t="s">
        <v>324</v>
      </c>
      <c r="AJ229" s="2" t="s">
        <v>324</v>
      </c>
      <c r="AK229" t="s">
        <v>324</v>
      </c>
      <c r="AL229" t="s">
        <v>324</v>
      </c>
      <c r="AM229" s="2" t="s">
        <v>324</v>
      </c>
      <c r="AN229" t="s">
        <v>324</v>
      </c>
      <c r="AO229" s="2" t="s">
        <v>324</v>
      </c>
      <c r="AP229" t="s">
        <v>324</v>
      </c>
      <c r="AQ229" s="2" t="s">
        <v>324</v>
      </c>
      <c r="AR229" t="s">
        <v>324</v>
      </c>
      <c r="AS229" s="2" t="s">
        <v>324</v>
      </c>
      <c r="AT229" t="s">
        <v>324</v>
      </c>
    </row>
    <row r="230" spans="1:46" ht="11.25">
      <c r="A230" t="str">
        <f>HYPERLINK("http://exon.niaid.nih.gov/transcriptome/Tx_amboinensis_sialome/Table_1/links/TX-contig_298.txt","TX-contig_298")</f>
        <v>TX-contig_298</v>
      </c>
      <c r="B230" t="str">
        <f>HYPERLINK("http://exon.niaid.nih.gov/transcriptome/Tx_amboinensis_sialome/Table_1/links/TX-5-90-90-asb-298.txt","Contig-298")</f>
        <v>Contig-298</v>
      </c>
      <c r="C230" t="str">
        <f>HYPERLINK("http://exon.niaid.nih.gov/transcriptome/Tx_amboinensis_sialome/Table_1/links/TX-5-90-90-298-CLU.txt","Contig298")</f>
        <v>Contig298</v>
      </c>
      <c r="D230" s="4">
        <v>1</v>
      </c>
      <c r="E230">
        <v>183</v>
      </c>
      <c r="F230">
        <v>4.4</v>
      </c>
      <c r="G230">
        <v>76</v>
      </c>
      <c r="H230">
        <v>74</v>
      </c>
      <c r="I230">
        <v>298</v>
      </c>
      <c r="J230" t="s">
        <v>611</v>
      </c>
      <c r="K230">
        <v>74</v>
      </c>
      <c r="L230" s="3" t="s">
        <v>1035</v>
      </c>
      <c r="M230" s="4">
        <v>0</v>
      </c>
      <c r="N230" s="4">
        <v>0</v>
      </c>
      <c r="O230" s="4">
        <v>2</v>
      </c>
      <c r="P230" s="4">
        <v>0</v>
      </c>
      <c r="Q230" s="5" t="s">
        <v>1039</v>
      </c>
      <c r="Y230" t="s">
        <v>324</v>
      </c>
      <c r="Z230" s="2" t="s">
        <v>324</v>
      </c>
      <c r="AA230" t="s">
        <v>324</v>
      </c>
      <c r="AB230" t="s">
        <v>324</v>
      </c>
      <c r="AC230" t="s">
        <v>324</v>
      </c>
      <c r="AD230" t="s">
        <v>324</v>
      </c>
      <c r="AE230" t="s">
        <v>324</v>
      </c>
      <c r="AF230" t="s">
        <v>324</v>
      </c>
      <c r="AG230" s="2" t="s">
        <v>324</v>
      </c>
      <c r="AH230" t="s">
        <v>324</v>
      </c>
      <c r="AI230" t="s">
        <v>324</v>
      </c>
      <c r="AJ230" s="2" t="s">
        <v>324</v>
      </c>
      <c r="AK230" t="s">
        <v>324</v>
      </c>
      <c r="AL230" t="s">
        <v>324</v>
      </c>
      <c r="AM230" s="2" t="str">
        <f>HYPERLINK("http://exon.niaid.nih.gov/transcriptome/Tx_amboinensis_sialome/Table_1/links/PFAM\TX-contig_298-PFAM.txt","Glyco_transf_15")</f>
        <v>Glyco_transf_15</v>
      </c>
      <c r="AN230" t="str">
        <f>HYPERLINK("http://pfam.wustl.edu/cgi-bin/getdesc?acc=PF01793","0.98")</f>
        <v>0.98</v>
      </c>
      <c r="AO230" s="2" t="s">
        <v>324</v>
      </c>
      <c r="AP230" t="s">
        <v>324</v>
      </c>
      <c r="AQ230" s="2" t="s">
        <v>324</v>
      </c>
      <c r="AR230" t="s">
        <v>324</v>
      </c>
      <c r="AS230" s="2" t="s">
        <v>324</v>
      </c>
      <c r="AT230" t="s">
        <v>324</v>
      </c>
    </row>
    <row r="231" spans="1:46" ht="11.25">
      <c r="A231" t="str">
        <f>HYPERLINK("http://exon.niaid.nih.gov/transcriptome/Tx_amboinensis_sialome/Table_1/links/TX-contig_303.txt","TX-contig_303")</f>
        <v>TX-contig_303</v>
      </c>
      <c r="B231" t="str">
        <f>HYPERLINK("http://exon.niaid.nih.gov/transcriptome/Tx_amboinensis_sialome/Table_1/links/TX-5-90-90-asb-303.txt","Contig-303")</f>
        <v>Contig-303</v>
      </c>
      <c r="C231" t="str">
        <f>HYPERLINK("http://exon.niaid.nih.gov/transcriptome/Tx_amboinensis_sialome/Table_1/links/TX-5-90-90-303-CLU.txt","Contig303")</f>
        <v>Contig303</v>
      </c>
      <c r="D231" s="4">
        <v>1</v>
      </c>
      <c r="E231">
        <v>126</v>
      </c>
      <c r="F231" t="s">
        <v>322</v>
      </c>
      <c r="G231">
        <v>62.7</v>
      </c>
      <c r="H231">
        <v>107</v>
      </c>
      <c r="I231">
        <v>303</v>
      </c>
      <c r="J231" t="s">
        <v>1157</v>
      </c>
      <c r="K231">
        <v>107</v>
      </c>
      <c r="L231" s="3" t="s">
        <v>1035</v>
      </c>
      <c r="M231" s="4">
        <v>0</v>
      </c>
      <c r="N231" s="4">
        <v>0</v>
      </c>
      <c r="O231" s="4">
        <v>1</v>
      </c>
      <c r="P231" s="4">
        <v>0</v>
      </c>
      <c r="Q231" s="5" t="s">
        <v>1039</v>
      </c>
      <c r="Y231" t="s">
        <v>324</v>
      </c>
      <c r="Z231" s="2" t="s">
        <v>324</v>
      </c>
      <c r="AA231" t="s">
        <v>324</v>
      </c>
      <c r="AB231" t="s">
        <v>324</v>
      </c>
      <c r="AC231" t="s">
        <v>324</v>
      </c>
      <c r="AD231" t="s">
        <v>324</v>
      </c>
      <c r="AE231" t="s">
        <v>324</v>
      </c>
      <c r="AF231" t="s">
        <v>324</v>
      </c>
      <c r="AG231" s="2" t="s">
        <v>324</v>
      </c>
      <c r="AH231" t="s">
        <v>324</v>
      </c>
      <c r="AI231" t="s">
        <v>324</v>
      </c>
      <c r="AJ231" s="2" t="s">
        <v>324</v>
      </c>
      <c r="AK231" t="s">
        <v>324</v>
      </c>
      <c r="AL231" t="s">
        <v>324</v>
      </c>
      <c r="AM231" s="2" t="s">
        <v>324</v>
      </c>
      <c r="AN231" t="s">
        <v>324</v>
      </c>
      <c r="AO231" s="2" t="s">
        <v>324</v>
      </c>
      <c r="AP231" t="s">
        <v>324</v>
      </c>
      <c r="AQ231" s="2" t="s">
        <v>324</v>
      </c>
      <c r="AR231" t="s">
        <v>324</v>
      </c>
      <c r="AS231" s="2" t="s">
        <v>324</v>
      </c>
      <c r="AT231" t="s">
        <v>324</v>
      </c>
    </row>
    <row r="232" spans="1:46" ht="11.25">
      <c r="A232" t="str">
        <f>HYPERLINK("http://exon.niaid.nih.gov/transcriptome/Tx_amboinensis_sialome/Table_1/links/TX-contig_317.txt","TX-contig_317")</f>
        <v>TX-contig_317</v>
      </c>
      <c r="B232" t="str">
        <f>HYPERLINK("http://exon.niaid.nih.gov/transcriptome/Tx_amboinensis_sialome/Table_1/links/TX-5-90-90-asb-317.txt","Contig-317")</f>
        <v>Contig-317</v>
      </c>
      <c r="C232" t="str">
        <f>HYPERLINK("http://exon.niaid.nih.gov/transcriptome/Tx_amboinensis_sialome/Table_1/links/TX-5-90-90-317-CLU.txt","Contig317")</f>
        <v>Contig317</v>
      </c>
      <c r="D232" s="4">
        <v>1</v>
      </c>
      <c r="E232">
        <v>184</v>
      </c>
      <c r="F232" t="s">
        <v>322</v>
      </c>
      <c r="G232">
        <v>81.5</v>
      </c>
      <c r="H232">
        <v>84</v>
      </c>
      <c r="I232">
        <v>317</v>
      </c>
      <c r="J232" t="s">
        <v>1171</v>
      </c>
      <c r="K232">
        <v>84</v>
      </c>
      <c r="L232" s="3" t="s">
        <v>1035</v>
      </c>
      <c r="M232" s="4">
        <v>0</v>
      </c>
      <c r="N232" s="4">
        <v>0</v>
      </c>
      <c r="O232" s="4">
        <v>2</v>
      </c>
      <c r="P232" s="4">
        <v>0</v>
      </c>
      <c r="Q232" s="5" t="s">
        <v>1039</v>
      </c>
      <c r="Y232" t="s">
        <v>324</v>
      </c>
      <c r="Z232" s="2" t="s">
        <v>324</v>
      </c>
      <c r="AA232" t="s">
        <v>324</v>
      </c>
      <c r="AB232" t="s">
        <v>324</v>
      </c>
      <c r="AC232" t="s">
        <v>324</v>
      </c>
      <c r="AD232" t="s">
        <v>324</v>
      </c>
      <c r="AE232" t="s">
        <v>324</v>
      </c>
      <c r="AF232" t="s">
        <v>324</v>
      </c>
      <c r="AG232" s="2" t="s">
        <v>324</v>
      </c>
      <c r="AH232" t="s">
        <v>324</v>
      </c>
      <c r="AI232" t="s">
        <v>324</v>
      </c>
      <c r="AJ232" s="2" t="s">
        <v>324</v>
      </c>
      <c r="AK232" t="s">
        <v>324</v>
      </c>
      <c r="AL232" t="s">
        <v>324</v>
      </c>
      <c r="AM232" s="2" t="s">
        <v>324</v>
      </c>
      <c r="AN232" t="s">
        <v>324</v>
      </c>
      <c r="AO232" s="2" t="s">
        <v>324</v>
      </c>
      <c r="AP232" t="s">
        <v>324</v>
      </c>
      <c r="AQ232" s="2" t="s">
        <v>324</v>
      </c>
      <c r="AR232" t="s">
        <v>324</v>
      </c>
      <c r="AS232" s="2" t="s">
        <v>324</v>
      </c>
      <c r="AT232" t="s">
        <v>324</v>
      </c>
    </row>
    <row r="233" spans="1:46" ht="11.25">
      <c r="A233" t="str">
        <f>HYPERLINK("http://exon.niaid.nih.gov/transcriptome/Tx_amboinensis_sialome/Table_1/links/TX-contig_326.txt","TX-contig_326")</f>
        <v>TX-contig_326</v>
      </c>
      <c r="B233" t="str">
        <f>HYPERLINK("http://exon.niaid.nih.gov/transcriptome/Tx_amboinensis_sialome/Table_1/links/TX-5-90-90-asb-326.txt","Contig-326")</f>
        <v>Contig-326</v>
      </c>
      <c r="C233" t="str">
        <f>HYPERLINK("http://exon.niaid.nih.gov/transcriptome/Tx_amboinensis_sialome/Table_1/links/TX-5-90-90-326-CLU.txt","Contig326")</f>
        <v>Contig326</v>
      </c>
      <c r="D233" s="4">
        <v>1</v>
      </c>
      <c r="E233">
        <v>105</v>
      </c>
      <c r="F233" t="s">
        <v>322</v>
      </c>
      <c r="G233">
        <v>72.4</v>
      </c>
      <c r="H233">
        <v>86</v>
      </c>
      <c r="I233">
        <v>326</v>
      </c>
      <c r="J233" t="s">
        <v>1180</v>
      </c>
      <c r="K233">
        <v>86</v>
      </c>
      <c r="L233" s="3" t="s">
        <v>1035</v>
      </c>
      <c r="M233" s="4">
        <v>0</v>
      </c>
      <c r="N233" s="4">
        <v>0</v>
      </c>
      <c r="O233" s="4">
        <v>1</v>
      </c>
      <c r="P233" s="4">
        <v>0</v>
      </c>
      <c r="Q233" s="5" t="s">
        <v>1039</v>
      </c>
      <c r="Y233" t="s">
        <v>324</v>
      </c>
      <c r="Z233" s="2" t="s">
        <v>324</v>
      </c>
      <c r="AA233" t="s">
        <v>324</v>
      </c>
      <c r="AB233" t="s">
        <v>324</v>
      </c>
      <c r="AC233" t="s">
        <v>324</v>
      </c>
      <c r="AD233" t="s">
        <v>324</v>
      </c>
      <c r="AE233" t="s">
        <v>324</v>
      </c>
      <c r="AF233" t="s">
        <v>324</v>
      </c>
      <c r="AG233" s="2" t="s">
        <v>324</v>
      </c>
      <c r="AH233" t="s">
        <v>324</v>
      </c>
      <c r="AI233" t="s">
        <v>324</v>
      </c>
      <c r="AJ233" s="2" t="s">
        <v>324</v>
      </c>
      <c r="AK233" t="s">
        <v>324</v>
      </c>
      <c r="AL233" t="s">
        <v>324</v>
      </c>
      <c r="AM233" s="2" t="str">
        <f>HYPERLINK("http://exon.niaid.nih.gov/transcriptome/Tx_amboinensis_sialome/Table_1/links/PFAM\TX-contig_326-PFAM.txt","PEPCK")</f>
        <v>PEPCK</v>
      </c>
      <c r="AN233" t="str">
        <f>HYPERLINK("http://pfam.wustl.edu/cgi-bin/getdesc?acc=PF00821","0.68")</f>
        <v>0.68</v>
      </c>
      <c r="AO233" s="2" t="s">
        <v>324</v>
      </c>
      <c r="AP233" t="s">
        <v>324</v>
      </c>
      <c r="AQ233" s="2" t="s">
        <v>324</v>
      </c>
      <c r="AR233" t="s">
        <v>324</v>
      </c>
      <c r="AS233" s="2" t="s">
        <v>324</v>
      </c>
      <c r="AT233" t="s">
        <v>324</v>
      </c>
    </row>
    <row r="234" spans="1:46" ht="11.25">
      <c r="A234" t="str">
        <f>HYPERLINK("http://exon.niaid.nih.gov/transcriptome/Tx_amboinensis_sialome/Table_1/links/TX-contig_342.txt","TX-contig_342")</f>
        <v>TX-contig_342</v>
      </c>
      <c r="B234" t="str">
        <f>HYPERLINK("http://exon.niaid.nih.gov/transcriptome/Tx_amboinensis_sialome/Table_1/links/TX-5-90-90-asb-342.txt","Contig-342")</f>
        <v>Contig-342</v>
      </c>
      <c r="C234" t="str">
        <f>HYPERLINK("http://exon.niaid.nih.gov/transcriptome/Tx_amboinensis_sialome/Table_1/links/TX-5-90-90-342-CLU.txt","Contig342")</f>
        <v>Contig342</v>
      </c>
      <c r="D234" s="4">
        <v>1</v>
      </c>
      <c r="E234">
        <v>182</v>
      </c>
      <c r="F234" t="s">
        <v>322</v>
      </c>
      <c r="G234">
        <v>89</v>
      </c>
      <c r="H234">
        <v>61</v>
      </c>
      <c r="I234">
        <v>342</v>
      </c>
      <c r="J234" t="s">
        <v>1196</v>
      </c>
      <c r="K234">
        <v>61</v>
      </c>
      <c r="L234" s="3" t="s">
        <v>1035</v>
      </c>
      <c r="M234" s="4">
        <v>0</v>
      </c>
      <c r="N234" s="4">
        <v>0</v>
      </c>
      <c r="O234" s="4">
        <v>2</v>
      </c>
      <c r="P234" s="4">
        <v>0</v>
      </c>
      <c r="Q234" s="5" t="s">
        <v>1039</v>
      </c>
      <c r="Y234" t="s">
        <v>324</v>
      </c>
      <c r="Z234" s="2" t="s">
        <v>324</v>
      </c>
      <c r="AA234" t="s">
        <v>324</v>
      </c>
      <c r="AB234" t="s">
        <v>324</v>
      </c>
      <c r="AC234" t="s">
        <v>324</v>
      </c>
      <c r="AD234" t="s">
        <v>324</v>
      </c>
      <c r="AE234" t="s">
        <v>324</v>
      </c>
      <c r="AF234" t="s">
        <v>324</v>
      </c>
      <c r="AG234" s="2" t="s">
        <v>324</v>
      </c>
      <c r="AH234" t="s">
        <v>324</v>
      </c>
      <c r="AI234" t="s">
        <v>324</v>
      </c>
      <c r="AJ234" s="2" t="s">
        <v>324</v>
      </c>
      <c r="AK234" t="s">
        <v>324</v>
      </c>
      <c r="AL234" t="s">
        <v>324</v>
      </c>
      <c r="AM234" s="2" t="s">
        <v>324</v>
      </c>
      <c r="AN234" t="s">
        <v>324</v>
      </c>
      <c r="AO234" s="2" t="s">
        <v>324</v>
      </c>
      <c r="AP234" t="s">
        <v>324</v>
      </c>
      <c r="AQ234" s="2" t="s">
        <v>324</v>
      </c>
      <c r="AR234" t="s">
        <v>324</v>
      </c>
      <c r="AS234" s="2" t="s">
        <v>324</v>
      </c>
      <c r="AT234" t="s">
        <v>324</v>
      </c>
    </row>
    <row r="235" spans="1:46" ht="11.25">
      <c r="A235" t="str">
        <f>HYPERLINK("http://exon.niaid.nih.gov/transcriptome/Tx_amboinensis_sialome/Table_1/links/TX-contig_344.txt","TX-contig_344")</f>
        <v>TX-contig_344</v>
      </c>
      <c r="B235" t="str">
        <f>HYPERLINK("http://exon.niaid.nih.gov/transcriptome/Tx_amboinensis_sialome/Table_1/links/TX-5-90-90-asb-344.txt","Contig-344")</f>
        <v>Contig-344</v>
      </c>
      <c r="C235" t="str">
        <f>HYPERLINK("http://exon.niaid.nih.gov/transcriptome/Tx_amboinensis_sialome/Table_1/links/TX-5-90-90-344-CLU.txt","Contig344")</f>
        <v>Contig344</v>
      </c>
      <c r="D235" s="4">
        <v>1</v>
      </c>
      <c r="E235">
        <v>151</v>
      </c>
      <c r="F235">
        <v>3.3</v>
      </c>
      <c r="G235">
        <v>59.6</v>
      </c>
      <c r="H235" t="s">
        <v>324</v>
      </c>
      <c r="I235">
        <v>344</v>
      </c>
      <c r="J235" t="s">
        <v>1198</v>
      </c>
      <c r="K235" t="s">
        <v>324</v>
      </c>
      <c r="L235" s="3" t="s">
        <v>1035</v>
      </c>
      <c r="M235" s="4">
        <v>0</v>
      </c>
      <c r="N235" s="4">
        <v>0</v>
      </c>
      <c r="O235" s="4">
        <v>1</v>
      </c>
      <c r="P235" s="4">
        <v>0</v>
      </c>
      <c r="Q235" s="5" t="s">
        <v>1039</v>
      </c>
      <c r="Y235" t="s">
        <v>324</v>
      </c>
      <c r="Z235" s="2" t="s">
        <v>324</v>
      </c>
      <c r="AA235" t="s">
        <v>324</v>
      </c>
      <c r="AB235" t="s">
        <v>324</v>
      </c>
      <c r="AC235" t="s">
        <v>324</v>
      </c>
      <c r="AD235" t="s">
        <v>324</v>
      </c>
      <c r="AE235" t="s">
        <v>324</v>
      </c>
      <c r="AF235" t="s">
        <v>324</v>
      </c>
      <c r="AG235" s="2" t="s">
        <v>324</v>
      </c>
      <c r="AH235" t="s">
        <v>324</v>
      </c>
      <c r="AI235" t="s">
        <v>324</v>
      </c>
      <c r="AJ235" s="2" t="s">
        <v>324</v>
      </c>
      <c r="AK235" t="s">
        <v>324</v>
      </c>
      <c r="AL235" t="s">
        <v>324</v>
      </c>
      <c r="AM235" s="2" t="s">
        <v>324</v>
      </c>
      <c r="AN235" t="s">
        <v>324</v>
      </c>
      <c r="AO235" s="2" t="s">
        <v>324</v>
      </c>
      <c r="AP235" t="s">
        <v>324</v>
      </c>
      <c r="AQ235" s="2" t="s">
        <v>324</v>
      </c>
      <c r="AR235" t="s">
        <v>324</v>
      </c>
      <c r="AS235" s="2" t="s">
        <v>324</v>
      </c>
      <c r="AT235" t="s">
        <v>324</v>
      </c>
    </row>
    <row r="236" spans="1:46" ht="11.25">
      <c r="A236" t="str">
        <f>HYPERLINK("http://exon.niaid.nih.gov/transcriptome/Tx_amboinensis_sialome/Table_1/links/TX-contig_345.txt","TX-contig_345")</f>
        <v>TX-contig_345</v>
      </c>
      <c r="B236" t="str">
        <f>HYPERLINK("http://exon.niaid.nih.gov/transcriptome/Tx_amboinensis_sialome/Table_1/links/TX-5-90-90-asb-345.txt","Contig-345")</f>
        <v>Contig-345</v>
      </c>
      <c r="C236" t="str">
        <f>HYPERLINK("http://exon.niaid.nih.gov/transcriptome/Tx_amboinensis_sialome/Table_1/links/TX-5-90-90-345-CLU.txt","Contig345")</f>
        <v>Contig345</v>
      </c>
      <c r="D236" s="4">
        <v>1</v>
      </c>
      <c r="E236">
        <v>123</v>
      </c>
      <c r="F236">
        <v>1.6</v>
      </c>
      <c r="G236">
        <v>91.9</v>
      </c>
      <c r="H236">
        <v>51</v>
      </c>
      <c r="I236">
        <v>345</v>
      </c>
      <c r="J236" t="s">
        <v>1199</v>
      </c>
      <c r="K236">
        <v>51</v>
      </c>
      <c r="L236" s="3" t="s">
        <v>1035</v>
      </c>
      <c r="M236" s="4">
        <v>0</v>
      </c>
      <c r="N236" s="4">
        <v>0</v>
      </c>
      <c r="O236" s="4">
        <v>2</v>
      </c>
      <c r="P236" s="4">
        <v>0</v>
      </c>
      <c r="Q236" s="5" t="s">
        <v>1039</v>
      </c>
      <c r="Y236" t="s">
        <v>324</v>
      </c>
      <c r="Z236" s="2" t="s">
        <v>324</v>
      </c>
      <c r="AA236" t="s">
        <v>324</v>
      </c>
      <c r="AB236" t="s">
        <v>324</v>
      </c>
      <c r="AC236" t="s">
        <v>324</v>
      </c>
      <c r="AD236" t="s">
        <v>324</v>
      </c>
      <c r="AE236" t="s">
        <v>324</v>
      </c>
      <c r="AF236" t="s">
        <v>324</v>
      </c>
      <c r="AG236" s="2" t="s">
        <v>324</v>
      </c>
      <c r="AH236" t="s">
        <v>324</v>
      </c>
      <c r="AI236" t="s">
        <v>324</v>
      </c>
      <c r="AJ236" s="2" t="s">
        <v>324</v>
      </c>
      <c r="AK236" t="s">
        <v>324</v>
      </c>
      <c r="AL236" t="s">
        <v>324</v>
      </c>
      <c r="AM236" s="2" t="s">
        <v>324</v>
      </c>
      <c r="AN236" t="s">
        <v>324</v>
      </c>
      <c r="AO236" s="2" t="s">
        <v>324</v>
      </c>
      <c r="AP236" t="s">
        <v>324</v>
      </c>
      <c r="AQ236" s="2" t="s">
        <v>324</v>
      </c>
      <c r="AR236" t="s">
        <v>324</v>
      </c>
      <c r="AS236" s="2" t="s">
        <v>324</v>
      </c>
      <c r="AT236" t="s">
        <v>324</v>
      </c>
    </row>
    <row r="237" spans="1:46" ht="11.25">
      <c r="A237" t="str">
        <f>HYPERLINK("http://exon.niaid.nih.gov/transcriptome/Tx_amboinensis_sialome/Table_1/links/TX-contig_346.txt","TX-contig_346")</f>
        <v>TX-contig_346</v>
      </c>
      <c r="B237" t="str">
        <f>HYPERLINK("http://exon.niaid.nih.gov/transcriptome/Tx_amboinensis_sialome/Table_1/links/TX-5-90-90-asb-346.txt","Contig-346")</f>
        <v>Contig-346</v>
      </c>
      <c r="C237" t="str">
        <f>HYPERLINK("http://exon.niaid.nih.gov/transcriptome/Tx_amboinensis_sialome/Table_1/links/TX-5-90-90-346-CLU.txt","Contig346")</f>
        <v>Contig346</v>
      </c>
      <c r="D237" s="4">
        <v>1</v>
      </c>
      <c r="E237">
        <v>129</v>
      </c>
      <c r="F237">
        <v>0.8</v>
      </c>
      <c r="G237">
        <v>69.8</v>
      </c>
      <c r="H237">
        <v>110</v>
      </c>
      <c r="I237">
        <v>346</v>
      </c>
      <c r="J237" t="s">
        <v>1200</v>
      </c>
      <c r="K237">
        <v>110</v>
      </c>
      <c r="L237" s="3" t="s">
        <v>1035</v>
      </c>
      <c r="M237" s="4">
        <v>0</v>
      </c>
      <c r="N237" s="4">
        <v>0</v>
      </c>
      <c r="O237" s="4">
        <v>2</v>
      </c>
      <c r="P237" s="4">
        <v>0</v>
      </c>
      <c r="Q237" s="5" t="s">
        <v>1039</v>
      </c>
      <c r="Y237" t="s">
        <v>324</v>
      </c>
      <c r="Z237" s="2" t="s">
        <v>324</v>
      </c>
      <c r="AA237" t="s">
        <v>324</v>
      </c>
      <c r="AB237" t="s">
        <v>324</v>
      </c>
      <c r="AC237" t="s">
        <v>324</v>
      </c>
      <c r="AD237" t="s">
        <v>324</v>
      </c>
      <c r="AE237" t="s">
        <v>324</v>
      </c>
      <c r="AF237" t="s">
        <v>324</v>
      </c>
      <c r="AG237" s="2" t="s">
        <v>324</v>
      </c>
      <c r="AH237" t="s">
        <v>324</v>
      </c>
      <c r="AI237" t="s">
        <v>324</v>
      </c>
      <c r="AJ237" s="2" t="s">
        <v>324</v>
      </c>
      <c r="AK237" t="s">
        <v>324</v>
      </c>
      <c r="AL237" t="s">
        <v>324</v>
      </c>
      <c r="AM237" s="2" t="s">
        <v>324</v>
      </c>
      <c r="AN237" t="s">
        <v>324</v>
      </c>
      <c r="AO237" s="2" t="s">
        <v>324</v>
      </c>
      <c r="AP237" t="s">
        <v>324</v>
      </c>
      <c r="AQ237" s="2" t="s">
        <v>324</v>
      </c>
      <c r="AR237" t="s">
        <v>324</v>
      </c>
      <c r="AS237" s="2" t="s">
        <v>324</v>
      </c>
      <c r="AT237" t="s">
        <v>324</v>
      </c>
    </row>
    <row r="238" spans="1:46" ht="11.25">
      <c r="A238" t="str">
        <f>HYPERLINK("http://exon.niaid.nih.gov/transcriptome/Tx_amboinensis_sialome/Table_1/links/TX-contig_349.txt","TX-contig_349")</f>
        <v>TX-contig_349</v>
      </c>
      <c r="B238" t="str">
        <f>HYPERLINK("http://exon.niaid.nih.gov/transcriptome/Tx_amboinensis_sialome/Table_1/links/TX-5-90-90-asb-349.txt","Contig-349")</f>
        <v>Contig-349</v>
      </c>
      <c r="C238" t="str">
        <f>HYPERLINK("http://exon.niaid.nih.gov/transcriptome/Tx_amboinensis_sialome/Table_1/links/TX-5-90-90-349-CLU.txt","Contig349")</f>
        <v>Contig349</v>
      </c>
      <c r="D238" s="4">
        <v>1</v>
      </c>
      <c r="E238">
        <v>119</v>
      </c>
      <c r="F238">
        <v>4.2</v>
      </c>
      <c r="G238">
        <v>88.2</v>
      </c>
      <c r="H238">
        <v>31</v>
      </c>
      <c r="I238">
        <v>349</v>
      </c>
      <c r="J238" t="s">
        <v>1203</v>
      </c>
      <c r="K238">
        <v>31</v>
      </c>
      <c r="L238" s="3" t="s">
        <v>1035</v>
      </c>
      <c r="M238" s="4">
        <v>0</v>
      </c>
      <c r="N238" s="4">
        <v>0</v>
      </c>
      <c r="O238" s="4">
        <v>1</v>
      </c>
      <c r="P238" s="4">
        <v>0</v>
      </c>
      <c r="Q238" s="5" t="s">
        <v>1039</v>
      </c>
      <c r="Y238" t="s">
        <v>324</v>
      </c>
      <c r="Z238" s="2" t="s">
        <v>324</v>
      </c>
      <c r="AA238" t="s">
        <v>324</v>
      </c>
      <c r="AB238" t="s">
        <v>324</v>
      </c>
      <c r="AC238" t="s">
        <v>324</v>
      </c>
      <c r="AD238" t="s">
        <v>324</v>
      </c>
      <c r="AE238" t="s">
        <v>324</v>
      </c>
      <c r="AF238" t="s">
        <v>324</v>
      </c>
      <c r="AG238" s="2" t="s">
        <v>324</v>
      </c>
      <c r="AH238" t="s">
        <v>324</v>
      </c>
      <c r="AI238" t="s">
        <v>324</v>
      </c>
      <c r="AJ238" s="2" t="s">
        <v>324</v>
      </c>
      <c r="AK238" t="s">
        <v>324</v>
      </c>
      <c r="AL238" t="s">
        <v>324</v>
      </c>
      <c r="AM238" s="2" t="s">
        <v>324</v>
      </c>
      <c r="AN238" t="s">
        <v>324</v>
      </c>
      <c r="AO238" s="2" t="s">
        <v>324</v>
      </c>
      <c r="AP238" t="s">
        <v>324</v>
      </c>
      <c r="AQ238" s="2" t="s">
        <v>324</v>
      </c>
      <c r="AR238" t="s">
        <v>324</v>
      </c>
      <c r="AS238" s="2" t="s">
        <v>324</v>
      </c>
      <c r="AT238" t="s">
        <v>324</v>
      </c>
    </row>
    <row r="239" spans="1:46" ht="11.25">
      <c r="A239" t="str">
        <f>HYPERLINK("http://exon.niaid.nih.gov/transcriptome/Tx_amboinensis_sialome/Table_1/links/TX-contig_365.txt","TX-contig_365")</f>
        <v>TX-contig_365</v>
      </c>
      <c r="B239" t="str">
        <f>HYPERLINK("http://exon.niaid.nih.gov/transcriptome/Tx_amboinensis_sialome/Table_1/links/TX-5-90-90-asb-365.txt","Contig-365")</f>
        <v>Contig-365</v>
      </c>
      <c r="C239" t="str">
        <f>HYPERLINK("http://exon.niaid.nih.gov/transcriptome/Tx_amboinensis_sialome/Table_1/links/TX-5-90-90-365-CLU.txt","Contig365")</f>
        <v>Contig365</v>
      </c>
      <c r="D239" s="4">
        <v>1</v>
      </c>
      <c r="E239">
        <v>104</v>
      </c>
      <c r="F239" t="s">
        <v>322</v>
      </c>
      <c r="G239">
        <v>76</v>
      </c>
      <c r="H239">
        <v>76</v>
      </c>
      <c r="I239">
        <v>365</v>
      </c>
      <c r="J239" t="s">
        <v>1219</v>
      </c>
      <c r="K239">
        <v>76</v>
      </c>
      <c r="L239" s="3" t="s">
        <v>1035</v>
      </c>
      <c r="M239" s="4">
        <v>0</v>
      </c>
      <c r="N239" s="4">
        <v>0</v>
      </c>
      <c r="O239" s="4">
        <v>1</v>
      </c>
      <c r="P239" s="4">
        <v>0</v>
      </c>
      <c r="Q239" s="5" t="s">
        <v>1039</v>
      </c>
      <c r="Y239" t="s">
        <v>324</v>
      </c>
      <c r="Z239" s="2" t="s">
        <v>324</v>
      </c>
      <c r="AA239" t="s">
        <v>324</v>
      </c>
      <c r="AB239" t="s">
        <v>324</v>
      </c>
      <c r="AC239" t="s">
        <v>324</v>
      </c>
      <c r="AD239" t="s">
        <v>324</v>
      </c>
      <c r="AE239" t="s">
        <v>324</v>
      </c>
      <c r="AF239" t="s">
        <v>324</v>
      </c>
      <c r="AG239" s="2" t="s">
        <v>324</v>
      </c>
      <c r="AH239" t="s">
        <v>324</v>
      </c>
      <c r="AI239" t="s">
        <v>324</v>
      </c>
      <c r="AJ239" s="2" t="s">
        <v>324</v>
      </c>
      <c r="AK239" t="s">
        <v>324</v>
      </c>
      <c r="AL239" t="s">
        <v>324</v>
      </c>
      <c r="AM239" s="2" t="str">
        <f>HYPERLINK("http://exon.niaid.nih.gov/transcriptome/Tx_amboinensis_sialome/Table_1/links/PFAM\TX-contig_365-PFAM.txt","Glyco_transf_15")</f>
        <v>Glyco_transf_15</v>
      </c>
      <c r="AN239" t="str">
        <f>HYPERLINK("http://pfam.wustl.edu/cgi-bin/getdesc?acc=PF01793","0.99")</f>
        <v>0.99</v>
      </c>
      <c r="AO239" s="2" t="s">
        <v>324</v>
      </c>
      <c r="AP239" t="s">
        <v>324</v>
      </c>
      <c r="AQ239" s="2" t="s">
        <v>324</v>
      </c>
      <c r="AR239" t="s">
        <v>324</v>
      </c>
      <c r="AS239" s="2" t="s">
        <v>324</v>
      </c>
      <c r="AT239" t="s">
        <v>324</v>
      </c>
    </row>
    <row r="240" spans="1:46" ht="11.25">
      <c r="A240" t="str">
        <f>HYPERLINK("http://exon.niaid.nih.gov/transcriptome/Tx_amboinensis_sialome/Table_1/links/TX-contig_366.txt","TX-contig_366")</f>
        <v>TX-contig_366</v>
      </c>
      <c r="B240" t="str">
        <f>HYPERLINK("http://exon.niaid.nih.gov/transcriptome/Tx_amboinensis_sialome/Table_1/links/TX-5-90-90-asb-366.txt","Contig-366")</f>
        <v>Contig-366</v>
      </c>
      <c r="C240" t="str">
        <f>HYPERLINK("http://exon.niaid.nih.gov/transcriptome/Tx_amboinensis_sialome/Table_1/links/TX-5-90-90-366-CLU.txt","Contig366")</f>
        <v>Contig366</v>
      </c>
      <c r="D240" s="4">
        <v>1</v>
      </c>
      <c r="E240">
        <v>139</v>
      </c>
      <c r="F240" t="s">
        <v>322</v>
      </c>
      <c r="G240">
        <v>89.2</v>
      </c>
      <c r="H240">
        <v>54</v>
      </c>
      <c r="I240">
        <v>366</v>
      </c>
      <c r="J240" t="s">
        <v>1220</v>
      </c>
      <c r="K240">
        <v>54</v>
      </c>
      <c r="L240" s="3" t="s">
        <v>1035</v>
      </c>
      <c r="M240" s="4">
        <v>0</v>
      </c>
      <c r="N240" s="4">
        <v>0</v>
      </c>
      <c r="O240" s="4">
        <v>1</v>
      </c>
      <c r="P240" s="4">
        <v>0</v>
      </c>
      <c r="Q240" s="5" t="s">
        <v>1039</v>
      </c>
      <c r="Y240" t="s">
        <v>324</v>
      </c>
      <c r="Z240" s="2" t="s">
        <v>324</v>
      </c>
      <c r="AA240" t="s">
        <v>324</v>
      </c>
      <c r="AB240" t="s">
        <v>324</v>
      </c>
      <c r="AC240" t="s">
        <v>324</v>
      </c>
      <c r="AD240" t="s">
        <v>324</v>
      </c>
      <c r="AE240" t="s">
        <v>324</v>
      </c>
      <c r="AF240" t="s">
        <v>324</v>
      </c>
      <c r="AG240" s="2" t="s">
        <v>324</v>
      </c>
      <c r="AH240" t="s">
        <v>324</v>
      </c>
      <c r="AI240" t="s">
        <v>324</v>
      </c>
      <c r="AJ240" s="2" t="s">
        <v>324</v>
      </c>
      <c r="AK240" t="s">
        <v>324</v>
      </c>
      <c r="AL240" t="s">
        <v>324</v>
      </c>
      <c r="AM240" s="2" t="s">
        <v>324</v>
      </c>
      <c r="AN240" t="s">
        <v>324</v>
      </c>
      <c r="AO240" s="2" t="s">
        <v>324</v>
      </c>
      <c r="AP240" t="s">
        <v>324</v>
      </c>
      <c r="AQ240" s="2" t="s">
        <v>324</v>
      </c>
      <c r="AR240" t="s">
        <v>324</v>
      </c>
      <c r="AS240" s="2" t="s">
        <v>324</v>
      </c>
      <c r="AT240" t="s">
        <v>324</v>
      </c>
    </row>
    <row r="241" spans="1:46" ht="11.25">
      <c r="A241" t="str">
        <f>HYPERLINK("http://exon.niaid.nih.gov/transcriptome/Tx_amboinensis_sialome/Table_1/links/TX-contig_369.txt","TX-contig_369")</f>
        <v>TX-contig_369</v>
      </c>
      <c r="B241" t="str">
        <f>HYPERLINK("http://exon.niaid.nih.gov/transcriptome/Tx_amboinensis_sialome/Table_1/links/TX-5-90-90-asb-369.txt","Contig-369")</f>
        <v>Contig-369</v>
      </c>
      <c r="C241" t="str">
        <f>HYPERLINK("http://exon.niaid.nih.gov/transcriptome/Tx_amboinensis_sialome/Table_1/links/TX-5-90-90-369-CLU.txt","Contig369")</f>
        <v>Contig369</v>
      </c>
      <c r="D241" s="4">
        <v>1</v>
      </c>
      <c r="E241">
        <v>159</v>
      </c>
      <c r="F241">
        <v>3.1</v>
      </c>
      <c r="G241">
        <v>68.6</v>
      </c>
      <c r="H241">
        <v>93</v>
      </c>
      <c r="I241">
        <v>369</v>
      </c>
      <c r="J241" t="s">
        <v>1223</v>
      </c>
      <c r="K241">
        <v>93</v>
      </c>
      <c r="L241" s="3" t="s">
        <v>1035</v>
      </c>
      <c r="M241" s="4">
        <v>0</v>
      </c>
      <c r="N241" s="4">
        <v>0</v>
      </c>
      <c r="O241" s="4">
        <v>1</v>
      </c>
      <c r="P241" s="4">
        <v>0</v>
      </c>
      <c r="Q241" s="5" t="s">
        <v>1039</v>
      </c>
      <c r="Y241" t="s">
        <v>324</v>
      </c>
      <c r="Z241" s="2" t="s">
        <v>324</v>
      </c>
      <c r="AA241" t="s">
        <v>324</v>
      </c>
      <c r="AB241" t="s">
        <v>324</v>
      </c>
      <c r="AC241" t="s">
        <v>324</v>
      </c>
      <c r="AD241" t="s">
        <v>324</v>
      </c>
      <c r="AE241" t="s">
        <v>324</v>
      </c>
      <c r="AF241" t="s">
        <v>324</v>
      </c>
      <c r="AG241" s="2" t="s">
        <v>324</v>
      </c>
      <c r="AH241" t="s">
        <v>324</v>
      </c>
      <c r="AI241" t="s">
        <v>324</v>
      </c>
      <c r="AJ241" s="2" t="s">
        <v>324</v>
      </c>
      <c r="AK241" t="s">
        <v>324</v>
      </c>
      <c r="AL241" t="s">
        <v>324</v>
      </c>
      <c r="AM241" s="2" t="s">
        <v>324</v>
      </c>
      <c r="AN241" t="s">
        <v>324</v>
      </c>
      <c r="AO241" s="2" t="s">
        <v>324</v>
      </c>
      <c r="AP241" t="s">
        <v>324</v>
      </c>
      <c r="AQ241" s="2" t="s">
        <v>324</v>
      </c>
      <c r="AR241" t="s">
        <v>324</v>
      </c>
      <c r="AS241" s="2" t="s">
        <v>324</v>
      </c>
      <c r="AT241" t="s">
        <v>324</v>
      </c>
    </row>
    <row r="242" spans="1:46" ht="11.25">
      <c r="A242" t="str">
        <f>HYPERLINK("http://exon.niaid.nih.gov/transcriptome/Tx_amboinensis_sialome/Table_1/links/TX-contig_371.txt","TX-contig_371")</f>
        <v>TX-contig_371</v>
      </c>
      <c r="B242" t="str">
        <f>HYPERLINK("http://exon.niaid.nih.gov/transcriptome/Tx_amboinensis_sialome/Table_1/links/TX-5-90-90-asb-371.txt","Contig-371")</f>
        <v>Contig-371</v>
      </c>
      <c r="C242" t="str">
        <f>HYPERLINK("http://exon.niaid.nih.gov/transcriptome/Tx_amboinensis_sialome/Table_1/links/TX-5-90-90-371-CLU.txt","Contig371")</f>
        <v>Contig371</v>
      </c>
      <c r="D242" s="4">
        <v>1</v>
      </c>
      <c r="E242">
        <v>128</v>
      </c>
      <c r="F242" t="s">
        <v>322</v>
      </c>
      <c r="G242">
        <v>66.4</v>
      </c>
      <c r="H242">
        <v>109</v>
      </c>
      <c r="I242">
        <v>371</v>
      </c>
      <c r="J242" t="s">
        <v>1225</v>
      </c>
      <c r="K242">
        <v>109</v>
      </c>
      <c r="L242" s="3" t="s">
        <v>1035</v>
      </c>
      <c r="M242" s="4">
        <v>0</v>
      </c>
      <c r="N242" s="4">
        <v>0</v>
      </c>
      <c r="O242" s="4">
        <v>1</v>
      </c>
      <c r="P242" s="4">
        <v>0</v>
      </c>
      <c r="Q242" s="5" t="s">
        <v>1039</v>
      </c>
      <c r="Y242" t="s">
        <v>324</v>
      </c>
      <c r="Z242" s="2" t="s">
        <v>324</v>
      </c>
      <c r="AA242" t="s">
        <v>324</v>
      </c>
      <c r="AB242" t="s">
        <v>324</v>
      </c>
      <c r="AC242" t="s">
        <v>324</v>
      </c>
      <c r="AD242" t="s">
        <v>324</v>
      </c>
      <c r="AE242" t="s">
        <v>324</v>
      </c>
      <c r="AF242" t="s">
        <v>324</v>
      </c>
      <c r="AG242" s="2" t="s">
        <v>324</v>
      </c>
      <c r="AH242" t="s">
        <v>324</v>
      </c>
      <c r="AI242" t="s">
        <v>324</v>
      </c>
      <c r="AJ242" s="2" t="s">
        <v>324</v>
      </c>
      <c r="AK242" t="s">
        <v>324</v>
      </c>
      <c r="AL242" t="s">
        <v>324</v>
      </c>
      <c r="AM242" s="2" t="s">
        <v>324</v>
      </c>
      <c r="AN242" t="s">
        <v>324</v>
      </c>
      <c r="AO242" s="2" t="str">
        <f>HYPERLINK("http://exon.niaid.nih.gov/transcriptome/Tx_amboinensis_sialome/Table_1/links/SMART\TX-contig_371-SMART.txt","ADEAMc")</f>
        <v>ADEAMc</v>
      </c>
      <c r="AP242" t="str">
        <f>HYPERLINK("http://smart.embl-heidelberg.de/smart/do_annotation.pl?DOMAIN=ADEAMc&amp;BLAST=DUMMY","0.93")</f>
        <v>0.93</v>
      </c>
      <c r="AQ242" s="2" t="s">
        <v>324</v>
      </c>
      <c r="AR242" t="s">
        <v>324</v>
      </c>
      <c r="AS242" s="2" t="s">
        <v>324</v>
      </c>
      <c r="AT242" t="s">
        <v>324</v>
      </c>
    </row>
    <row r="243" spans="1:46" ht="11.25">
      <c r="A243" t="str">
        <f>HYPERLINK("http://exon.niaid.nih.gov/transcriptome/Tx_amboinensis_sialome/Table_1/links/TX-contig_379.txt","TX-contig_379")</f>
        <v>TX-contig_379</v>
      </c>
      <c r="B243" t="str">
        <f>HYPERLINK("http://exon.niaid.nih.gov/transcriptome/Tx_amboinensis_sialome/Table_1/links/TX-5-90-90-asb-379.txt","Contig-379")</f>
        <v>Contig-379</v>
      </c>
      <c r="C243" t="str">
        <f>HYPERLINK("http://exon.niaid.nih.gov/transcriptome/Tx_amboinensis_sialome/Table_1/links/TX-5-90-90-379-CLU.txt","Contig379")</f>
        <v>Contig379</v>
      </c>
      <c r="D243" s="4">
        <v>1</v>
      </c>
      <c r="E243">
        <v>136</v>
      </c>
      <c r="F243" t="s">
        <v>322</v>
      </c>
      <c r="G243">
        <v>71.3</v>
      </c>
      <c r="H243">
        <v>117</v>
      </c>
      <c r="I243">
        <v>379</v>
      </c>
      <c r="J243" t="s">
        <v>1233</v>
      </c>
      <c r="K243">
        <v>117</v>
      </c>
      <c r="L243" s="3" t="s">
        <v>1035</v>
      </c>
      <c r="M243" s="4">
        <v>0</v>
      </c>
      <c r="N243" s="4">
        <v>0</v>
      </c>
      <c r="O243" s="4">
        <v>2</v>
      </c>
      <c r="P243" s="4">
        <v>0</v>
      </c>
      <c r="Q243" s="5" t="s">
        <v>1039</v>
      </c>
      <c r="Y243" t="s">
        <v>324</v>
      </c>
      <c r="Z243" s="2" t="s">
        <v>324</v>
      </c>
      <c r="AA243" t="s">
        <v>324</v>
      </c>
      <c r="AB243" t="s">
        <v>324</v>
      </c>
      <c r="AC243" t="s">
        <v>324</v>
      </c>
      <c r="AD243" t="s">
        <v>324</v>
      </c>
      <c r="AE243" t="s">
        <v>324</v>
      </c>
      <c r="AF243" t="s">
        <v>324</v>
      </c>
      <c r="AG243" s="2" t="s">
        <v>324</v>
      </c>
      <c r="AH243" t="s">
        <v>324</v>
      </c>
      <c r="AI243" t="s">
        <v>324</v>
      </c>
      <c r="AJ243" s="2" t="s">
        <v>324</v>
      </c>
      <c r="AK243" t="s">
        <v>324</v>
      </c>
      <c r="AL243" t="s">
        <v>324</v>
      </c>
      <c r="AM243" s="2" t="str">
        <f>HYPERLINK("http://exon.niaid.nih.gov/transcriptome/Tx_amboinensis_sialome/Table_1/links/PFAM\TX-contig_379-PFAM.txt","DUF1157")</f>
        <v>DUF1157</v>
      </c>
      <c r="AN243" t="str">
        <f>HYPERLINK("http://pfam.wustl.edu/cgi-bin/getdesc?acc=PF06636","0.43")</f>
        <v>0.43</v>
      </c>
      <c r="AO243" s="2" t="str">
        <f>HYPERLINK("http://exon.niaid.nih.gov/transcriptome/Tx_amboinensis_sialome/Table_1/links/SMART\TX-contig_379-SMART.txt","ADF")</f>
        <v>ADF</v>
      </c>
      <c r="AP243" t="str">
        <f>HYPERLINK("http://smart.embl-heidelberg.de/smart/do_annotation.pl?DOMAIN=ADF&amp;BLAST=DUMMY","0.82")</f>
        <v>0.82</v>
      </c>
      <c r="AQ243" s="2" t="s">
        <v>324</v>
      </c>
      <c r="AR243" t="s">
        <v>324</v>
      </c>
      <c r="AS243" s="2" t="s">
        <v>324</v>
      </c>
      <c r="AT243" t="s">
        <v>324</v>
      </c>
    </row>
    <row r="244" spans="1:46" ht="11.25">
      <c r="A244" t="str">
        <f>HYPERLINK("http://exon.niaid.nih.gov/transcriptome/Tx_amboinensis_sialome/Table_1/links/TX-contig_382.txt","TX-contig_382")</f>
        <v>TX-contig_382</v>
      </c>
      <c r="B244" t="str">
        <f>HYPERLINK("http://exon.niaid.nih.gov/transcriptome/Tx_amboinensis_sialome/Table_1/links/TX-5-90-90-asb-382.txt","Contig-382")</f>
        <v>Contig-382</v>
      </c>
      <c r="C244" t="str">
        <f>HYPERLINK("http://exon.niaid.nih.gov/transcriptome/Tx_amboinensis_sialome/Table_1/links/TX-5-90-90-382-CLU.txt","Contig382")</f>
        <v>Contig382</v>
      </c>
      <c r="D244" s="4">
        <v>1</v>
      </c>
      <c r="E244">
        <v>104</v>
      </c>
      <c r="F244">
        <v>1</v>
      </c>
      <c r="G244">
        <v>86.5</v>
      </c>
      <c r="H244">
        <v>41</v>
      </c>
      <c r="I244">
        <v>382</v>
      </c>
      <c r="J244" t="s">
        <v>1236</v>
      </c>
      <c r="K244">
        <v>41</v>
      </c>
      <c r="L244" s="3" t="s">
        <v>1035</v>
      </c>
      <c r="M244" s="4">
        <v>0</v>
      </c>
      <c r="N244" s="4">
        <v>0</v>
      </c>
      <c r="O244" s="4">
        <v>1</v>
      </c>
      <c r="P244" s="4">
        <v>0</v>
      </c>
      <c r="Q244" s="5" t="s">
        <v>1039</v>
      </c>
      <c r="Y244" t="s">
        <v>324</v>
      </c>
      <c r="Z244" s="2" t="s">
        <v>324</v>
      </c>
      <c r="AA244" t="s">
        <v>324</v>
      </c>
      <c r="AB244" t="s">
        <v>324</v>
      </c>
      <c r="AC244" t="s">
        <v>324</v>
      </c>
      <c r="AD244" t="s">
        <v>324</v>
      </c>
      <c r="AE244" t="s">
        <v>324</v>
      </c>
      <c r="AF244" t="s">
        <v>324</v>
      </c>
      <c r="AG244" s="2" t="s">
        <v>324</v>
      </c>
      <c r="AH244" t="s">
        <v>324</v>
      </c>
      <c r="AI244" t="s">
        <v>324</v>
      </c>
      <c r="AJ244" s="2" t="s">
        <v>324</v>
      </c>
      <c r="AK244" t="s">
        <v>324</v>
      </c>
      <c r="AL244" t="s">
        <v>324</v>
      </c>
      <c r="AM244" s="2" t="s">
        <v>324</v>
      </c>
      <c r="AN244" t="s">
        <v>324</v>
      </c>
      <c r="AO244" s="2" t="s">
        <v>324</v>
      </c>
      <c r="AP244" t="s">
        <v>324</v>
      </c>
      <c r="AQ244" s="2" t="s">
        <v>324</v>
      </c>
      <c r="AR244" t="s">
        <v>324</v>
      </c>
      <c r="AS244" s="2" t="s">
        <v>324</v>
      </c>
      <c r="AT244" t="s">
        <v>324</v>
      </c>
    </row>
    <row r="245" spans="1:46" ht="11.25">
      <c r="A245" t="str">
        <f>HYPERLINK("http://exon.niaid.nih.gov/transcriptome/Tx_amboinensis_sialome/Table_1/links/TX-contig_384.txt","TX-contig_384")</f>
        <v>TX-contig_384</v>
      </c>
      <c r="B245" t="str">
        <f>HYPERLINK("http://exon.niaid.nih.gov/transcriptome/Tx_amboinensis_sialome/Table_1/links/TX-5-90-90-asb-384.txt","Contig-384")</f>
        <v>Contig-384</v>
      </c>
      <c r="C245" t="str">
        <f>HYPERLINK("http://exon.niaid.nih.gov/transcriptome/Tx_amboinensis_sialome/Table_1/links/TX-5-90-90-384-CLU.txt","Contig384")</f>
        <v>Contig384</v>
      </c>
      <c r="D245" s="4">
        <v>1</v>
      </c>
      <c r="E245">
        <v>216</v>
      </c>
      <c r="F245" t="s">
        <v>322</v>
      </c>
      <c r="G245">
        <v>75</v>
      </c>
      <c r="H245">
        <v>113</v>
      </c>
      <c r="I245">
        <v>384</v>
      </c>
      <c r="J245" t="s">
        <v>1238</v>
      </c>
      <c r="K245">
        <v>113</v>
      </c>
      <c r="L245" s="3" t="s">
        <v>1035</v>
      </c>
      <c r="M245" s="4">
        <v>0</v>
      </c>
      <c r="N245" s="4">
        <v>0</v>
      </c>
      <c r="O245" s="4">
        <v>1</v>
      </c>
      <c r="P245" s="4">
        <v>0</v>
      </c>
      <c r="Q245" s="5" t="s">
        <v>1039</v>
      </c>
      <c r="Y245" t="s">
        <v>324</v>
      </c>
      <c r="Z245" s="2" t="s">
        <v>324</v>
      </c>
      <c r="AA245" t="s">
        <v>324</v>
      </c>
      <c r="AB245" t="s">
        <v>324</v>
      </c>
      <c r="AC245" t="s">
        <v>324</v>
      </c>
      <c r="AD245" t="s">
        <v>324</v>
      </c>
      <c r="AE245" t="s">
        <v>324</v>
      </c>
      <c r="AF245" t="s">
        <v>324</v>
      </c>
      <c r="AG245" s="2" t="s">
        <v>324</v>
      </c>
      <c r="AH245" t="s">
        <v>324</v>
      </c>
      <c r="AI245" t="s">
        <v>324</v>
      </c>
      <c r="AJ245" s="2" t="s">
        <v>324</v>
      </c>
      <c r="AK245" t="s">
        <v>324</v>
      </c>
      <c r="AL245" t="s">
        <v>324</v>
      </c>
      <c r="AM245" s="2" t="s">
        <v>324</v>
      </c>
      <c r="AN245" t="s">
        <v>324</v>
      </c>
      <c r="AO245" s="2" t="s">
        <v>324</v>
      </c>
      <c r="AP245" t="s">
        <v>324</v>
      </c>
      <c r="AQ245" s="2" t="s">
        <v>324</v>
      </c>
      <c r="AR245" t="s">
        <v>324</v>
      </c>
      <c r="AS245" s="2" t="s">
        <v>324</v>
      </c>
      <c r="AT245" t="s">
        <v>324</v>
      </c>
    </row>
    <row r="246" spans="1:46" ht="11.25">
      <c r="A246" t="str">
        <f>HYPERLINK("http://exon.niaid.nih.gov/transcriptome/Tx_amboinensis_sialome/Table_1/links/TX-contig_391.txt","TX-contig_391")</f>
        <v>TX-contig_391</v>
      </c>
      <c r="B246" t="str">
        <f>HYPERLINK("http://exon.niaid.nih.gov/transcriptome/Tx_amboinensis_sialome/Table_1/links/TX-5-90-90-asb-391.txt","Contig-391")</f>
        <v>Contig-391</v>
      </c>
      <c r="C246" t="str">
        <f>HYPERLINK("http://exon.niaid.nih.gov/transcriptome/Tx_amboinensis_sialome/Table_1/links/TX-5-90-90-391-CLU.txt","Contig391")</f>
        <v>Contig391</v>
      </c>
      <c r="D246" s="4">
        <v>1</v>
      </c>
      <c r="E246">
        <v>116</v>
      </c>
      <c r="F246">
        <v>1.7</v>
      </c>
      <c r="G246">
        <v>74.1</v>
      </c>
      <c r="H246">
        <v>97</v>
      </c>
      <c r="I246">
        <v>391</v>
      </c>
      <c r="J246" t="s">
        <v>1245</v>
      </c>
      <c r="K246">
        <v>97</v>
      </c>
      <c r="L246" s="3" t="s">
        <v>1035</v>
      </c>
      <c r="M246" s="4">
        <v>0</v>
      </c>
      <c r="N246" s="4">
        <v>0</v>
      </c>
      <c r="O246" s="4">
        <v>1</v>
      </c>
      <c r="P246" s="4">
        <v>0</v>
      </c>
      <c r="Q246" s="5" t="s">
        <v>1039</v>
      </c>
      <c r="Y246" t="s">
        <v>324</v>
      </c>
      <c r="Z246" s="2" t="s">
        <v>324</v>
      </c>
      <c r="AA246" t="s">
        <v>324</v>
      </c>
      <c r="AB246" t="s">
        <v>324</v>
      </c>
      <c r="AC246" t="s">
        <v>324</v>
      </c>
      <c r="AD246" t="s">
        <v>324</v>
      </c>
      <c r="AE246" t="s">
        <v>324</v>
      </c>
      <c r="AF246" t="s">
        <v>324</v>
      </c>
      <c r="AG246" s="2" t="s">
        <v>324</v>
      </c>
      <c r="AH246" t="s">
        <v>324</v>
      </c>
      <c r="AI246" t="s">
        <v>324</v>
      </c>
      <c r="AJ246" s="2" t="s">
        <v>324</v>
      </c>
      <c r="AK246" t="s">
        <v>324</v>
      </c>
      <c r="AL246" t="s">
        <v>324</v>
      </c>
      <c r="AM246" s="2" t="s">
        <v>324</v>
      </c>
      <c r="AN246" t="s">
        <v>324</v>
      </c>
      <c r="AO246" s="2" t="s">
        <v>324</v>
      </c>
      <c r="AP246" t="s">
        <v>324</v>
      </c>
      <c r="AQ246" s="2" t="s">
        <v>324</v>
      </c>
      <c r="AR246" t="s">
        <v>324</v>
      </c>
      <c r="AS246" s="2" t="s">
        <v>324</v>
      </c>
      <c r="AT246" t="s">
        <v>324</v>
      </c>
    </row>
    <row r="247" spans="1:46" ht="11.25">
      <c r="A247" t="str">
        <f>HYPERLINK("http://exon.niaid.nih.gov/transcriptome/Tx_amboinensis_sialome/Table_1/links/TX-contig_393.txt","TX-contig_393")</f>
        <v>TX-contig_393</v>
      </c>
      <c r="B247" t="str">
        <f>HYPERLINK("http://exon.niaid.nih.gov/transcriptome/Tx_amboinensis_sialome/Table_1/links/TX-5-90-90-asb-393.txt","Contig-393")</f>
        <v>Contig-393</v>
      </c>
      <c r="C247" t="str">
        <f>HYPERLINK("http://exon.niaid.nih.gov/transcriptome/Tx_amboinensis_sialome/Table_1/links/TX-5-90-90-393-CLU.txt","Contig393")</f>
        <v>Contig393</v>
      </c>
      <c r="D247" s="4">
        <v>1</v>
      </c>
      <c r="E247">
        <v>185</v>
      </c>
      <c r="F247">
        <v>0.5</v>
      </c>
      <c r="G247">
        <v>65.9</v>
      </c>
      <c r="H247">
        <v>166</v>
      </c>
      <c r="I247">
        <v>393</v>
      </c>
      <c r="J247" t="s">
        <v>1247</v>
      </c>
      <c r="K247">
        <v>166</v>
      </c>
      <c r="L247" s="3" t="s">
        <v>1035</v>
      </c>
      <c r="M247" s="4">
        <v>0</v>
      </c>
      <c r="N247" s="4">
        <v>0</v>
      </c>
      <c r="O247" s="4">
        <v>1</v>
      </c>
      <c r="P247" s="4">
        <v>0</v>
      </c>
      <c r="Q247" s="5" t="s">
        <v>1039</v>
      </c>
      <c r="R247" s="2" t="str">
        <f>HYPERLINK("http://exon.niaid.nih.gov/transcriptome/Tx_amboinensis_sialome/Table_1/links/NR\TX-contig_393-NR.txt","putative zinc protease YmxG [Bactero")</f>
        <v>putative zinc protease YmxG [Bactero</v>
      </c>
      <c r="S247" s="4" t="str">
        <f>HYPERLINK("http://www.ncbi.nlm.nih.gov/sutils/blink.cgi?pid=52214330","16")</f>
        <v>16</v>
      </c>
      <c r="T247" t="s">
        <v>90</v>
      </c>
      <c r="U247" s="4">
        <v>40</v>
      </c>
      <c r="V247" s="4">
        <v>8</v>
      </c>
      <c r="W247" t="s">
        <v>91</v>
      </c>
      <c r="X247" t="s">
        <v>92</v>
      </c>
      <c r="Y247" t="s">
        <v>324</v>
      </c>
      <c r="Z247" s="2" t="s">
        <v>324</v>
      </c>
      <c r="AA247" t="s">
        <v>324</v>
      </c>
      <c r="AB247" t="s">
        <v>324</v>
      </c>
      <c r="AC247" t="s">
        <v>324</v>
      </c>
      <c r="AD247" t="s">
        <v>324</v>
      </c>
      <c r="AE247" t="s">
        <v>324</v>
      </c>
      <c r="AF247" t="s">
        <v>324</v>
      </c>
      <c r="AG247" s="2" t="s">
        <v>324</v>
      </c>
      <c r="AH247" t="s">
        <v>324</v>
      </c>
      <c r="AI247" t="s">
        <v>324</v>
      </c>
      <c r="AJ247" s="2" t="str">
        <f>HYPERLINK("http://exon.niaid.nih.gov/transcriptome/Tx_amboinensis_sialome/Table_1/links/CDD\TX-contig_393-CDD.txt","TyrR")</f>
        <v>TyrR</v>
      </c>
      <c r="AK247" t="str">
        <f>HYPERLINK("http://www.ncbi.nlm.nih.gov/Structure/cdd/cddsrv.cgi?uid=COG3283&amp;version=v4.0","0.84")</f>
        <v>0.84</v>
      </c>
      <c r="AL247" t="s">
        <v>1001</v>
      </c>
      <c r="AM247" s="2" t="s">
        <v>324</v>
      </c>
      <c r="AN247" t="s">
        <v>324</v>
      </c>
      <c r="AO247" s="2" t="s">
        <v>324</v>
      </c>
      <c r="AP247" t="s">
        <v>324</v>
      </c>
      <c r="AQ247" s="2" t="s">
        <v>324</v>
      </c>
      <c r="AR247" t="s">
        <v>324</v>
      </c>
      <c r="AS247" s="2" t="s">
        <v>324</v>
      </c>
      <c r="AT247" t="s">
        <v>324</v>
      </c>
    </row>
    <row r="248" spans="1:46" ht="11.25">
      <c r="A248" t="str">
        <f>HYPERLINK("http://exon.niaid.nih.gov/transcriptome/Tx_amboinensis_sialome/Table_1/links/TX-contig_395.txt","TX-contig_395")</f>
        <v>TX-contig_395</v>
      </c>
      <c r="B248" t="str">
        <f>HYPERLINK("http://exon.niaid.nih.gov/transcriptome/Tx_amboinensis_sialome/Table_1/links/TX-5-90-90-asb-395.txt","Contig-395")</f>
        <v>Contig-395</v>
      </c>
      <c r="C248" t="str">
        <f>HYPERLINK("http://exon.niaid.nih.gov/transcriptome/Tx_amboinensis_sialome/Table_1/links/TX-5-90-90-395-CLU.txt","Contig395")</f>
        <v>Contig395</v>
      </c>
      <c r="D248" s="4">
        <v>1</v>
      </c>
      <c r="E248">
        <v>110</v>
      </c>
      <c r="F248">
        <v>0.9</v>
      </c>
      <c r="G248">
        <v>55.5</v>
      </c>
      <c r="H248">
        <v>91</v>
      </c>
      <c r="I248">
        <v>395</v>
      </c>
      <c r="J248" t="s">
        <v>1249</v>
      </c>
      <c r="K248">
        <v>91</v>
      </c>
      <c r="L248" s="3" t="s">
        <v>1035</v>
      </c>
      <c r="M248" s="4">
        <v>0</v>
      </c>
      <c r="N248" s="4">
        <v>0</v>
      </c>
      <c r="O248" s="4">
        <v>1</v>
      </c>
      <c r="P248" s="4">
        <v>0</v>
      </c>
      <c r="Q248" s="5" t="s">
        <v>1039</v>
      </c>
      <c r="Y248" t="s">
        <v>324</v>
      </c>
      <c r="Z248" s="2" t="s">
        <v>324</v>
      </c>
      <c r="AA248" t="s">
        <v>324</v>
      </c>
      <c r="AB248" t="s">
        <v>324</v>
      </c>
      <c r="AC248" t="s">
        <v>324</v>
      </c>
      <c r="AD248" t="s">
        <v>324</v>
      </c>
      <c r="AE248" t="s">
        <v>324</v>
      </c>
      <c r="AF248" t="s">
        <v>324</v>
      </c>
      <c r="AG248" s="2" t="s">
        <v>324</v>
      </c>
      <c r="AH248" t="s">
        <v>324</v>
      </c>
      <c r="AI248" t="s">
        <v>324</v>
      </c>
      <c r="AJ248" s="2" t="s">
        <v>324</v>
      </c>
      <c r="AK248" t="s">
        <v>324</v>
      </c>
      <c r="AL248" t="s">
        <v>324</v>
      </c>
      <c r="AM248" s="2" t="s">
        <v>324</v>
      </c>
      <c r="AN248" t="s">
        <v>324</v>
      </c>
      <c r="AO248" s="2" t="s">
        <v>324</v>
      </c>
      <c r="AP248" t="s">
        <v>324</v>
      </c>
      <c r="AQ248" s="2" t="s">
        <v>324</v>
      </c>
      <c r="AR248" t="s">
        <v>324</v>
      </c>
      <c r="AS248" s="2" t="s">
        <v>324</v>
      </c>
      <c r="AT248" t="s">
        <v>324</v>
      </c>
    </row>
    <row r="249" spans="1:46" ht="11.25">
      <c r="A249" t="str">
        <f>HYPERLINK("http://exon.niaid.nih.gov/transcriptome/Tx_amboinensis_sialome/Table_1/links/TX-contig_396.txt","TX-contig_396")</f>
        <v>TX-contig_396</v>
      </c>
      <c r="B249" t="str">
        <f>HYPERLINK("http://exon.niaid.nih.gov/transcriptome/Tx_amboinensis_sialome/Table_1/links/TX-5-90-90-asb-396.txt","Contig-396")</f>
        <v>Contig-396</v>
      </c>
      <c r="C249" t="str">
        <f>HYPERLINK("http://exon.niaid.nih.gov/transcriptome/Tx_amboinensis_sialome/Table_1/links/TX-5-90-90-396-CLU.txt","Contig396")</f>
        <v>Contig396</v>
      </c>
      <c r="D249" s="4">
        <v>1</v>
      </c>
      <c r="E249">
        <v>165</v>
      </c>
      <c r="F249" t="s">
        <v>322</v>
      </c>
      <c r="G249">
        <v>94.5</v>
      </c>
      <c r="H249">
        <v>35</v>
      </c>
      <c r="I249">
        <v>396</v>
      </c>
      <c r="J249" t="s">
        <v>1250</v>
      </c>
      <c r="K249">
        <v>35</v>
      </c>
      <c r="L249" s="3" t="s">
        <v>1035</v>
      </c>
      <c r="M249" s="4">
        <v>0</v>
      </c>
      <c r="N249" s="4">
        <v>0</v>
      </c>
      <c r="O249" s="4">
        <v>2</v>
      </c>
      <c r="P249" s="4">
        <v>0</v>
      </c>
      <c r="Q249" s="5" t="s">
        <v>1039</v>
      </c>
      <c r="Y249" t="s">
        <v>324</v>
      </c>
      <c r="Z249" s="2" t="s">
        <v>324</v>
      </c>
      <c r="AA249" t="s">
        <v>324</v>
      </c>
      <c r="AB249" t="s">
        <v>324</v>
      </c>
      <c r="AC249" t="s">
        <v>324</v>
      </c>
      <c r="AD249" t="s">
        <v>324</v>
      </c>
      <c r="AE249" t="s">
        <v>324</v>
      </c>
      <c r="AF249" t="s">
        <v>324</v>
      </c>
      <c r="AG249" s="2" t="s">
        <v>324</v>
      </c>
      <c r="AH249" t="s">
        <v>324</v>
      </c>
      <c r="AI249" t="s">
        <v>324</v>
      </c>
      <c r="AJ249" s="2" t="s">
        <v>324</v>
      </c>
      <c r="AK249" t="s">
        <v>324</v>
      </c>
      <c r="AL249" t="s">
        <v>324</v>
      </c>
      <c r="AM249" s="2" t="s">
        <v>324</v>
      </c>
      <c r="AN249" t="s">
        <v>324</v>
      </c>
      <c r="AO249" s="2" t="s">
        <v>324</v>
      </c>
      <c r="AP249" t="s">
        <v>324</v>
      </c>
      <c r="AQ249" s="2" t="s">
        <v>324</v>
      </c>
      <c r="AR249" t="s">
        <v>324</v>
      </c>
      <c r="AS249" s="2" t="s">
        <v>324</v>
      </c>
      <c r="AT249" t="s">
        <v>324</v>
      </c>
    </row>
    <row r="250" spans="1:46" ht="11.25">
      <c r="A250" t="str">
        <f>HYPERLINK("http://exon.niaid.nih.gov/transcriptome/Tx_amboinensis_sialome/Table_1/links/TX-contig_398.txt","TX-contig_398")</f>
        <v>TX-contig_398</v>
      </c>
      <c r="B250" t="str">
        <f>HYPERLINK("http://exon.niaid.nih.gov/transcriptome/Tx_amboinensis_sialome/Table_1/links/TX-5-90-90-asb-398.txt","Contig-398")</f>
        <v>Contig-398</v>
      </c>
      <c r="C250" t="str">
        <f>HYPERLINK("http://exon.niaid.nih.gov/transcriptome/Tx_amboinensis_sialome/Table_1/links/TX-5-90-90-398-CLU.txt","Contig398")</f>
        <v>Contig398</v>
      </c>
      <c r="D250" s="4">
        <v>1</v>
      </c>
      <c r="E250">
        <v>105</v>
      </c>
      <c r="F250">
        <v>1</v>
      </c>
      <c r="G250">
        <v>64.8</v>
      </c>
      <c r="H250">
        <v>78</v>
      </c>
      <c r="I250">
        <v>398</v>
      </c>
      <c r="J250" t="s">
        <v>1252</v>
      </c>
      <c r="K250">
        <v>78</v>
      </c>
      <c r="L250" s="3" t="s">
        <v>1035</v>
      </c>
      <c r="M250" s="4">
        <v>0</v>
      </c>
      <c r="N250" s="4">
        <v>0</v>
      </c>
      <c r="O250" s="4">
        <v>1</v>
      </c>
      <c r="P250" s="4">
        <v>0</v>
      </c>
      <c r="Q250" s="5" t="s">
        <v>1039</v>
      </c>
      <c r="Y250" t="s">
        <v>324</v>
      </c>
      <c r="Z250" s="2" t="s">
        <v>324</v>
      </c>
      <c r="AA250" t="s">
        <v>324</v>
      </c>
      <c r="AB250" t="s">
        <v>324</v>
      </c>
      <c r="AC250" t="s">
        <v>324</v>
      </c>
      <c r="AD250" t="s">
        <v>324</v>
      </c>
      <c r="AE250" t="s">
        <v>324</v>
      </c>
      <c r="AF250" t="s">
        <v>324</v>
      </c>
      <c r="AG250" s="2" t="s">
        <v>324</v>
      </c>
      <c r="AH250" t="s">
        <v>324</v>
      </c>
      <c r="AI250" t="s">
        <v>324</v>
      </c>
      <c r="AJ250" s="2" t="s">
        <v>324</v>
      </c>
      <c r="AK250" t="s">
        <v>324</v>
      </c>
      <c r="AL250" t="s">
        <v>324</v>
      </c>
      <c r="AM250" s="2" t="s">
        <v>324</v>
      </c>
      <c r="AN250" t="s">
        <v>324</v>
      </c>
      <c r="AO250" s="2" t="s">
        <v>324</v>
      </c>
      <c r="AP250" t="s">
        <v>324</v>
      </c>
      <c r="AQ250" s="2" t="s">
        <v>324</v>
      </c>
      <c r="AR250" t="s">
        <v>324</v>
      </c>
      <c r="AS250" s="2" t="s">
        <v>324</v>
      </c>
      <c r="AT250" t="s">
        <v>324</v>
      </c>
    </row>
    <row r="251" spans="1:46" ht="11.25">
      <c r="A251" t="str">
        <f>HYPERLINK("http://exon.niaid.nih.gov/transcriptome/Tx_amboinensis_sialome/Table_1/links/TX-contig_401.txt","TX-contig_401")</f>
        <v>TX-contig_401</v>
      </c>
      <c r="B251" t="str">
        <f>HYPERLINK("http://exon.niaid.nih.gov/transcriptome/Tx_amboinensis_sialome/Table_1/links/TX-5-90-90-asb-401.txt","Contig-401")</f>
        <v>Contig-401</v>
      </c>
      <c r="C251" t="str">
        <f>HYPERLINK("http://exon.niaid.nih.gov/transcriptome/Tx_amboinensis_sialome/Table_1/links/TX-5-90-90-401-CLU.txt","Contig401")</f>
        <v>Contig401</v>
      </c>
      <c r="D251" s="4">
        <v>1</v>
      </c>
      <c r="E251">
        <v>257</v>
      </c>
      <c r="F251">
        <v>3.5</v>
      </c>
      <c r="G251">
        <v>61.9</v>
      </c>
      <c r="H251">
        <v>192</v>
      </c>
      <c r="I251">
        <v>401</v>
      </c>
      <c r="J251" t="s">
        <v>1255</v>
      </c>
      <c r="K251">
        <v>192</v>
      </c>
      <c r="L251" s="3" t="s">
        <v>1035</v>
      </c>
      <c r="M251" s="4">
        <v>0</v>
      </c>
      <c r="N251" s="4">
        <v>0</v>
      </c>
      <c r="O251" s="4">
        <v>2</v>
      </c>
      <c r="P251" s="4">
        <v>0</v>
      </c>
      <c r="Q251" s="5" t="s">
        <v>1039</v>
      </c>
      <c r="Y251" t="s">
        <v>324</v>
      </c>
      <c r="Z251" s="2" t="s">
        <v>324</v>
      </c>
      <c r="AA251" t="s">
        <v>324</v>
      </c>
      <c r="AB251" t="s">
        <v>324</v>
      </c>
      <c r="AC251" t="s">
        <v>324</v>
      </c>
      <c r="AD251" t="s">
        <v>324</v>
      </c>
      <c r="AE251" t="s">
        <v>324</v>
      </c>
      <c r="AF251" t="s">
        <v>324</v>
      </c>
      <c r="AG251" s="2" t="s">
        <v>324</v>
      </c>
      <c r="AH251" t="s">
        <v>324</v>
      </c>
      <c r="AI251" t="s">
        <v>324</v>
      </c>
      <c r="AJ251" s="2" t="s">
        <v>324</v>
      </c>
      <c r="AK251" t="s">
        <v>324</v>
      </c>
      <c r="AL251" t="s">
        <v>324</v>
      </c>
      <c r="AM251" s="2" t="s">
        <v>324</v>
      </c>
      <c r="AN251" t="s">
        <v>324</v>
      </c>
      <c r="AO251" s="2" t="str">
        <f>HYPERLINK("http://exon.niaid.nih.gov/transcriptome/Tx_amboinensis_sialome/Table_1/links/SMART\TX-contig_401-SMART.txt","TOP4c")</f>
        <v>TOP4c</v>
      </c>
      <c r="AP251" t="str">
        <f>HYPERLINK("http://smart.embl-heidelberg.de/smart/do_annotation.pl?DOMAIN=TOP4c&amp;BLAST=DUMMY","0.15")</f>
        <v>0.15</v>
      </c>
      <c r="AQ251" s="2" t="s">
        <v>324</v>
      </c>
      <c r="AR251" t="s">
        <v>324</v>
      </c>
      <c r="AS251" s="2" t="s">
        <v>324</v>
      </c>
      <c r="AT251" t="s">
        <v>324</v>
      </c>
    </row>
    <row r="252" spans="1:46" ht="11.25">
      <c r="A252" t="str">
        <f>HYPERLINK("http://exon.niaid.nih.gov/transcriptome/Tx_amboinensis_sialome/Table_1/links/TX-contig_408.txt","TX-contig_408")</f>
        <v>TX-contig_408</v>
      </c>
      <c r="B252" t="str">
        <f>HYPERLINK("http://exon.niaid.nih.gov/transcriptome/Tx_amboinensis_sialome/Table_1/links/TX-5-90-90-asb-408.txt","Contig-408")</f>
        <v>Contig-408</v>
      </c>
      <c r="C252" t="str">
        <f>HYPERLINK("http://exon.niaid.nih.gov/transcriptome/Tx_amboinensis_sialome/Table_1/links/TX-5-90-90-408-CLU.txt","Contig408")</f>
        <v>Contig408</v>
      </c>
      <c r="D252" s="4">
        <v>1</v>
      </c>
      <c r="E252">
        <v>123</v>
      </c>
      <c r="F252">
        <v>3.3</v>
      </c>
      <c r="G252">
        <v>53.7</v>
      </c>
      <c r="H252" t="s">
        <v>324</v>
      </c>
      <c r="I252">
        <v>408</v>
      </c>
      <c r="J252" t="s">
        <v>1262</v>
      </c>
      <c r="K252" t="s">
        <v>324</v>
      </c>
      <c r="L252" s="3" t="s">
        <v>1035</v>
      </c>
      <c r="M252" s="4">
        <v>0</v>
      </c>
      <c r="N252" s="4">
        <v>0</v>
      </c>
      <c r="O252" s="4">
        <v>1</v>
      </c>
      <c r="P252" s="4">
        <v>0</v>
      </c>
      <c r="Q252" s="5" t="s">
        <v>1039</v>
      </c>
      <c r="Y252" t="s">
        <v>324</v>
      </c>
      <c r="Z252" s="2" t="s">
        <v>324</v>
      </c>
      <c r="AA252" t="s">
        <v>324</v>
      </c>
      <c r="AB252" t="s">
        <v>324</v>
      </c>
      <c r="AC252" t="s">
        <v>324</v>
      </c>
      <c r="AD252" t="s">
        <v>324</v>
      </c>
      <c r="AE252" t="s">
        <v>324</v>
      </c>
      <c r="AF252" t="s">
        <v>324</v>
      </c>
      <c r="AG252" s="2" t="s">
        <v>324</v>
      </c>
      <c r="AH252" t="s">
        <v>324</v>
      </c>
      <c r="AI252" t="s">
        <v>324</v>
      </c>
      <c r="AJ252" s="2" t="s">
        <v>324</v>
      </c>
      <c r="AK252" t="s">
        <v>324</v>
      </c>
      <c r="AL252" t="s">
        <v>324</v>
      </c>
      <c r="AM252" s="2" t="s">
        <v>324</v>
      </c>
      <c r="AN252" t="s">
        <v>324</v>
      </c>
      <c r="AO252" s="2" t="s">
        <v>324</v>
      </c>
      <c r="AP252" t="s">
        <v>324</v>
      </c>
      <c r="AQ252" s="2" t="s">
        <v>324</v>
      </c>
      <c r="AR252" t="s">
        <v>324</v>
      </c>
      <c r="AS252" s="2" t="s">
        <v>324</v>
      </c>
      <c r="AT252" t="s">
        <v>324</v>
      </c>
    </row>
    <row r="253" spans="1:46" ht="11.25">
      <c r="A253" t="str">
        <f>HYPERLINK("http://exon.niaid.nih.gov/transcriptome/Tx_amboinensis_sialome/Table_1/links/TX-contig_413.txt","TX-contig_413")</f>
        <v>TX-contig_413</v>
      </c>
      <c r="B253" t="str">
        <f>HYPERLINK("http://exon.niaid.nih.gov/transcriptome/Tx_amboinensis_sialome/Table_1/links/TX-5-90-90-asb-413.txt","Contig-413")</f>
        <v>Contig-413</v>
      </c>
      <c r="C253" t="str">
        <f>HYPERLINK("http://exon.niaid.nih.gov/transcriptome/Tx_amboinensis_sialome/Table_1/links/TX-5-90-90-413-CLU.txt","Contig413")</f>
        <v>Contig413</v>
      </c>
      <c r="D253" s="4">
        <v>1</v>
      </c>
      <c r="E253">
        <v>144</v>
      </c>
      <c r="F253" t="s">
        <v>322</v>
      </c>
      <c r="G253">
        <v>88.2</v>
      </c>
      <c r="H253">
        <v>48</v>
      </c>
      <c r="I253">
        <v>413</v>
      </c>
      <c r="J253" t="s">
        <v>1267</v>
      </c>
      <c r="K253">
        <v>48</v>
      </c>
      <c r="L253" s="3" t="s">
        <v>1035</v>
      </c>
      <c r="M253" s="4">
        <v>0</v>
      </c>
      <c r="N253" s="4">
        <v>0</v>
      </c>
      <c r="O253" s="4">
        <v>1</v>
      </c>
      <c r="P253" s="4">
        <v>0</v>
      </c>
      <c r="Q253" s="5" t="s">
        <v>1039</v>
      </c>
      <c r="Y253" t="s">
        <v>324</v>
      </c>
      <c r="Z253" s="2" t="s">
        <v>324</v>
      </c>
      <c r="AA253" t="s">
        <v>324</v>
      </c>
      <c r="AB253" t="s">
        <v>324</v>
      </c>
      <c r="AC253" t="s">
        <v>324</v>
      </c>
      <c r="AD253" t="s">
        <v>324</v>
      </c>
      <c r="AE253" t="s">
        <v>324</v>
      </c>
      <c r="AF253" t="s">
        <v>324</v>
      </c>
      <c r="AG253" s="2" t="s">
        <v>324</v>
      </c>
      <c r="AH253" t="s">
        <v>324</v>
      </c>
      <c r="AI253" t="s">
        <v>324</v>
      </c>
      <c r="AJ253" s="2" t="s">
        <v>324</v>
      </c>
      <c r="AK253" t="s">
        <v>324</v>
      </c>
      <c r="AL253" t="s">
        <v>324</v>
      </c>
      <c r="AM253" s="2" t="s">
        <v>324</v>
      </c>
      <c r="AN253" t="s">
        <v>324</v>
      </c>
      <c r="AO253" s="2" t="s">
        <v>324</v>
      </c>
      <c r="AP253" t="s">
        <v>324</v>
      </c>
      <c r="AQ253" s="2" t="s">
        <v>324</v>
      </c>
      <c r="AR253" t="s">
        <v>324</v>
      </c>
      <c r="AS253" s="2" t="s">
        <v>324</v>
      </c>
      <c r="AT253" t="s">
        <v>324</v>
      </c>
    </row>
    <row r="254" spans="1:46" ht="11.25">
      <c r="A254" t="str">
        <f>HYPERLINK("http://exon.niaid.nih.gov/transcriptome/Tx_amboinensis_sialome/Table_1/links/TX-contig_422.txt","TX-contig_422")</f>
        <v>TX-contig_422</v>
      </c>
      <c r="B254" t="str">
        <f>HYPERLINK("http://exon.niaid.nih.gov/transcriptome/Tx_amboinensis_sialome/Table_1/links/TX-5-90-90-asb-422.txt","Contig-422")</f>
        <v>Contig-422</v>
      </c>
      <c r="C254" t="str">
        <f>HYPERLINK("http://exon.niaid.nih.gov/transcriptome/Tx_amboinensis_sialome/Table_1/links/TX-5-90-90-422-CLU.txt","Contig422")</f>
        <v>Contig422</v>
      </c>
      <c r="D254" s="4">
        <v>1</v>
      </c>
      <c r="E254">
        <v>116</v>
      </c>
      <c r="F254">
        <v>1.7</v>
      </c>
      <c r="G254">
        <v>73.3</v>
      </c>
      <c r="H254">
        <v>86</v>
      </c>
      <c r="I254">
        <v>422</v>
      </c>
      <c r="J254" t="s">
        <v>1276</v>
      </c>
      <c r="K254">
        <v>86</v>
      </c>
      <c r="L254" s="3" t="s">
        <v>1035</v>
      </c>
      <c r="M254" s="4">
        <v>0</v>
      </c>
      <c r="N254" s="4">
        <v>0</v>
      </c>
      <c r="O254" s="4">
        <v>1</v>
      </c>
      <c r="P254" s="4">
        <v>0</v>
      </c>
      <c r="Q254" s="5" t="s">
        <v>1039</v>
      </c>
      <c r="Y254" t="s">
        <v>324</v>
      </c>
      <c r="Z254" s="2" t="s">
        <v>324</v>
      </c>
      <c r="AA254" t="s">
        <v>324</v>
      </c>
      <c r="AB254" t="s">
        <v>324</v>
      </c>
      <c r="AC254" t="s">
        <v>324</v>
      </c>
      <c r="AD254" t="s">
        <v>324</v>
      </c>
      <c r="AE254" t="s">
        <v>324</v>
      </c>
      <c r="AF254" t="s">
        <v>324</v>
      </c>
      <c r="AG254" s="2" t="s">
        <v>324</v>
      </c>
      <c r="AH254" t="s">
        <v>324</v>
      </c>
      <c r="AI254" t="s">
        <v>324</v>
      </c>
      <c r="AJ254" s="2" t="s">
        <v>324</v>
      </c>
      <c r="AK254" t="s">
        <v>324</v>
      </c>
      <c r="AL254" t="s">
        <v>324</v>
      </c>
      <c r="AM254" s="2" t="s">
        <v>324</v>
      </c>
      <c r="AN254" t="s">
        <v>324</v>
      </c>
      <c r="AO254" s="2" t="s">
        <v>324</v>
      </c>
      <c r="AP254" t="s">
        <v>324</v>
      </c>
      <c r="AQ254" s="2" t="s">
        <v>324</v>
      </c>
      <c r="AR254" t="s">
        <v>324</v>
      </c>
      <c r="AS254" s="2" t="s">
        <v>324</v>
      </c>
      <c r="AT254" t="s">
        <v>324</v>
      </c>
    </row>
    <row r="255" spans="1:46" ht="11.25">
      <c r="A255" t="str">
        <f>HYPERLINK("http://exon.niaid.nih.gov/transcriptome/Tx_amboinensis_sialome/Table_1/links/TX-contig_427.txt","TX-contig_427")</f>
        <v>TX-contig_427</v>
      </c>
      <c r="B255" t="str">
        <f>HYPERLINK("http://exon.niaid.nih.gov/transcriptome/Tx_amboinensis_sialome/Table_1/links/TX-5-90-90-asb-427.txt","Contig-427")</f>
        <v>Contig-427</v>
      </c>
      <c r="C255" t="str">
        <f>HYPERLINK("http://exon.niaid.nih.gov/transcriptome/Tx_amboinensis_sialome/Table_1/links/TX-5-90-90-427-CLU.txt","Contig427")</f>
        <v>Contig427</v>
      </c>
      <c r="D255" s="4">
        <v>1</v>
      </c>
      <c r="E255">
        <v>128</v>
      </c>
      <c r="F255">
        <v>0.8</v>
      </c>
      <c r="G255">
        <v>64.8</v>
      </c>
      <c r="H255">
        <v>109</v>
      </c>
      <c r="I255">
        <v>427</v>
      </c>
      <c r="J255" t="s">
        <v>1281</v>
      </c>
      <c r="K255">
        <v>109</v>
      </c>
      <c r="L255" s="3" t="s">
        <v>1035</v>
      </c>
      <c r="M255" s="4">
        <v>0</v>
      </c>
      <c r="N255" s="4">
        <v>0</v>
      </c>
      <c r="O255" s="4">
        <v>2</v>
      </c>
      <c r="P255" s="4">
        <v>0</v>
      </c>
      <c r="Q255" s="5" t="s">
        <v>1039</v>
      </c>
      <c r="Y255" t="s">
        <v>324</v>
      </c>
      <c r="Z255" s="2" t="s">
        <v>324</v>
      </c>
      <c r="AA255" t="s">
        <v>324</v>
      </c>
      <c r="AB255" t="s">
        <v>324</v>
      </c>
      <c r="AC255" t="s">
        <v>324</v>
      </c>
      <c r="AD255" t="s">
        <v>324</v>
      </c>
      <c r="AE255" t="s">
        <v>324</v>
      </c>
      <c r="AF255" t="s">
        <v>324</v>
      </c>
      <c r="AG255" s="2" t="s">
        <v>324</v>
      </c>
      <c r="AH255" t="s">
        <v>324</v>
      </c>
      <c r="AI255" t="s">
        <v>324</v>
      </c>
      <c r="AJ255" s="2" t="s">
        <v>324</v>
      </c>
      <c r="AK255" t="s">
        <v>324</v>
      </c>
      <c r="AL255" t="s">
        <v>324</v>
      </c>
      <c r="AM255" s="2" t="s">
        <v>324</v>
      </c>
      <c r="AN255" t="s">
        <v>324</v>
      </c>
      <c r="AO255" s="2" t="str">
        <f>HYPERLINK("http://exon.niaid.nih.gov/transcriptome/Tx_amboinensis_sialome/Table_1/links/SMART\TX-contig_427-SMART.txt","TLC")</f>
        <v>TLC</v>
      </c>
      <c r="AP255" t="str">
        <f>HYPERLINK("http://smart.embl-heidelberg.de/smart/do_annotation.pl?DOMAIN=TLC&amp;BLAST=DUMMY","0.50")</f>
        <v>0.50</v>
      </c>
      <c r="AQ255" s="2" t="s">
        <v>324</v>
      </c>
      <c r="AR255" t="s">
        <v>324</v>
      </c>
      <c r="AS255" s="2" t="s">
        <v>324</v>
      </c>
      <c r="AT255" t="s">
        <v>324</v>
      </c>
    </row>
    <row r="256" spans="1:46" ht="11.25">
      <c r="A256" t="str">
        <f>HYPERLINK("http://exon.niaid.nih.gov/transcriptome/Tx_amboinensis_sialome/Table_1/links/TX-contig_428.txt","TX-contig_428")</f>
        <v>TX-contig_428</v>
      </c>
      <c r="B256" t="str">
        <f>HYPERLINK("http://exon.niaid.nih.gov/transcriptome/Tx_amboinensis_sialome/Table_1/links/TX-5-90-90-asb-428.txt","Contig-428")</f>
        <v>Contig-428</v>
      </c>
      <c r="C256" t="str">
        <f>HYPERLINK("http://exon.niaid.nih.gov/transcriptome/Tx_amboinensis_sialome/Table_1/links/TX-5-90-90-428-CLU.txt","Contig428")</f>
        <v>Contig428</v>
      </c>
      <c r="D256" s="4">
        <v>1</v>
      </c>
      <c r="E256">
        <v>126</v>
      </c>
      <c r="F256" t="s">
        <v>322</v>
      </c>
      <c r="G256">
        <v>64.3</v>
      </c>
      <c r="H256">
        <v>107</v>
      </c>
      <c r="I256">
        <v>428</v>
      </c>
      <c r="J256" t="s">
        <v>1282</v>
      </c>
      <c r="K256">
        <v>107</v>
      </c>
      <c r="L256" s="3" t="s">
        <v>1035</v>
      </c>
      <c r="M256" s="4">
        <v>0</v>
      </c>
      <c r="N256" s="4">
        <v>0</v>
      </c>
      <c r="O256" s="4">
        <v>1</v>
      </c>
      <c r="P256" s="4">
        <v>0</v>
      </c>
      <c r="Q256" s="5" t="s">
        <v>1039</v>
      </c>
      <c r="Y256" t="s">
        <v>324</v>
      </c>
      <c r="Z256" s="2" t="s">
        <v>324</v>
      </c>
      <c r="AA256" t="s">
        <v>324</v>
      </c>
      <c r="AB256" t="s">
        <v>324</v>
      </c>
      <c r="AC256" t="s">
        <v>324</v>
      </c>
      <c r="AD256" t="s">
        <v>324</v>
      </c>
      <c r="AE256" t="s">
        <v>324</v>
      </c>
      <c r="AF256" t="s">
        <v>324</v>
      </c>
      <c r="AG256" s="2" t="s">
        <v>324</v>
      </c>
      <c r="AH256" t="s">
        <v>324</v>
      </c>
      <c r="AI256" t="s">
        <v>324</v>
      </c>
      <c r="AJ256" s="2" t="s">
        <v>324</v>
      </c>
      <c r="AK256" t="s">
        <v>324</v>
      </c>
      <c r="AL256" t="s">
        <v>324</v>
      </c>
      <c r="AM256" s="2" t="s">
        <v>324</v>
      </c>
      <c r="AN256" t="s">
        <v>324</v>
      </c>
      <c r="AO256" s="2" t="str">
        <f>HYPERLINK("http://exon.niaid.nih.gov/transcriptome/Tx_amboinensis_sialome/Table_1/links/SMART\TX-contig_428-SMART.txt","PTPc")</f>
        <v>PTPc</v>
      </c>
      <c r="AP256" t="str">
        <f>HYPERLINK("http://smart.embl-heidelberg.de/smart/do_annotation.pl?DOMAIN=PTPc&amp;BLAST=DUMMY","0.56")</f>
        <v>0.56</v>
      </c>
      <c r="AQ256" s="2" t="s">
        <v>324</v>
      </c>
      <c r="AR256" t="s">
        <v>324</v>
      </c>
      <c r="AS256" s="2" t="s">
        <v>324</v>
      </c>
      <c r="AT256" t="s">
        <v>324</v>
      </c>
    </row>
    <row r="257" spans="1:46" ht="11.25">
      <c r="A257" t="str">
        <f>HYPERLINK("http://exon.niaid.nih.gov/transcriptome/Tx_amboinensis_sialome/Table_1/links/TX-contig_436.txt","TX-contig_436")</f>
        <v>TX-contig_436</v>
      </c>
      <c r="B257" t="str">
        <f>HYPERLINK("http://exon.niaid.nih.gov/transcriptome/Tx_amboinensis_sialome/Table_1/links/TX-5-90-90-asb-436.txt","Contig-436")</f>
        <v>Contig-436</v>
      </c>
      <c r="C257" t="str">
        <f>HYPERLINK("http://exon.niaid.nih.gov/transcriptome/Tx_amboinensis_sialome/Table_1/links/TX-5-90-90-436-CLU.txt","Contig436")</f>
        <v>Contig436</v>
      </c>
      <c r="D257" s="4">
        <v>1</v>
      </c>
      <c r="E257">
        <v>125</v>
      </c>
      <c r="F257" t="s">
        <v>322</v>
      </c>
      <c r="G257">
        <v>71.2</v>
      </c>
      <c r="H257">
        <v>106</v>
      </c>
      <c r="I257">
        <v>436</v>
      </c>
      <c r="J257" t="s">
        <v>1290</v>
      </c>
      <c r="K257">
        <v>106</v>
      </c>
      <c r="L257" s="3" t="s">
        <v>1035</v>
      </c>
      <c r="M257" s="4">
        <v>0</v>
      </c>
      <c r="N257" s="4">
        <v>0</v>
      </c>
      <c r="O257" s="4">
        <v>1</v>
      </c>
      <c r="P257" s="4">
        <v>0</v>
      </c>
      <c r="Q257" s="5" t="s">
        <v>1039</v>
      </c>
      <c r="Y257" t="s">
        <v>324</v>
      </c>
      <c r="Z257" s="2" t="s">
        <v>324</v>
      </c>
      <c r="AA257" t="s">
        <v>324</v>
      </c>
      <c r="AB257" t="s">
        <v>324</v>
      </c>
      <c r="AC257" t="s">
        <v>324</v>
      </c>
      <c r="AD257" t="s">
        <v>324</v>
      </c>
      <c r="AE257" t="s">
        <v>324</v>
      </c>
      <c r="AF257" t="s">
        <v>324</v>
      </c>
      <c r="AG257" s="2" t="s">
        <v>324</v>
      </c>
      <c r="AH257" t="s">
        <v>324</v>
      </c>
      <c r="AI257" t="s">
        <v>324</v>
      </c>
      <c r="AJ257" s="2" t="s">
        <v>324</v>
      </c>
      <c r="AK257" t="s">
        <v>324</v>
      </c>
      <c r="AL257" t="s">
        <v>324</v>
      </c>
      <c r="AM257" s="2" t="str">
        <f>HYPERLINK("http://exon.niaid.nih.gov/transcriptome/Tx_amboinensis_sialome/Table_1/links/PFAM\TX-contig_436-PFAM.txt","CLAG")</f>
        <v>CLAG</v>
      </c>
      <c r="AN257" t="str">
        <f>HYPERLINK("http://pfam.wustl.edu/cgi-bin/getdesc?acc=PF03805","0.76")</f>
        <v>0.76</v>
      </c>
      <c r="AO257" s="2" t="s">
        <v>324</v>
      </c>
      <c r="AP257" t="s">
        <v>324</v>
      </c>
      <c r="AQ257" s="2" t="s">
        <v>324</v>
      </c>
      <c r="AR257" t="s">
        <v>324</v>
      </c>
      <c r="AS257" s="2" t="s">
        <v>324</v>
      </c>
      <c r="AT257" t="s">
        <v>324</v>
      </c>
    </row>
    <row r="258" spans="1:46" ht="11.25">
      <c r="A258" t="str">
        <f>HYPERLINK("http://exon.niaid.nih.gov/transcriptome/Tx_amboinensis_sialome/Table_1/links/TX-contig_437.txt","TX-contig_437")</f>
        <v>TX-contig_437</v>
      </c>
      <c r="B258" t="str">
        <f>HYPERLINK("http://exon.niaid.nih.gov/transcriptome/Tx_amboinensis_sialome/Table_1/links/TX-5-90-90-asb-437.txt","Contig-437")</f>
        <v>Contig-437</v>
      </c>
      <c r="C258" t="str">
        <f>HYPERLINK("http://exon.niaid.nih.gov/transcriptome/Tx_amboinensis_sialome/Table_1/links/TX-5-90-90-437-CLU.txt","Contig437")</f>
        <v>Contig437</v>
      </c>
      <c r="D258" s="4">
        <v>1</v>
      </c>
      <c r="E258">
        <v>288</v>
      </c>
      <c r="F258">
        <v>4.2</v>
      </c>
      <c r="G258">
        <v>65.6</v>
      </c>
      <c r="H258" t="s">
        <v>324</v>
      </c>
      <c r="I258">
        <v>437</v>
      </c>
      <c r="J258" t="s">
        <v>1291</v>
      </c>
      <c r="K258" t="s">
        <v>324</v>
      </c>
      <c r="L258" s="3" t="s">
        <v>1035</v>
      </c>
      <c r="M258" s="4">
        <v>0</v>
      </c>
      <c r="N258" s="4">
        <v>0</v>
      </c>
      <c r="O258" s="4">
        <v>1</v>
      </c>
      <c r="P258" s="4">
        <v>0</v>
      </c>
      <c r="Q258" s="5" t="s">
        <v>1039</v>
      </c>
      <c r="Y258" t="s">
        <v>324</v>
      </c>
      <c r="Z258" s="2" t="s">
        <v>324</v>
      </c>
      <c r="AA258" t="s">
        <v>324</v>
      </c>
      <c r="AB258" t="s">
        <v>324</v>
      </c>
      <c r="AC258" t="s">
        <v>324</v>
      </c>
      <c r="AD258" t="s">
        <v>324</v>
      </c>
      <c r="AE258" t="s">
        <v>324</v>
      </c>
      <c r="AF258" t="s">
        <v>324</v>
      </c>
      <c r="AG258" s="2" t="s">
        <v>324</v>
      </c>
      <c r="AH258" t="s">
        <v>324</v>
      </c>
      <c r="AI258" t="s">
        <v>324</v>
      </c>
      <c r="AJ258" s="2" t="str">
        <f>HYPERLINK("http://exon.niaid.nih.gov/transcriptome/Tx_amboinensis_sialome/Table_1/links/CDD\TX-contig_437-CDD.txt","Dor1")</f>
        <v>Dor1</v>
      </c>
      <c r="AK258" t="str">
        <f>HYPERLINK("http://www.ncbi.nlm.nih.gov/Structure/cdd/cddsrv.cgi?uid=pfam04124&amp;version=v4.0","0.51")</f>
        <v>0.51</v>
      </c>
      <c r="AL258" t="s">
        <v>1002</v>
      </c>
      <c r="AM258" s="2" t="str">
        <f>HYPERLINK("http://exon.niaid.nih.gov/transcriptome/Tx_amboinensis_sialome/Table_1/links/PFAM\TX-contig_437-PFAM.txt","Dor1")</f>
        <v>Dor1</v>
      </c>
      <c r="AN258" t="str">
        <f>HYPERLINK("http://pfam.wustl.edu/cgi-bin/getdesc?acc=PF04124","0.27")</f>
        <v>0.27</v>
      </c>
      <c r="AO258" s="2" t="str">
        <f>HYPERLINK("http://exon.niaid.nih.gov/transcriptome/Tx_amboinensis_sialome/Table_1/links/SMART\TX-contig_437-SMART.txt","PTBI")</f>
        <v>PTBI</v>
      </c>
      <c r="AP258" t="str">
        <f>HYPERLINK("http://smart.embl-heidelberg.de/smart/do_annotation.pl?DOMAIN=PTBI&amp;BLAST=DUMMY","0.51")</f>
        <v>0.51</v>
      </c>
      <c r="AQ258" s="2" t="s">
        <v>324</v>
      </c>
      <c r="AR258" t="s">
        <v>324</v>
      </c>
      <c r="AS258" s="2" t="s">
        <v>324</v>
      </c>
      <c r="AT258" t="s">
        <v>324</v>
      </c>
    </row>
    <row r="259" spans="1:46" ht="11.25">
      <c r="A259" t="str">
        <f>HYPERLINK("http://exon.niaid.nih.gov/transcriptome/Tx_amboinensis_sialome/Table_1/links/TX-contig_445.txt","TX-contig_445")</f>
        <v>TX-contig_445</v>
      </c>
      <c r="B259" t="str">
        <f>HYPERLINK("http://exon.niaid.nih.gov/transcriptome/Tx_amboinensis_sialome/Table_1/links/TX-5-90-90-asb-445.txt","Contig-445")</f>
        <v>Contig-445</v>
      </c>
      <c r="C259" t="str">
        <f>HYPERLINK("http://exon.niaid.nih.gov/transcriptome/Tx_amboinensis_sialome/Table_1/links/TX-5-90-90-445-CLU.txt","Contig445")</f>
        <v>Contig445</v>
      </c>
      <c r="D259" s="4">
        <v>1</v>
      </c>
      <c r="E259">
        <v>120</v>
      </c>
      <c r="F259" t="s">
        <v>322</v>
      </c>
      <c r="G259">
        <v>60</v>
      </c>
      <c r="H259">
        <v>101</v>
      </c>
      <c r="I259">
        <v>445</v>
      </c>
      <c r="J259" t="s">
        <v>615</v>
      </c>
      <c r="K259">
        <v>101</v>
      </c>
      <c r="L259" s="3" t="s">
        <v>1035</v>
      </c>
      <c r="M259" s="4">
        <v>0</v>
      </c>
      <c r="N259" s="4">
        <v>0</v>
      </c>
      <c r="O259" s="4">
        <v>1</v>
      </c>
      <c r="P259" s="4">
        <v>0</v>
      </c>
      <c r="Q259" s="5" t="s">
        <v>1039</v>
      </c>
      <c r="Y259" t="s">
        <v>324</v>
      </c>
      <c r="Z259" s="2" t="s">
        <v>324</v>
      </c>
      <c r="AA259" t="s">
        <v>324</v>
      </c>
      <c r="AB259" t="s">
        <v>324</v>
      </c>
      <c r="AC259" t="s">
        <v>324</v>
      </c>
      <c r="AD259" t="s">
        <v>324</v>
      </c>
      <c r="AE259" t="s">
        <v>324</v>
      </c>
      <c r="AF259" t="s">
        <v>324</v>
      </c>
      <c r="AG259" s="2" t="s">
        <v>324</v>
      </c>
      <c r="AH259" t="s">
        <v>324</v>
      </c>
      <c r="AI259" t="s">
        <v>324</v>
      </c>
      <c r="AJ259" s="2" t="s">
        <v>324</v>
      </c>
      <c r="AK259" t="s">
        <v>324</v>
      </c>
      <c r="AL259" t="s">
        <v>324</v>
      </c>
      <c r="AM259" s="2" t="str">
        <f>HYPERLINK("http://exon.niaid.nih.gov/transcriptome/Tx_amboinensis_sialome/Table_1/links/PFAM\TX-contig_445-PFAM.txt","Ribophorin_I")</f>
        <v>Ribophorin_I</v>
      </c>
      <c r="AN259" t="str">
        <f>HYPERLINK("http://pfam.wustl.edu/cgi-bin/getdesc?acc=PF04597","0.94")</f>
        <v>0.94</v>
      </c>
      <c r="AO259" s="2" t="str">
        <f>HYPERLINK("http://exon.niaid.nih.gov/transcriptome/Tx_amboinensis_sialome/Table_1/links/SMART\TX-contig_445-SMART.txt","LIGANc")</f>
        <v>LIGANc</v>
      </c>
      <c r="AP259" t="str">
        <f>HYPERLINK("http://smart.embl-heidelberg.de/smart/do_annotation.pl?DOMAIN=LIGANc&amp;BLAST=DUMMY","0.46")</f>
        <v>0.46</v>
      </c>
      <c r="AQ259" s="2" t="s">
        <v>324</v>
      </c>
      <c r="AR259" t="s">
        <v>324</v>
      </c>
      <c r="AS259" s="2" t="s">
        <v>324</v>
      </c>
      <c r="AT259" t="s">
        <v>324</v>
      </c>
    </row>
    <row r="260" spans="1:46" ht="11.25">
      <c r="A260" t="str">
        <f>HYPERLINK("http://exon.niaid.nih.gov/transcriptome/Tx_amboinensis_sialome/Table_1/links/TX-contig_446.txt","TX-contig_446")</f>
        <v>TX-contig_446</v>
      </c>
      <c r="B260" t="str">
        <f>HYPERLINK("http://exon.niaid.nih.gov/transcriptome/Tx_amboinensis_sialome/Table_1/links/TX-5-90-90-asb-446.txt","Contig-446")</f>
        <v>Contig-446</v>
      </c>
      <c r="C260" t="str">
        <f>HYPERLINK("http://exon.niaid.nih.gov/transcriptome/Tx_amboinensis_sialome/Table_1/links/TX-5-90-90-446-CLU.txt","Contig446")</f>
        <v>Contig446</v>
      </c>
      <c r="D260" s="4">
        <v>1</v>
      </c>
      <c r="E260">
        <v>128</v>
      </c>
      <c r="F260">
        <v>1.6</v>
      </c>
      <c r="G260">
        <v>56.3</v>
      </c>
      <c r="H260">
        <v>109</v>
      </c>
      <c r="I260">
        <v>446</v>
      </c>
      <c r="J260" t="s">
        <v>616</v>
      </c>
      <c r="K260">
        <v>109</v>
      </c>
      <c r="L260" s="3" t="s">
        <v>1035</v>
      </c>
      <c r="M260" s="4">
        <v>0</v>
      </c>
      <c r="N260" s="4">
        <v>0</v>
      </c>
      <c r="O260" s="4">
        <v>1</v>
      </c>
      <c r="P260" s="4">
        <v>0</v>
      </c>
      <c r="Q260" s="5" t="s">
        <v>1039</v>
      </c>
      <c r="Y260" t="s">
        <v>324</v>
      </c>
      <c r="Z260" s="2" t="s">
        <v>324</v>
      </c>
      <c r="AA260" t="s">
        <v>324</v>
      </c>
      <c r="AB260" t="s">
        <v>324</v>
      </c>
      <c r="AC260" t="s">
        <v>324</v>
      </c>
      <c r="AD260" t="s">
        <v>324</v>
      </c>
      <c r="AE260" t="s">
        <v>324</v>
      </c>
      <c r="AF260" t="s">
        <v>324</v>
      </c>
      <c r="AG260" s="2" t="s">
        <v>324</v>
      </c>
      <c r="AH260" t="s">
        <v>324</v>
      </c>
      <c r="AI260" t="s">
        <v>324</v>
      </c>
      <c r="AJ260" s="2" t="s">
        <v>324</v>
      </c>
      <c r="AK260" t="s">
        <v>324</v>
      </c>
      <c r="AL260" t="s">
        <v>324</v>
      </c>
      <c r="AM260" s="2" t="s">
        <v>324</v>
      </c>
      <c r="AN260" t="s">
        <v>324</v>
      </c>
      <c r="AO260" s="2" t="s">
        <v>324</v>
      </c>
      <c r="AP260" t="s">
        <v>324</v>
      </c>
      <c r="AQ260" s="2" t="s">
        <v>324</v>
      </c>
      <c r="AR260" t="s">
        <v>324</v>
      </c>
      <c r="AS260" s="2" t="s">
        <v>324</v>
      </c>
      <c r="AT260" t="s">
        <v>324</v>
      </c>
    </row>
    <row r="261" spans="1:46" ht="11.25">
      <c r="A261" t="str">
        <f>HYPERLINK("http://exon.niaid.nih.gov/transcriptome/Tx_amboinensis_sialome/Table_1/links/TX-contig_450.txt","TX-contig_450")</f>
        <v>TX-contig_450</v>
      </c>
      <c r="B261" t="str">
        <f>HYPERLINK("http://exon.niaid.nih.gov/transcriptome/Tx_amboinensis_sialome/Table_1/links/TX-5-90-90-asb-450.txt","Contig-450")</f>
        <v>Contig-450</v>
      </c>
      <c r="C261" t="str">
        <f>HYPERLINK("http://exon.niaid.nih.gov/transcriptome/Tx_amboinensis_sialome/Table_1/links/TX-5-90-90-450-CLU.txt","Contig450")</f>
        <v>Contig450</v>
      </c>
      <c r="D261" s="4">
        <v>1</v>
      </c>
      <c r="E261">
        <v>121</v>
      </c>
      <c r="F261" t="s">
        <v>322</v>
      </c>
      <c r="G261">
        <v>87.6</v>
      </c>
      <c r="H261">
        <v>41</v>
      </c>
      <c r="I261">
        <v>450</v>
      </c>
      <c r="J261" t="s">
        <v>620</v>
      </c>
      <c r="K261">
        <v>41</v>
      </c>
      <c r="L261" s="3" t="s">
        <v>1035</v>
      </c>
      <c r="M261" s="4">
        <v>0</v>
      </c>
      <c r="N261" s="4">
        <v>0</v>
      </c>
      <c r="O261" s="4">
        <v>1</v>
      </c>
      <c r="P261" s="4">
        <v>0</v>
      </c>
      <c r="Q261" s="5" t="s">
        <v>1039</v>
      </c>
      <c r="Y261" t="s">
        <v>324</v>
      </c>
      <c r="Z261" s="2" t="s">
        <v>324</v>
      </c>
      <c r="AA261" t="s">
        <v>324</v>
      </c>
      <c r="AB261" t="s">
        <v>324</v>
      </c>
      <c r="AC261" t="s">
        <v>324</v>
      </c>
      <c r="AD261" t="s">
        <v>324</v>
      </c>
      <c r="AE261" t="s">
        <v>324</v>
      </c>
      <c r="AF261" t="s">
        <v>324</v>
      </c>
      <c r="AG261" s="2" t="s">
        <v>324</v>
      </c>
      <c r="AH261" t="s">
        <v>324</v>
      </c>
      <c r="AI261" t="s">
        <v>324</v>
      </c>
      <c r="AJ261" s="2" t="s">
        <v>324</v>
      </c>
      <c r="AK261" t="s">
        <v>324</v>
      </c>
      <c r="AL261" t="s">
        <v>324</v>
      </c>
      <c r="AM261" s="2" t="s">
        <v>324</v>
      </c>
      <c r="AN261" t="s">
        <v>324</v>
      </c>
      <c r="AO261" s="2" t="s">
        <v>324</v>
      </c>
      <c r="AP261" t="s">
        <v>324</v>
      </c>
      <c r="AQ261" s="2" t="s">
        <v>324</v>
      </c>
      <c r="AR261" t="s">
        <v>324</v>
      </c>
      <c r="AS261" s="2" t="s">
        <v>324</v>
      </c>
      <c r="AT261" t="s">
        <v>324</v>
      </c>
    </row>
    <row r="262" spans="1:46" ht="11.25">
      <c r="A262" t="str">
        <f>HYPERLINK("http://exon.niaid.nih.gov/transcriptome/Tx_amboinensis_sialome/Table_1/links/TX-contig_460.txt","TX-contig_460")</f>
        <v>TX-contig_460</v>
      </c>
      <c r="B262" t="str">
        <f>HYPERLINK("http://exon.niaid.nih.gov/transcriptome/Tx_amboinensis_sialome/Table_1/links/TX-5-90-90-asb-460.txt","Contig-460")</f>
        <v>Contig-460</v>
      </c>
      <c r="C262" t="str">
        <f>HYPERLINK("http://exon.niaid.nih.gov/transcriptome/Tx_amboinensis_sialome/Table_1/links/TX-5-90-90-460-CLU.txt","Contig460")</f>
        <v>Contig460</v>
      </c>
      <c r="D262" s="4">
        <v>1</v>
      </c>
      <c r="E262">
        <v>131</v>
      </c>
      <c r="F262" t="s">
        <v>322</v>
      </c>
      <c r="G262">
        <v>80.2</v>
      </c>
      <c r="H262">
        <v>56</v>
      </c>
      <c r="I262">
        <v>460</v>
      </c>
      <c r="J262" t="s">
        <v>630</v>
      </c>
      <c r="K262">
        <v>56</v>
      </c>
      <c r="L262" s="3" t="s">
        <v>1035</v>
      </c>
      <c r="M262" s="4">
        <v>0</v>
      </c>
      <c r="N262" s="4">
        <v>0</v>
      </c>
      <c r="O262" s="4">
        <v>2</v>
      </c>
      <c r="P262" s="4">
        <v>0</v>
      </c>
      <c r="Q262" s="5" t="s">
        <v>1039</v>
      </c>
      <c r="Y262" t="s">
        <v>324</v>
      </c>
      <c r="Z262" s="2" t="s">
        <v>324</v>
      </c>
      <c r="AA262" t="s">
        <v>324</v>
      </c>
      <c r="AB262" t="s">
        <v>324</v>
      </c>
      <c r="AC262" t="s">
        <v>324</v>
      </c>
      <c r="AD262" t="s">
        <v>324</v>
      </c>
      <c r="AE262" t="s">
        <v>324</v>
      </c>
      <c r="AF262" t="s">
        <v>324</v>
      </c>
      <c r="AG262" s="2" t="s">
        <v>324</v>
      </c>
      <c r="AH262" t="s">
        <v>324</v>
      </c>
      <c r="AI262" t="s">
        <v>324</v>
      </c>
      <c r="AJ262" s="2" t="s">
        <v>324</v>
      </c>
      <c r="AK262" t="s">
        <v>324</v>
      </c>
      <c r="AL262" t="s">
        <v>324</v>
      </c>
      <c r="AM262" s="2" t="s">
        <v>324</v>
      </c>
      <c r="AN262" t="s">
        <v>324</v>
      </c>
      <c r="AO262" s="2" t="s">
        <v>324</v>
      </c>
      <c r="AP262" t="s">
        <v>324</v>
      </c>
      <c r="AQ262" s="2" t="s">
        <v>324</v>
      </c>
      <c r="AR262" t="s">
        <v>324</v>
      </c>
      <c r="AS262" s="2" t="s">
        <v>324</v>
      </c>
      <c r="AT262" t="s">
        <v>324</v>
      </c>
    </row>
    <row r="263" spans="1:46" ht="11.25">
      <c r="A263" t="str">
        <f>HYPERLINK("http://exon.niaid.nih.gov/transcriptome/Tx_amboinensis_sialome/Table_1/links/TX-contig_463.txt","TX-contig_463")</f>
        <v>TX-contig_463</v>
      </c>
      <c r="B263" t="str">
        <f>HYPERLINK("http://exon.niaid.nih.gov/transcriptome/Tx_amboinensis_sialome/Table_1/links/TX-5-90-90-asb-463.txt","Contig-463")</f>
        <v>Contig-463</v>
      </c>
      <c r="C263" t="str">
        <f>HYPERLINK("http://exon.niaid.nih.gov/transcriptome/Tx_amboinensis_sialome/Table_1/links/TX-5-90-90-463-CLU.txt","Contig463")</f>
        <v>Contig463</v>
      </c>
      <c r="D263" s="4">
        <v>1</v>
      </c>
      <c r="E263">
        <v>154</v>
      </c>
      <c r="F263" t="s">
        <v>322</v>
      </c>
      <c r="G263">
        <v>64.3</v>
      </c>
      <c r="H263">
        <v>135</v>
      </c>
      <c r="I263">
        <v>463</v>
      </c>
      <c r="J263" t="s">
        <v>633</v>
      </c>
      <c r="K263">
        <v>135</v>
      </c>
      <c r="L263" s="3" t="s">
        <v>1035</v>
      </c>
      <c r="M263" s="4">
        <v>0</v>
      </c>
      <c r="N263" s="4">
        <v>0</v>
      </c>
      <c r="O263" s="4">
        <v>1</v>
      </c>
      <c r="P263" s="4">
        <v>0</v>
      </c>
      <c r="Q263" s="5" t="s">
        <v>1039</v>
      </c>
      <c r="Y263" t="s">
        <v>324</v>
      </c>
      <c r="Z263" s="2" t="s">
        <v>324</v>
      </c>
      <c r="AA263" t="s">
        <v>324</v>
      </c>
      <c r="AB263" t="s">
        <v>324</v>
      </c>
      <c r="AC263" t="s">
        <v>324</v>
      </c>
      <c r="AD263" t="s">
        <v>324</v>
      </c>
      <c r="AE263" t="s">
        <v>324</v>
      </c>
      <c r="AF263" t="s">
        <v>324</v>
      </c>
      <c r="AG263" s="2" t="s">
        <v>324</v>
      </c>
      <c r="AH263" t="s">
        <v>324</v>
      </c>
      <c r="AI263" t="s">
        <v>324</v>
      </c>
      <c r="AJ263" s="2" t="s">
        <v>324</v>
      </c>
      <c r="AK263" t="s">
        <v>324</v>
      </c>
      <c r="AL263" t="s">
        <v>324</v>
      </c>
      <c r="AM263" s="2" t="s">
        <v>324</v>
      </c>
      <c r="AN263" t="s">
        <v>324</v>
      </c>
      <c r="AO263" s="2" t="str">
        <f>HYPERLINK("http://exon.niaid.nih.gov/transcriptome/Tx_amboinensis_sialome/Table_1/links/SMART\TX-contig_463-SMART.txt","ZnF_TTF")</f>
        <v>ZnF_TTF</v>
      </c>
      <c r="AP263" t="str">
        <f>HYPERLINK("http://smart.embl-heidelberg.de/smart/do_annotation.pl?DOMAIN=ZnF_TTF&amp;BLAST=DUMMY","0.51")</f>
        <v>0.51</v>
      </c>
      <c r="AQ263" s="2" t="s">
        <v>324</v>
      </c>
      <c r="AR263" t="s">
        <v>324</v>
      </c>
      <c r="AS263" s="2" t="s">
        <v>324</v>
      </c>
      <c r="AT263" t="s">
        <v>324</v>
      </c>
    </row>
    <row r="264" spans="1:46" ht="11.25">
      <c r="A264" t="str">
        <f>HYPERLINK("http://exon.niaid.nih.gov/transcriptome/Tx_amboinensis_sialome/Table_1/links/TX-contig_465.txt","TX-contig_465")</f>
        <v>TX-contig_465</v>
      </c>
      <c r="B264" t="str">
        <f>HYPERLINK("http://exon.niaid.nih.gov/transcriptome/Tx_amboinensis_sialome/Table_1/links/TX-5-90-90-asb-465.txt","Contig-465")</f>
        <v>Contig-465</v>
      </c>
      <c r="C264" t="str">
        <f>HYPERLINK("http://exon.niaid.nih.gov/transcriptome/Tx_amboinensis_sialome/Table_1/links/TX-5-90-90-465-CLU.txt","Contig465")</f>
        <v>Contig465</v>
      </c>
      <c r="D264" s="4">
        <v>1</v>
      </c>
      <c r="E264">
        <v>129</v>
      </c>
      <c r="F264">
        <v>1.6</v>
      </c>
      <c r="G264">
        <v>87.6</v>
      </c>
      <c r="H264">
        <v>53</v>
      </c>
      <c r="I264">
        <v>465</v>
      </c>
      <c r="J264" t="s">
        <v>635</v>
      </c>
      <c r="K264">
        <v>53</v>
      </c>
      <c r="L264" s="3" t="s">
        <v>1035</v>
      </c>
      <c r="M264" s="4">
        <v>0</v>
      </c>
      <c r="N264" s="4">
        <v>0</v>
      </c>
      <c r="O264" s="4">
        <v>1</v>
      </c>
      <c r="P264" s="4">
        <v>0</v>
      </c>
      <c r="Q264" s="5" t="s">
        <v>1039</v>
      </c>
      <c r="Y264" t="s">
        <v>324</v>
      </c>
      <c r="Z264" s="2" t="s">
        <v>324</v>
      </c>
      <c r="AA264" t="s">
        <v>324</v>
      </c>
      <c r="AB264" t="s">
        <v>324</v>
      </c>
      <c r="AC264" t="s">
        <v>324</v>
      </c>
      <c r="AD264" t="s">
        <v>324</v>
      </c>
      <c r="AE264" t="s">
        <v>324</v>
      </c>
      <c r="AF264" t="s">
        <v>324</v>
      </c>
      <c r="AG264" s="2" t="s">
        <v>324</v>
      </c>
      <c r="AH264" t="s">
        <v>324</v>
      </c>
      <c r="AI264" t="s">
        <v>324</v>
      </c>
      <c r="AJ264" s="2" t="s">
        <v>324</v>
      </c>
      <c r="AK264" t="s">
        <v>324</v>
      </c>
      <c r="AL264" t="s">
        <v>324</v>
      </c>
      <c r="AM264" s="2" t="s">
        <v>324</v>
      </c>
      <c r="AN264" t="s">
        <v>324</v>
      </c>
      <c r="AO264" s="2" t="s">
        <v>324</v>
      </c>
      <c r="AP264" t="s">
        <v>324</v>
      </c>
      <c r="AQ264" s="2" t="s">
        <v>324</v>
      </c>
      <c r="AR264" t="s">
        <v>324</v>
      </c>
      <c r="AS264" s="2" t="s">
        <v>324</v>
      </c>
      <c r="AT264" t="s">
        <v>324</v>
      </c>
    </row>
    <row r="265" spans="1:46" ht="11.25">
      <c r="A265" t="str">
        <f>HYPERLINK("http://exon.niaid.nih.gov/transcriptome/Tx_amboinensis_sialome/Table_1/links/TX-contig_466.txt","TX-contig_466")</f>
        <v>TX-contig_466</v>
      </c>
      <c r="B265" t="str">
        <f>HYPERLINK("http://exon.niaid.nih.gov/transcriptome/Tx_amboinensis_sialome/Table_1/links/TX-5-90-90-asb-466.txt","Contig-466")</f>
        <v>Contig-466</v>
      </c>
      <c r="C265" t="str">
        <f>HYPERLINK("http://exon.niaid.nih.gov/transcriptome/Tx_amboinensis_sialome/Table_1/links/TX-5-90-90-466-CLU.txt","Contig466")</f>
        <v>Contig466</v>
      </c>
      <c r="D265" s="4">
        <v>1</v>
      </c>
      <c r="E265">
        <v>148</v>
      </c>
      <c r="F265" t="s">
        <v>322</v>
      </c>
      <c r="G265">
        <v>75</v>
      </c>
      <c r="H265">
        <v>97</v>
      </c>
      <c r="I265">
        <v>466</v>
      </c>
      <c r="J265" t="s">
        <v>636</v>
      </c>
      <c r="K265">
        <v>97</v>
      </c>
      <c r="L265" s="3" t="s">
        <v>1035</v>
      </c>
      <c r="M265" s="4">
        <v>0</v>
      </c>
      <c r="N265" s="4">
        <v>0</v>
      </c>
      <c r="O265" s="4">
        <v>2</v>
      </c>
      <c r="P265" s="4">
        <v>0</v>
      </c>
      <c r="Q265" s="5" t="s">
        <v>1039</v>
      </c>
      <c r="Y265" t="s">
        <v>324</v>
      </c>
      <c r="Z265" s="2" t="s">
        <v>324</v>
      </c>
      <c r="AA265" t="s">
        <v>324</v>
      </c>
      <c r="AB265" t="s">
        <v>324</v>
      </c>
      <c r="AC265" t="s">
        <v>324</v>
      </c>
      <c r="AD265" t="s">
        <v>324</v>
      </c>
      <c r="AE265" t="s">
        <v>324</v>
      </c>
      <c r="AF265" t="s">
        <v>324</v>
      </c>
      <c r="AG265" s="2" t="s">
        <v>324</v>
      </c>
      <c r="AH265" t="s">
        <v>324</v>
      </c>
      <c r="AI265" t="s">
        <v>324</v>
      </c>
      <c r="AJ265" s="2" t="str">
        <f>HYPERLINK("http://exon.niaid.nih.gov/transcriptome/Tx_amboinensis_sialome/Table_1/links/CDD\TX-contig_466-CDD.txt","COG3968")</f>
        <v>COG3968</v>
      </c>
      <c r="AK265" t="str">
        <f>HYPERLINK("http://www.ncbi.nlm.nih.gov/Structure/cdd/cddsrv.cgi?uid=COG3968&amp;version=v4.0","0.19")</f>
        <v>0.19</v>
      </c>
      <c r="AL265" t="s">
        <v>776</v>
      </c>
      <c r="AM265" s="2" t="str">
        <f>HYPERLINK("http://exon.niaid.nih.gov/transcriptome/Tx_amboinensis_sialome/Table_1/links/PFAM\TX-contig_466-PFAM.txt","Glyco_transf_15")</f>
        <v>Glyco_transf_15</v>
      </c>
      <c r="AN265" t="str">
        <f>HYPERLINK("http://pfam.wustl.edu/cgi-bin/getdesc?acc=PF01793","0.82")</f>
        <v>0.82</v>
      </c>
      <c r="AO265" s="2" t="s">
        <v>324</v>
      </c>
      <c r="AP265" t="s">
        <v>324</v>
      </c>
      <c r="AQ265" s="2" t="s">
        <v>324</v>
      </c>
      <c r="AR265" t="s">
        <v>324</v>
      </c>
      <c r="AS265" s="2" t="s">
        <v>324</v>
      </c>
      <c r="AT265" t="s">
        <v>324</v>
      </c>
    </row>
    <row r="266" spans="1:46" ht="11.25">
      <c r="A266" t="str">
        <f>HYPERLINK("http://exon.niaid.nih.gov/transcriptome/Tx_amboinensis_sialome/Table_1/links/TX-contig_469.txt","TX-contig_469")</f>
        <v>TX-contig_469</v>
      </c>
      <c r="B266" t="str">
        <f>HYPERLINK("http://exon.niaid.nih.gov/transcriptome/Tx_amboinensis_sialome/Table_1/links/TX-5-90-90-asb-469.txt","Contig-469")</f>
        <v>Contig-469</v>
      </c>
      <c r="C266" t="str">
        <f>HYPERLINK("http://exon.niaid.nih.gov/transcriptome/Tx_amboinensis_sialome/Table_1/links/TX-5-90-90-469-CLU.txt","Contig469")</f>
        <v>Contig469</v>
      </c>
      <c r="D266" s="4">
        <v>1</v>
      </c>
      <c r="E266">
        <v>202</v>
      </c>
      <c r="F266" t="s">
        <v>322</v>
      </c>
      <c r="G266">
        <v>60.4</v>
      </c>
      <c r="H266">
        <v>183</v>
      </c>
      <c r="I266">
        <v>469</v>
      </c>
      <c r="J266" t="s">
        <v>639</v>
      </c>
      <c r="K266">
        <v>183</v>
      </c>
      <c r="L266" s="3" t="s">
        <v>1035</v>
      </c>
      <c r="M266" s="4">
        <v>0</v>
      </c>
      <c r="N266" s="4">
        <v>0</v>
      </c>
      <c r="O266" s="4">
        <v>3</v>
      </c>
      <c r="P266" s="4">
        <v>0</v>
      </c>
      <c r="Q266" s="5" t="s">
        <v>1039</v>
      </c>
      <c r="Y266" t="s">
        <v>324</v>
      </c>
      <c r="Z266" s="2" t="s">
        <v>324</v>
      </c>
      <c r="AA266" t="s">
        <v>324</v>
      </c>
      <c r="AB266" t="s">
        <v>324</v>
      </c>
      <c r="AC266" t="s">
        <v>324</v>
      </c>
      <c r="AD266" t="s">
        <v>324</v>
      </c>
      <c r="AE266" t="s">
        <v>324</v>
      </c>
      <c r="AF266" t="s">
        <v>324</v>
      </c>
      <c r="AG266" s="2" t="s">
        <v>324</v>
      </c>
      <c r="AH266" t="s">
        <v>324</v>
      </c>
      <c r="AI266" t="s">
        <v>324</v>
      </c>
      <c r="AJ266" s="2" t="str">
        <f>HYPERLINK("http://exon.niaid.nih.gov/transcriptome/Tx_amboinensis_sialome/Table_1/links/CDD\TX-contig_469-CDD.txt","Glyco_hydro_4")</f>
        <v>Glyco_hydro_4</v>
      </c>
      <c r="AK266" t="str">
        <f>HYPERLINK("http://www.ncbi.nlm.nih.gov/Structure/cdd/cddsrv.cgi?uid=pfam02056&amp;version=v4.0","0.79")</f>
        <v>0.79</v>
      </c>
      <c r="AL266" t="s">
        <v>1024</v>
      </c>
      <c r="AM266" s="2" t="str">
        <f>HYPERLINK("http://exon.niaid.nih.gov/transcriptome/Tx_amboinensis_sialome/Table_1/links/PFAM\TX-contig_469-PFAM.txt","Glyco_hydro_4")</f>
        <v>Glyco_hydro_4</v>
      </c>
      <c r="AN266" t="str">
        <f>HYPERLINK("http://pfam.wustl.edu/cgi-bin/getdesc?acc=PF02056","0.42")</f>
        <v>0.42</v>
      </c>
      <c r="AO266" s="2" t="s">
        <v>324</v>
      </c>
      <c r="AP266" t="s">
        <v>324</v>
      </c>
      <c r="AQ266" s="2" t="s">
        <v>324</v>
      </c>
      <c r="AR266" t="s">
        <v>324</v>
      </c>
      <c r="AS266" s="2" t="s">
        <v>324</v>
      </c>
      <c r="AT266" t="s">
        <v>324</v>
      </c>
    </row>
    <row r="267" spans="1:46" ht="11.25">
      <c r="A267" t="str">
        <f>HYPERLINK("http://exon.niaid.nih.gov/transcriptome/Tx_amboinensis_sialome/Table_1/links/TX-contig_473.txt","TX-contig_473")</f>
        <v>TX-contig_473</v>
      </c>
      <c r="B267" t="str">
        <f>HYPERLINK("http://exon.niaid.nih.gov/transcriptome/Tx_amboinensis_sialome/Table_1/links/TX-5-90-90-asb-473.txt","Contig-473")</f>
        <v>Contig-473</v>
      </c>
      <c r="C267" t="str">
        <f>HYPERLINK("http://exon.niaid.nih.gov/transcriptome/Tx_amboinensis_sialome/Table_1/links/TX-5-90-90-473-CLU.txt","Contig473")</f>
        <v>Contig473</v>
      </c>
      <c r="D267" s="4">
        <v>1</v>
      </c>
      <c r="E267">
        <v>127</v>
      </c>
      <c r="F267" t="s">
        <v>322</v>
      </c>
      <c r="G267">
        <v>62.2</v>
      </c>
      <c r="H267">
        <v>108</v>
      </c>
      <c r="I267">
        <v>473</v>
      </c>
      <c r="J267" t="s">
        <v>643</v>
      </c>
      <c r="K267">
        <v>108</v>
      </c>
      <c r="L267" s="3" t="s">
        <v>1035</v>
      </c>
      <c r="M267" s="4">
        <v>0</v>
      </c>
      <c r="N267" s="4">
        <v>0</v>
      </c>
      <c r="O267" s="4">
        <v>1</v>
      </c>
      <c r="P267" s="4">
        <v>0</v>
      </c>
      <c r="Q267" s="5" t="s">
        <v>1039</v>
      </c>
      <c r="Y267" t="s">
        <v>324</v>
      </c>
      <c r="Z267" s="2" t="s">
        <v>324</v>
      </c>
      <c r="AA267" t="s">
        <v>324</v>
      </c>
      <c r="AB267" t="s">
        <v>324</v>
      </c>
      <c r="AC267" t="s">
        <v>324</v>
      </c>
      <c r="AD267" t="s">
        <v>324</v>
      </c>
      <c r="AE267" t="s">
        <v>324</v>
      </c>
      <c r="AF267" t="s">
        <v>324</v>
      </c>
      <c r="AG267" s="2" t="s">
        <v>324</v>
      </c>
      <c r="AH267" t="s">
        <v>324</v>
      </c>
      <c r="AI267" t="s">
        <v>324</v>
      </c>
      <c r="AJ267" s="2" t="s">
        <v>324</v>
      </c>
      <c r="AK267" t="s">
        <v>324</v>
      </c>
      <c r="AL267" t="s">
        <v>324</v>
      </c>
      <c r="AM267" s="2" t="s">
        <v>324</v>
      </c>
      <c r="AN267" t="s">
        <v>324</v>
      </c>
      <c r="AO267" s="2" t="s">
        <v>324</v>
      </c>
      <c r="AP267" t="s">
        <v>324</v>
      </c>
      <c r="AQ267" s="2" t="s">
        <v>324</v>
      </c>
      <c r="AR267" t="s">
        <v>324</v>
      </c>
      <c r="AS267" s="2" t="s">
        <v>324</v>
      </c>
      <c r="AT267" t="s">
        <v>324</v>
      </c>
    </row>
    <row r="268" spans="1:46" ht="11.25">
      <c r="A268" t="str">
        <f>HYPERLINK("http://exon.niaid.nih.gov/transcriptome/Tx_amboinensis_sialome/Table_1/links/TX-contig_474.txt","TX-contig_474")</f>
        <v>TX-contig_474</v>
      </c>
      <c r="B268" t="str">
        <f>HYPERLINK("http://exon.niaid.nih.gov/transcriptome/Tx_amboinensis_sialome/Table_1/links/TX-5-90-90-asb-474.txt","Contig-474")</f>
        <v>Contig-474</v>
      </c>
      <c r="C268" t="str">
        <f>HYPERLINK("http://exon.niaid.nih.gov/transcriptome/Tx_amboinensis_sialome/Table_1/links/TX-5-90-90-474-CLU.txt","Contig474")</f>
        <v>Contig474</v>
      </c>
      <c r="D268" s="4">
        <v>1</v>
      </c>
      <c r="E268">
        <v>158</v>
      </c>
      <c r="F268" t="s">
        <v>322</v>
      </c>
      <c r="G268">
        <v>55.1</v>
      </c>
      <c r="H268">
        <v>139</v>
      </c>
      <c r="I268">
        <v>474</v>
      </c>
      <c r="J268" t="s">
        <v>644</v>
      </c>
      <c r="K268">
        <v>139</v>
      </c>
      <c r="L268" s="3" t="s">
        <v>1035</v>
      </c>
      <c r="M268" s="4">
        <v>0</v>
      </c>
      <c r="N268" s="4">
        <v>0</v>
      </c>
      <c r="O268" s="4">
        <v>1</v>
      </c>
      <c r="P268" s="4">
        <v>0</v>
      </c>
      <c r="Q268" s="5" t="s">
        <v>1039</v>
      </c>
      <c r="Y268" t="s">
        <v>324</v>
      </c>
      <c r="Z268" s="2" t="s">
        <v>324</v>
      </c>
      <c r="AA268" t="s">
        <v>324</v>
      </c>
      <c r="AB268" t="s">
        <v>324</v>
      </c>
      <c r="AC268" t="s">
        <v>324</v>
      </c>
      <c r="AD268" t="s">
        <v>324</v>
      </c>
      <c r="AE268" t="s">
        <v>324</v>
      </c>
      <c r="AF268" t="s">
        <v>324</v>
      </c>
      <c r="AG268" s="2" t="s">
        <v>324</v>
      </c>
      <c r="AH268" t="s">
        <v>324</v>
      </c>
      <c r="AI268" t="s">
        <v>324</v>
      </c>
      <c r="AJ268" s="2" t="str">
        <f>HYPERLINK("http://exon.niaid.nih.gov/transcriptome/Tx_amboinensis_sialome/Table_1/links/CDD\TX-contig_474-CDD.txt","COG5001")</f>
        <v>COG5001</v>
      </c>
      <c r="AK268" t="str">
        <f>HYPERLINK("http://www.ncbi.nlm.nih.gov/Structure/cdd/cddsrv.cgi?uid=COG5001&amp;version=v4.0","0.16")</f>
        <v>0.16</v>
      </c>
      <c r="AL268" t="s">
        <v>1028</v>
      </c>
      <c r="AM268" s="2" t="s">
        <v>324</v>
      </c>
      <c r="AN268" t="s">
        <v>324</v>
      </c>
      <c r="AO268" s="2" t="str">
        <f>HYPERLINK("http://exon.niaid.nih.gov/transcriptome/Tx_amboinensis_sialome/Table_1/links/SMART\TX-contig_474-SMART.txt","RasGEF")</f>
        <v>RasGEF</v>
      </c>
      <c r="AP268" t="str">
        <f>HYPERLINK("http://smart.embl-heidelberg.de/smart/do_annotation.pl?DOMAIN=RasGEF&amp;BLAST=DUMMY","0.18")</f>
        <v>0.18</v>
      </c>
      <c r="AQ268" s="2" t="s">
        <v>324</v>
      </c>
      <c r="AR268" t="s">
        <v>324</v>
      </c>
      <c r="AS268" s="2" t="s">
        <v>324</v>
      </c>
      <c r="AT268" t="s">
        <v>324</v>
      </c>
    </row>
    <row r="269" spans="1:46" ht="11.25">
      <c r="A269" t="str">
        <f>HYPERLINK("http://exon.niaid.nih.gov/transcriptome/Tx_amboinensis_sialome/Table_1/links/TX-contig_481.txt","TX-contig_481")</f>
        <v>TX-contig_481</v>
      </c>
      <c r="B269" t="str">
        <f>HYPERLINK("http://exon.niaid.nih.gov/transcriptome/Tx_amboinensis_sialome/Table_1/links/TX-5-90-90-asb-481.txt","Contig-481")</f>
        <v>Contig-481</v>
      </c>
      <c r="C269" t="str">
        <f>HYPERLINK("http://exon.niaid.nih.gov/transcriptome/Tx_amboinensis_sialome/Table_1/links/TX-5-90-90-481-CLU.txt","Contig481")</f>
        <v>Contig481</v>
      </c>
      <c r="D269" s="4">
        <v>1</v>
      </c>
      <c r="E269">
        <v>216</v>
      </c>
      <c r="F269" t="s">
        <v>322</v>
      </c>
      <c r="G269">
        <v>70.8</v>
      </c>
      <c r="H269">
        <v>157</v>
      </c>
      <c r="I269">
        <v>481</v>
      </c>
      <c r="J269" t="s">
        <v>651</v>
      </c>
      <c r="K269">
        <v>157</v>
      </c>
      <c r="L269" s="3" t="s">
        <v>1035</v>
      </c>
      <c r="M269" s="4">
        <v>0</v>
      </c>
      <c r="N269" s="4">
        <v>0</v>
      </c>
      <c r="O269" s="4">
        <v>2</v>
      </c>
      <c r="P269" s="4">
        <v>0</v>
      </c>
      <c r="Q269" s="5" t="s">
        <v>1039</v>
      </c>
      <c r="Y269" t="s">
        <v>324</v>
      </c>
      <c r="Z269" s="2" t="s">
        <v>324</v>
      </c>
      <c r="AA269" t="s">
        <v>324</v>
      </c>
      <c r="AB269" t="s">
        <v>324</v>
      </c>
      <c r="AC269" t="s">
        <v>324</v>
      </c>
      <c r="AD269" t="s">
        <v>324</v>
      </c>
      <c r="AE269" t="s">
        <v>324</v>
      </c>
      <c r="AF269" t="s">
        <v>324</v>
      </c>
      <c r="AG269" s="2" t="s">
        <v>324</v>
      </c>
      <c r="AH269" t="s">
        <v>324</v>
      </c>
      <c r="AI269" t="s">
        <v>324</v>
      </c>
      <c r="AJ269" s="2" t="s">
        <v>324</v>
      </c>
      <c r="AK269" t="s">
        <v>324</v>
      </c>
      <c r="AL269" t="s">
        <v>324</v>
      </c>
      <c r="AM269" s="2" t="str">
        <f>HYPERLINK("http://exon.niaid.nih.gov/transcriptome/Tx_amboinensis_sialome/Table_1/links/PFAM\TX-contig_481-PFAM.txt","Poty_P1")</f>
        <v>Poty_P1</v>
      </c>
      <c r="AN269" t="str">
        <f>HYPERLINK("http://pfam.wustl.edu/cgi-bin/getdesc?acc=PF01577","0.94")</f>
        <v>0.94</v>
      </c>
      <c r="AO269" s="2" t="str">
        <f>HYPERLINK("http://exon.niaid.nih.gov/transcriptome/Tx_amboinensis_sialome/Table_1/links/SMART\TX-contig_481-SMART.txt","R3H")</f>
        <v>R3H</v>
      </c>
      <c r="AP269" t="str">
        <f>HYPERLINK("http://smart.embl-heidelberg.de/smart/do_annotation.pl?DOMAIN=R3H&amp;BLAST=DUMMY","0.21")</f>
        <v>0.21</v>
      </c>
      <c r="AQ269" s="2" t="s">
        <v>324</v>
      </c>
      <c r="AR269" t="s">
        <v>324</v>
      </c>
      <c r="AS269" s="2" t="s">
        <v>324</v>
      </c>
      <c r="AT269" t="s">
        <v>324</v>
      </c>
    </row>
    <row r="270" spans="1:46" ht="11.25">
      <c r="A270" t="str">
        <f>HYPERLINK("http://exon.niaid.nih.gov/transcriptome/Tx_amboinensis_sialome/Table_1/links/TX-contig_482.txt","TX-contig_482")</f>
        <v>TX-contig_482</v>
      </c>
      <c r="B270" t="str">
        <f>HYPERLINK("http://exon.niaid.nih.gov/transcriptome/Tx_amboinensis_sialome/Table_1/links/TX-5-90-90-asb-482.txt","Contig-482")</f>
        <v>Contig-482</v>
      </c>
      <c r="C270" t="str">
        <f>HYPERLINK("http://exon.niaid.nih.gov/transcriptome/Tx_amboinensis_sialome/Table_1/links/TX-5-90-90-482-CLU.txt","Contig482")</f>
        <v>Contig482</v>
      </c>
      <c r="D270" s="4">
        <v>1</v>
      </c>
      <c r="E270">
        <v>143</v>
      </c>
      <c r="F270" t="s">
        <v>322</v>
      </c>
      <c r="G270">
        <v>72.7</v>
      </c>
      <c r="H270">
        <v>124</v>
      </c>
      <c r="I270">
        <v>482</v>
      </c>
      <c r="J270" t="s">
        <v>652</v>
      </c>
      <c r="K270">
        <v>124</v>
      </c>
      <c r="L270" s="3" t="s">
        <v>1035</v>
      </c>
      <c r="M270" s="4">
        <v>0</v>
      </c>
      <c r="N270" s="4">
        <v>0</v>
      </c>
      <c r="O270" s="4">
        <v>1</v>
      </c>
      <c r="P270" s="4">
        <v>0</v>
      </c>
      <c r="Q270" s="5" t="s">
        <v>1039</v>
      </c>
      <c r="Y270" t="s">
        <v>324</v>
      </c>
      <c r="Z270" s="2" t="s">
        <v>324</v>
      </c>
      <c r="AA270" t="s">
        <v>324</v>
      </c>
      <c r="AB270" t="s">
        <v>324</v>
      </c>
      <c r="AC270" t="s">
        <v>324</v>
      </c>
      <c r="AD270" t="s">
        <v>324</v>
      </c>
      <c r="AE270" t="s">
        <v>324</v>
      </c>
      <c r="AF270" t="s">
        <v>324</v>
      </c>
      <c r="AG270" s="2" t="s">
        <v>324</v>
      </c>
      <c r="AH270" t="s">
        <v>324</v>
      </c>
      <c r="AI270" t="s">
        <v>324</v>
      </c>
      <c r="AJ270" s="2" t="str">
        <f>HYPERLINK("http://exon.niaid.nih.gov/transcriptome/Tx_amboinensis_sialome/Table_1/links/CDD\TX-contig_482-CDD.txt","COG4986")</f>
        <v>COG4986</v>
      </c>
      <c r="AK270" t="str">
        <f>HYPERLINK("http://www.ncbi.nlm.nih.gov/Structure/cdd/cddsrv.cgi?uid=COG4986&amp;version=v4.0","0.92")</f>
        <v>0.92</v>
      </c>
      <c r="AL270" t="s">
        <v>1029</v>
      </c>
      <c r="AM270" s="2" t="str">
        <f>HYPERLINK("http://exon.niaid.nih.gov/transcriptome/Tx_amboinensis_sialome/Table_1/links/PFAM\TX-contig_482-PFAM.txt","UDPGT")</f>
        <v>UDPGT</v>
      </c>
      <c r="AN270" t="str">
        <f>HYPERLINK("http://pfam.wustl.edu/cgi-bin/getdesc?acc=PF00201","0.73")</f>
        <v>0.73</v>
      </c>
      <c r="AO270" s="2" t="s">
        <v>324</v>
      </c>
      <c r="AP270" t="s">
        <v>324</v>
      </c>
      <c r="AQ270" s="2" t="s">
        <v>324</v>
      </c>
      <c r="AR270" t="s">
        <v>324</v>
      </c>
      <c r="AS270" s="2" t="s">
        <v>324</v>
      </c>
      <c r="AT270" t="s">
        <v>324</v>
      </c>
    </row>
    <row r="271" spans="1:46" ht="11.25">
      <c r="A271" t="str">
        <f>HYPERLINK("http://exon.niaid.nih.gov/transcriptome/Tx_amboinensis_sialome/Table_1/links/TX-contig_44.txt","TX-contig_44")</f>
        <v>TX-contig_44</v>
      </c>
      <c r="B271" t="str">
        <f>HYPERLINK("http://exon.niaid.nih.gov/transcriptome/Tx_amboinensis_sialome/Table_1/links/TX-5-90-90-asb-44.txt","Contig-44")</f>
        <v>Contig-44</v>
      </c>
      <c r="C271" t="str">
        <f>HYPERLINK("http://exon.niaid.nih.gov/transcriptome/Tx_amboinensis_sialome/Table_1/links/TX-5-90-90-44-CLU.txt","Contig44")</f>
        <v>Contig44</v>
      </c>
      <c r="D271" s="4">
        <v>1</v>
      </c>
      <c r="E271">
        <v>305</v>
      </c>
      <c r="F271">
        <v>1.3</v>
      </c>
      <c r="G271">
        <v>67.9</v>
      </c>
      <c r="H271">
        <v>286</v>
      </c>
      <c r="I271">
        <v>44</v>
      </c>
      <c r="J271" t="s">
        <v>366</v>
      </c>
      <c r="K271">
        <v>286</v>
      </c>
      <c r="L271" s="3" t="s">
        <v>1036</v>
      </c>
      <c r="M271" s="4">
        <v>0</v>
      </c>
      <c r="N271" s="4">
        <v>0</v>
      </c>
      <c r="O271" s="4">
        <v>0</v>
      </c>
      <c r="P271" s="4">
        <v>0</v>
      </c>
      <c r="Q271" s="5" t="s">
        <v>1039</v>
      </c>
      <c r="R271" s="2" t="str">
        <f>HYPERLINK("http://exon.niaid.nih.gov/transcriptome/Tx_amboinensis_sialome/Table_1/links/NR\TX-contig_44-NR.txt","hypothetical protein TTHERM_01009840 ")</f>
        <v>hypothetical protein TTHERM_01009840 </v>
      </c>
      <c r="S271" s="4" t="str">
        <f>HYPERLINK("http://www.ncbi.nlm.nih.gov/sutils/blink.cgi?pid=89299460","2E-027")</f>
        <v>2E-027</v>
      </c>
      <c r="T271" t="s">
        <v>93</v>
      </c>
      <c r="U271" s="4">
        <v>51</v>
      </c>
      <c r="V271" s="4">
        <v>44</v>
      </c>
      <c r="W271" t="s">
        <v>40</v>
      </c>
      <c r="X271" t="s">
        <v>94</v>
      </c>
      <c r="Y271" t="s">
        <v>808</v>
      </c>
      <c r="Z271" s="2" t="s">
        <v>809</v>
      </c>
      <c r="AA271">
        <f>HYPERLINK("http://exon.niaid.nih.gov/transcriptome/Tx_amboinensis_sialome/Table_1/links/GO\TX-contig_44-GO.txt",0.00000000000000000001)</f>
        <v>0</v>
      </c>
      <c r="AB271" t="s">
        <v>810</v>
      </c>
      <c r="AC271" t="s">
        <v>837</v>
      </c>
      <c r="AD271" t="s">
        <v>838</v>
      </c>
      <c r="AE271" t="s">
        <v>811</v>
      </c>
      <c r="AF271" s="1">
        <v>1E-20</v>
      </c>
      <c r="AG271" s="2" t="str">
        <f>HYPERLINK("http://exon.niaid.nih.gov/transcriptome/Tx_amboinensis_sialome/Table_1/links/KOG\TX-contig_44-KOG.txt","Chromatin assembly factor-I")</f>
        <v>Chromatin assembly factor-I</v>
      </c>
      <c r="AH271" t="str">
        <f>HYPERLINK("http://www.ncbi.nlm.nih.gov/COG/new/shokog.cgi?KOG4364","1E-016")</f>
        <v>1E-016</v>
      </c>
      <c r="AI271" t="s">
        <v>798</v>
      </c>
      <c r="AJ271" s="2" t="str">
        <f>HYPERLINK("http://exon.niaid.nih.gov/transcriptome/Tx_amboinensis_sialome/Table_1/links/CDD\TX-contig_44-CDD.txt","Caldesmon")</f>
        <v>Caldesmon</v>
      </c>
      <c r="AK271" t="str">
        <f>HYPERLINK("http://www.ncbi.nlm.nih.gov/Structure/cdd/cddsrv.cgi?uid=pfam02029&amp;version=v4.0","2E-011")</f>
        <v>2E-011</v>
      </c>
      <c r="AL271" t="s">
        <v>812</v>
      </c>
      <c r="AM271" s="2" t="str">
        <f>HYPERLINK("http://exon.niaid.nih.gov/transcriptome/Tx_amboinensis_sialome/Table_1/links/PFAM\TX-contig_44-PFAM.txt","TT_ORF1")</f>
        <v>TT_ORF1</v>
      </c>
      <c r="AN271" t="str">
        <f>HYPERLINK("http://pfam.wustl.edu/cgi-bin/getdesc?acc=PF02956","4E-013")</f>
        <v>4E-013</v>
      </c>
      <c r="AO271" s="2" t="str">
        <f>HYPERLINK("http://exon.niaid.nih.gov/transcriptome/Tx_amboinensis_sialome/Table_1/links/SMART\TX-contig_44-SMART.txt","TOPEUc")</f>
        <v>TOPEUc</v>
      </c>
      <c r="AP271" t="str">
        <f>HYPERLINK("http://smart.embl-heidelberg.de/smart/do_annotation.pl?DOMAIN=TOPEUc&amp;BLAST=DUMMY","3E-007")</f>
        <v>3E-007</v>
      </c>
      <c r="AQ271" s="2" t="s">
        <v>324</v>
      </c>
      <c r="AR271" t="s">
        <v>324</v>
      </c>
      <c r="AS271" s="2" t="s">
        <v>324</v>
      </c>
      <c r="AT271" t="s">
        <v>324</v>
      </c>
    </row>
    <row r="272" spans="1:46" ht="11.25">
      <c r="A272" t="str">
        <f>HYPERLINK("http://exon.niaid.nih.gov/transcriptome/Tx_amboinensis_sialome/Table_1/links/TX-contig_160.txt","TX-contig_160")</f>
        <v>TX-contig_160</v>
      </c>
      <c r="B272" t="str">
        <f>HYPERLINK("http://exon.niaid.nih.gov/transcriptome/Tx_amboinensis_sialome/Table_1/links/TX-5-90-90-asb-160.txt","Contig-160")</f>
        <v>Contig-160</v>
      </c>
      <c r="C272" t="str">
        <f>HYPERLINK("http://exon.niaid.nih.gov/transcriptome/Tx_amboinensis_sialome/Table_1/links/TX-5-90-90-160-CLU.txt","Contig160")</f>
        <v>Contig160</v>
      </c>
      <c r="D272" s="4">
        <v>1</v>
      </c>
      <c r="E272">
        <v>290</v>
      </c>
      <c r="F272">
        <v>1</v>
      </c>
      <c r="G272">
        <v>70</v>
      </c>
      <c r="H272" t="s">
        <v>324</v>
      </c>
      <c r="I272">
        <v>160</v>
      </c>
      <c r="J272" t="s">
        <v>474</v>
      </c>
      <c r="K272" t="s">
        <v>324</v>
      </c>
      <c r="L272" s="3" t="s">
        <v>1036</v>
      </c>
      <c r="M272" s="4">
        <v>0</v>
      </c>
      <c r="N272" s="4">
        <v>0</v>
      </c>
      <c r="O272" s="4">
        <v>0</v>
      </c>
      <c r="P272" s="4">
        <v>0</v>
      </c>
      <c r="Q272" s="5" t="s">
        <v>1039</v>
      </c>
      <c r="R272" s="2" t="str">
        <f>HYPERLINK("http://exon.niaid.nih.gov/transcriptome/Tx_amboinensis_sialome/Table_1/links/NR\TX-contig_160-NR.txt","PREDICTED: hypothetical protein XP_")</f>
        <v>PREDICTED: hypothetical protein XP_</v>
      </c>
      <c r="S272" s="4" t="str">
        <f>HYPERLINK("http://www.ncbi.nlm.nih.gov/sutils/blink.cgi?pid=72054441","2E-017")</f>
        <v>2E-017</v>
      </c>
      <c r="T272" t="s">
        <v>1149</v>
      </c>
      <c r="U272" s="4">
        <v>38</v>
      </c>
      <c r="V272" s="4">
        <v>68</v>
      </c>
      <c r="W272" t="s">
        <v>1150</v>
      </c>
      <c r="X272" t="s">
        <v>95</v>
      </c>
      <c r="Y272" t="s">
        <v>1151</v>
      </c>
      <c r="Z272" s="2" t="s">
        <v>1152</v>
      </c>
      <c r="AA272">
        <f>HYPERLINK("http://exon.niaid.nih.gov/transcriptome/Tx_amboinensis_sialome/Table_1/links/GO\TX-contig_160-GO.txt",0.00003)</f>
        <v>0</v>
      </c>
      <c r="AB272" t="s">
        <v>850</v>
      </c>
      <c r="AC272" t="s">
        <v>850</v>
      </c>
      <c r="AE272" t="s">
        <v>851</v>
      </c>
      <c r="AF272">
        <v>0.03</v>
      </c>
      <c r="AG272" s="2" t="str">
        <f>HYPERLINK("http://exon.niaid.nih.gov/transcriptome/Tx_amboinensis_sialome/Table_1/links/KOG\TX-contig_160-KOG.txt","Permease of the major facilitator superfamily")</f>
        <v>Permease of the major facilitator superfamily</v>
      </c>
      <c r="AH272" t="str">
        <f>HYPERLINK("http://www.ncbi.nlm.nih.gov/COG/new/shokog.cgi?KOG0569","5E-005")</f>
        <v>5E-005</v>
      </c>
      <c r="AI272" t="s">
        <v>177</v>
      </c>
      <c r="AJ272" s="2" t="str">
        <f>HYPERLINK("http://exon.niaid.nih.gov/transcriptome/Tx_amboinensis_sialome/Table_1/links/CDD\TX-contig_160-CDD.txt","7tm_5")</f>
        <v>7tm_5</v>
      </c>
      <c r="AK272" t="str">
        <f>HYPERLINK("http://www.ncbi.nlm.nih.gov/Structure/cdd/cddsrv.cgi?uid=pfam01604&amp;version=v4.0","4E-007")</f>
        <v>4E-007</v>
      </c>
      <c r="AL272" t="s">
        <v>1153</v>
      </c>
      <c r="AM272" s="2" t="str">
        <f>HYPERLINK("http://exon.niaid.nih.gov/transcriptome/Tx_amboinensis_sialome/Table_1/links/PFAM\TX-contig_160-PFAM.txt","7tm_5")</f>
        <v>7tm_5</v>
      </c>
      <c r="AN272" t="str">
        <f>HYPERLINK("http://pfam.wustl.edu/cgi-bin/getdesc?acc=PF01604","2E-007")</f>
        <v>2E-007</v>
      </c>
      <c r="AO272" s="2" t="str">
        <f>HYPERLINK("http://exon.niaid.nih.gov/transcriptome/Tx_amboinensis_sialome/Table_1/links/SMART\TX-contig_160-SMART.txt","HTTM")</f>
        <v>HTTM</v>
      </c>
      <c r="AP272" t="str">
        <f>HYPERLINK("http://smart.embl-heidelberg.de/smart/do_annotation.pl?DOMAIN=HTTM&amp;BLAST=DUMMY","3E-005")</f>
        <v>3E-005</v>
      </c>
      <c r="AQ272" s="2" t="s">
        <v>324</v>
      </c>
      <c r="AR272" t="s">
        <v>324</v>
      </c>
      <c r="AS272" s="2" t="s">
        <v>324</v>
      </c>
      <c r="AT272" t="s">
        <v>324</v>
      </c>
    </row>
    <row r="273" spans="1:46" ht="11.25">
      <c r="A273" t="str">
        <f>HYPERLINK("http://exon.niaid.nih.gov/transcriptome/Tx_amboinensis_sialome/Table_1/links/TX-contig_462.txt","TX-contig_462")</f>
        <v>TX-contig_462</v>
      </c>
      <c r="B273" t="str">
        <f>HYPERLINK("http://exon.niaid.nih.gov/transcriptome/Tx_amboinensis_sialome/Table_1/links/TX-5-90-90-asb-462.txt","Contig-462")</f>
        <v>Contig-462</v>
      </c>
      <c r="C273" t="str">
        <f>HYPERLINK("http://exon.niaid.nih.gov/transcriptome/Tx_amboinensis_sialome/Table_1/links/TX-5-90-90-462-CLU.txt","Contig462")</f>
        <v>Contig462</v>
      </c>
      <c r="D273" s="4">
        <v>1</v>
      </c>
      <c r="E273">
        <v>104</v>
      </c>
      <c r="F273">
        <v>1.9</v>
      </c>
      <c r="G273">
        <v>9.6</v>
      </c>
      <c r="H273" t="s">
        <v>324</v>
      </c>
      <c r="I273">
        <v>462</v>
      </c>
      <c r="J273" t="s">
        <v>632</v>
      </c>
      <c r="K273" t="s">
        <v>324</v>
      </c>
      <c r="L273" s="3" t="s">
        <v>1036</v>
      </c>
      <c r="M273" s="4">
        <v>0</v>
      </c>
      <c r="N273" s="4">
        <v>0</v>
      </c>
      <c r="O273" s="4">
        <v>0</v>
      </c>
      <c r="P273" s="4">
        <v>0</v>
      </c>
      <c r="Q273" s="5" t="s">
        <v>1039</v>
      </c>
      <c r="Y273" t="s">
        <v>1014</v>
      </c>
      <c r="Z273" s="2" t="s">
        <v>1015</v>
      </c>
      <c r="AA273">
        <f>HYPERLINK("http://exon.niaid.nih.gov/transcriptome/Tx_amboinensis_sialome/Table_1/links/GO\TX-contig_462-GO.txt",0.0000000009)</f>
        <v>0</v>
      </c>
      <c r="AB273" t="s">
        <v>1016</v>
      </c>
      <c r="AC273" t="s">
        <v>837</v>
      </c>
      <c r="AD273" t="s">
        <v>296</v>
      </c>
      <c r="AE273" t="s">
        <v>1017</v>
      </c>
      <c r="AF273">
        <v>9E-10</v>
      </c>
      <c r="AG273" s="2" t="str">
        <f>HYPERLINK("http://exon.niaid.nih.gov/transcriptome/Tx_amboinensis_sialome/Table_1/links/KOG\TX-contig_462-KOG.txt","RhoA GTPase effector DIA/Diaphanous")</f>
        <v>RhoA GTPase effector DIA/Diaphanous</v>
      </c>
      <c r="AH273" t="str">
        <f>HYPERLINK("http://www.ncbi.nlm.nih.gov/COG/new/shokog.cgi?KOG1924","4E-014")</f>
        <v>4E-014</v>
      </c>
      <c r="AI273" t="s">
        <v>713</v>
      </c>
      <c r="AJ273" s="2" t="str">
        <f>HYPERLINK("http://exon.niaid.nih.gov/transcriptome/Tx_amboinensis_sialome/Table_1/links/CDD\TX-contig_462-CDD.txt","Drf_FH1")</f>
        <v>Drf_FH1</v>
      </c>
      <c r="AK273" t="str">
        <f>HYPERLINK("http://www.ncbi.nlm.nih.gov/Structure/cdd/cddsrv.cgi?uid=pfam06346&amp;version=v4.0","5E-008")</f>
        <v>5E-008</v>
      </c>
      <c r="AL273" t="s">
        <v>1018</v>
      </c>
      <c r="AM273" s="2" t="str">
        <f>HYPERLINK("http://exon.niaid.nih.gov/transcriptome/Tx_amboinensis_sialome/Table_1/links/PFAM\TX-contig_462-PFAM.txt","Drf_FH1")</f>
        <v>Drf_FH1</v>
      </c>
      <c r="AN273" t="str">
        <f>HYPERLINK("http://pfam.wustl.edu/cgi-bin/getdesc?acc=PF06346","3E-008")</f>
        <v>3E-008</v>
      </c>
      <c r="AO273" s="2" t="str">
        <f>HYPERLINK("http://exon.niaid.nih.gov/transcriptome/Tx_amboinensis_sialome/Table_1/links/SMART\TX-contig_462-SMART.txt","PRP")</f>
        <v>PRP</v>
      </c>
      <c r="AP273" t="str">
        <f>HYPERLINK("http://smart.embl-heidelberg.de/smart/do_annotation.pl?DOMAIN=PRP&amp;BLAST=DUMMY","0.001")</f>
        <v>0.001</v>
      </c>
      <c r="AQ273" s="2" t="s">
        <v>324</v>
      </c>
      <c r="AR273" t="s">
        <v>324</v>
      </c>
      <c r="AS273" s="2" t="s">
        <v>324</v>
      </c>
      <c r="AT273" t="s">
        <v>324</v>
      </c>
    </row>
    <row r="274" spans="1:46" ht="11.25">
      <c r="A274" t="str">
        <f>HYPERLINK("http://exon.niaid.nih.gov/transcriptome/Tx_amboinensis_sialome/Table_1/links/TX-contig_172.txt","TX-contig_172")</f>
        <v>TX-contig_172</v>
      </c>
      <c r="B274" t="str">
        <f>HYPERLINK("http://exon.niaid.nih.gov/transcriptome/Tx_amboinensis_sialome/Table_1/links/TX-5-90-90-asb-172.txt","Contig-172")</f>
        <v>Contig-172</v>
      </c>
      <c r="C274" t="str">
        <f>HYPERLINK("http://exon.niaid.nih.gov/transcriptome/Tx_amboinensis_sialome/Table_1/links/TX-5-90-90-172-CLU.txt","Contig172")</f>
        <v>Contig172</v>
      </c>
      <c r="D274" s="4">
        <v>1</v>
      </c>
      <c r="E274">
        <v>326</v>
      </c>
      <c r="F274">
        <v>0.3</v>
      </c>
      <c r="G274">
        <v>72.7</v>
      </c>
      <c r="H274">
        <v>307</v>
      </c>
      <c r="I274">
        <v>172</v>
      </c>
      <c r="J274" t="s">
        <v>485</v>
      </c>
      <c r="K274">
        <v>307</v>
      </c>
      <c r="L274" s="3" t="s">
        <v>1036</v>
      </c>
      <c r="M274" s="4">
        <v>0</v>
      </c>
      <c r="N274" s="4">
        <v>0</v>
      </c>
      <c r="O274" s="4">
        <v>0</v>
      </c>
      <c r="P274" s="4">
        <v>0</v>
      </c>
      <c r="Q274" s="5" t="s">
        <v>1039</v>
      </c>
      <c r="R274" s="2" t="str">
        <f>HYPERLINK("http://exon.niaid.nih.gov/transcriptome/Tx_amboinensis_sialome/Table_1/links/NR\TX-contig_172-NR.txt","hypothetical protein GuraDRAFT_11")</f>
        <v>hypothetical protein GuraDRAFT_11</v>
      </c>
      <c r="S274" s="4" t="str">
        <f>HYPERLINK("http://www.ncbi.nlm.nih.gov/sutils/blink.cgi?pid=88937037","5E-006")</f>
        <v>5E-006</v>
      </c>
      <c r="T274" t="s">
        <v>18</v>
      </c>
      <c r="U274" s="4">
        <v>30</v>
      </c>
      <c r="V274" s="4">
        <v>72</v>
      </c>
      <c r="W274" t="s">
        <v>19</v>
      </c>
      <c r="X274" t="s">
        <v>96</v>
      </c>
      <c r="Y274" t="s">
        <v>1309</v>
      </c>
      <c r="Z274" s="2" t="s">
        <v>1310</v>
      </c>
      <c r="AA274">
        <f>HYPERLINK("http://exon.niaid.nih.gov/transcriptome/Tx_amboinensis_sialome/Table_1/links/GO\TX-contig_172-GO.txt",0.014)</f>
        <v>0</v>
      </c>
      <c r="AB274" t="s">
        <v>850</v>
      </c>
      <c r="AC274" t="s">
        <v>850</v>
      </c>
      <c r="AE274" t="s">
        <v>851</v>
      </c>
      <c r="AF274">
        <v>0.03</v>
      </c>
      <c r="AG274" s="2" t="str">
        <f>HYPERLINK("http://exon.niaid.nih.gov/transcriptome/Tx_amboinensis_sialome/Table_1/links/KOG\TX-contig_172-KOG.txt","Sterol O-acyltransferase/Diacylglycerol O-acyltransferase")</f>
        <v>Sterol O-acyltransferase/Diacylglycerol O-acyltransferase</v>
      </c>
      <c r="AH274" t="str">
        <f>HYPERLINK("http://www.ncbi.nlm.nih.gov/COG/new/shokog.cgi?KOG0380","3E-005")</f>
        <v>3E-005</v>
      </c>
      <c r="AI274" t="s">
        <v>913</v>
      </c>
      <c r="AJ274" s="2" t="str">
        <f>HYPERLINK("http://exon.niaid.nih.gov/transcriptome/Tx_amboinensis_sialome/Table_1/links/CDD\TX-contig_172-CDD.txt","TatC")</f>
        <v>TatC</v>
      </c>
      <c r="AK274" t="str">
        <f>HYPERLINK("http://www.ncbi.nlm.nih.gov/Structure/cdd/cddsrv.cgi?uid=pfam00902&amp;version=v4.0","1E-007")</f>
        <v>1E-007</v>
      </c>
      <c r="AL274" t="s">
        <v>1311</v>
      </c>
      <c r="AM274" s="2" t="str">
        <f>HYPERLINK("http://exon.niaid.nih.gov/transcriptome/Tx_amboinensis_sialome/Table_1/links/PFAM\TX-contig_172-PFAM.txt","TatC")</f>
        <v>TatC</v>
      </c>
      <c r="AN274" t="str">
        <f>HYPERLINK("http://pfam.wustl.edu/cgi-bin/getdesc?acc=PF00902","6E-008")</f>
        <v>6E-008</v>
      </c>
      <c r="AO274" s="2" t="str">
        <f>HYPERLINK("http://exon.niaid.nih.gov/transcriptome/Tx_amboinensis_sialome/Table_1/links/SMART\TX-contig_172-SMART.txt","PSN")</f>
        <v>PSN</v>
      </c>
      <c r="AP274" t="str">
        <f>HYPERLINK("http://smart.embl-heidelberg.de/smart/do_annotation.pl?DOMAIN=PSN&amp;BLAST=DUMMY","4E-006")</f>
        <v>4E-006</v>
      </c>
      <c r="AQ274" s="2" t="s">
        <v>324</v>
      </c>
      <c r="AR274" t="s">
        <v>324</v>
      </c>
      <c r="AS274" s="2" t="s">
        <v>324</v>
      </c>
      <c r="AT274" t="s">
        <v>324</v>
      </c>
    </row>
    <row r="275" spans="1:46" ht="11.25">
      <c r="A275" t="str">
        <f>HYPERLINK("http://exon.niaid.nih.gov/transcriptome/Tx_amboinensis_sialome/Table_1/links/TX-contig_376.txt","TX-contig_376")</f>
        <v>TX-contig_376</v>
      </c>
      <c r="B275" t="str">
        <f>HYPERLINK("http://exon.niaid.nih.gov/transcriptome/Tx_amboinensis_sialome/Table_1/links/TX-5-90-90-asb-376.txt","Contig-376")</f>
        <v>Contig-376</v>
      </c>
      <c r="C275" t="str">
        <f>HYPERLINK("http://exon.niaid.nih.gov/transcriptome/Tx_amboinensis_sialome/Table_1/links/TX-5-90-90-376-CLU.txt","Contig376")</f>
        <v>Contig376</v>
      </c>
      <c r="D275" s="4">
        <v>1</v>
      </c>
      <c r="E275">
        <v>308</v>
      </c>
      <c r="F275">
        <v>1.9</v>
      </c>
      <c r="G275">
        <v>73.1</v>
      </c>
      <c r="H275">
        <v>289</v>
      </c>
      <c r="I275">
        <v>376</v>
      </c>
      <c r="J275" t="s">
        <v>1230</v>
      </c>
      <c r="K275">
        <v>289</v>
      </c>
      <c r="L275" s="3" t="s">
        <v>1036</v>
      </c>
      <c r="M275" s="4">
        <v>0</v>
      </c>
      <c r="N275" s="4">
        <v>0</v>
      </c>
      <c r="O275" s="4">
        <v>0</v>
      </c>
      <c r="P275" s="4">
        <v>0</v>
      </c>
      <c r="Q275" s="5" t="s">
        <v>1039</v>
      </c>
      <c r="R275" s="2" t="str">
        <f>HYPERLINK("http://exon.niaid.nih.gov/transcriptome/Tx_amboinensis_sialome/Table_1/links/NR\TX-contig_376-NR.txt","hypothetical protein CaO19_11807 [C")</f>
        <v>hypothetical protein CaO19_11807 [C</v>
      </c>
      <c r="S275" s="4" t="str">
        <f>HYPERLINK("http://www.ncbi.nlm.nih.gov/sutils/blink.cgi?pid=68470520","0.002")</f>
        <v>0.002</v>
      </c>
      <c r="T275" t="s">
        <v>794</v>
      </c>
      <c r="U275" s="4">
        <v>41</v>
      </c>
      <c r="V275" s="4">
        <v>31</v>
      </c>
      <c r="W275" t="s">
        <v>941</v>
      </c>
      <c r="X275" t="s">
        <v>97</v>
      </c>
      <c r="Y275" t="s">
        <v>795</v>
      </c>
      <c r="Z275" s="2" t="s">
        <v>324</v>
      </c>
      <c r="AA275" t="s">
        <v>324</v>
      </c>
      <c r="AB275" t="s">
        <v>324</v>
      </c>
      <c r="AC275" t="s">
        <v>324</v>
      </c>
      <c r="AD275" t="s">
        <v>324</v>
      </c>
      <c r="AE275" t="s">
        <v>324</v>
      </c>
      <c r="AF275" t="s">
        <v>324</v>
      </c>
      <c r="AG275" s="2" t="str">
        <f>HYPERLINK("http://exon.niaid.nih.gov/transcriptome/Tx_amboinensis_sialome/Table_1/links/KOG\TX-contig_376-KOG.txt","Ca2+/Mg2+-permeable cation channels (LTRPC family)")</f>
        <v>Ca2+/Mg2+-permeable cation channels (LTRPC family)</v>
      </c>
      <c r="AH275" t="str">
        <f>HYPERLINK("http://www.ncbi.nlm.nih.gov/COG/new/shokog.cgi?KOG3614","0.002")</f>
        <v>0.002</v>
      </c>
      <c r="AI275" t="s">
        <v>819</v>
      </c>
      <c r="AJ275" s="2" t="str">
        <f>HYPERLINK("http://exon.niaid.nih.gov/transcriptome/Tx_amboinensis_sialome/Table_1/links/CDD\TX-contig_376-CDD.txt","ComEC")</f>
        <v>ComEC</v>
      </c>
      <c r="AK275" t="str">
        <f>HYPERLINK("http://www.ncbi.nlm.nih.gov/Structure/cdd/cddsrv.cgi?uid=COG0658&amp;version=v4.0","0.003")</f>
        <v>0.003</v>
      </c>
      <c r="AL275" t="s">
        <v>1000</v>
      </c>
      <c r="AM275" s="2" t="str">
        <f>HYPERLINK("http://exon.niaid.nih.gov/transcriptome/Tx_amboinensis_sialome/Table_1/links/PFAM\TX-contig_376-PFAM.txt","MARVEL")</f>
        <v>MARVEL</v>
      </c>
      <c r="AN275" t="str">
        <f>HYPERLINK("http://pfam.wustl.edu/cgi-bin/getdesc?acc=PF01284","0.004")</f>
        <v>0.004</v>
      </c>
      <c r="AO275" s="2" t="str">
        <f>HYPERLINK("http://exon.niaid.nih.gov/transcriptome/Tx_amboinensis_sialome/Table_1/links/SMART\TX-contig_376-SMART.txt","PSN")</f>
        <v>PSN</v>
      </c>
      <c r="AP275" t="str">
        <f>HYPERLINK("http://smart.embl-heidelberg.de/smart/do_annotation.pl?DOMAIN=PSN&amp;BLAST=DUMMY","0.005")</f>
        <v>0.005</v>
      </c>
      <c r="AQ275" s="2" t="s">
        <v>324</v>
      </c>
      <c r="AR275" t="s">
        <v>324</v>
      </c>
      <c r="AS275" s="2" t="s">
        <v>324</v>
      </c>
      <c r="AT275" t="s">
        <v>324</v>
      </c>
    </row>
    <row r="276" spans="1:46" ht="11.25">
      <c r="A276" t="str">
        <f>HYPERLINK("http://exon.niaid.nih.gov/transcriptome/Tx_amboinensis_sialome/Table_1/links/TX-contig_89.txt","TX-contig_89")</f>
        <v>TX-contig_89</v>
      </c>
      <c r="B276" t="str">
        <f>HYPERLINK("http://exon.niaid.nih.gov/transcriptome/Tx_amboinensis_sialome/Table_1/links/TX-5-90-90-asb-89.txt","Contig-89")</f>
        <v>Contig-89</v>
      </c>
      <c r="C276" t="str">
        <f>HYPERLINK("http://exon.niaid.nih.gov/transcriptome/Tx_amboinensis_sialome/Table_1/links/TX-5-90-90-89-CLU.txt","Contig89")</f>
        <v>Contig89</v>
      </c>
      <c r="D276" s="4">
        <v>1</v>
      </c>
      <c r="E276">
        <v>433</v>
      </c>
      <c r="F276">
        <v>1.8</v>
      </c>
      <c r="G276">
        <v>69.3</v>
      </c>
      <c r="H276">
        <v>414</v>
      </c>
      <c r="I276">
        <v>89</v>
      </c>
      <c r="J276" t="s">
        <v>407</v>
      </c>
      <c r="K276">
        <v>414</v>
      </c>
      <c r="L276" s="3" t="s">
        <v>1036</v>
      </c>
      <c r="M276" s="4">
        <v>0</v>
      </c>
      <c r="N276" s="4">
        <v>0</v>
      </c>
      <c r="O276" s="4">
        <v>0</v>
      </c>
      <c r="P276" s="4">
        <v>0</v>
      </c>
      <c r="Q276" s="5" t="s">
        <v>1039</v>
      </c>
      <c r="R276" s="2" t="str">
        <f>HYPERLINK("http://exon.niaid.nih.gov/transcriptome/Tx_amboinensis_sialome/Table_1/links/NR\TX-contig_89-NR.txt","hypothetical protein, conserved [Ei")</f>
        <v>hypothetical protein, conserved [Ei</v>
      </c>
      <c r="S276" s="4" t="str">
        <f>HYPERLINK("http://www.ncbi.nlm.nih.gov/sutils/blink.cgi?pid=109238416","0.002")</f>
        <v>0.002</v>
      </c>
      <c r="T276" t="s">
        <v>47</v>
      </c>
      <c r="U276" s="4">
        <v>40</v>
      </c>
      <c r="V276" s="4">
        <v>5</v>
      </c>
      <c r="W276" t="s">
        <v>48</v>
      </c>
      <c r="X276" t="s">
        <v>98</v>
      </c>
      <c r="Y276" t="s">
        <v>979</v>
      </c>
      <c r="Z276" s="2" t="s">
        <v>324</v>
      </c>
      <c r="AA276" t="s">
        <v>324</v>
      </c>
      <c r="AB276" t="s">
        <v>324</v>
      </c>
      <c r="AC276" t="s">
        <v>324</v>
      </c>
      <c r="AD276" t="s">
        <v>324</v>
      </c>
      <c r="AE276" t="s">
        <v>324</v>
      </c>
      <c r="AF276" t="s">
        <v>324</v>
      </c>
      <c r="AG276" s="2" t="str">
        <f>HYPERLINK("http://exon.niaid.nih.gov/transcriptome/Tx_amboinensis_sialome/Table_1/links/KOG\TX-contig_89-KOG.txt","Lipid exporter ABCA1 and related proteins, ABC superfamily")</f>
        <v>Lipid exporter ABCA1 and related proteins, ABC superfamily</v>
      </c>
      <c r="AH276" t="str">
        <f>HYPERLINK("http://www.ncbi.nlm.nih.gov/COG/new/shokog.cgi?KOG0059","0.010")</f>
        <v>0.010</v>
      </c>
      <c r="AI276" t="s">
        <v>980</v>
      </c>
      <c r="AJ276" s="2" t="str">
        <f>HYPERLINK("http://exon.niaid.nih.gov/transcriptome/Tx_amboinensis_sialome/Table_1/links/CDD\TX-contig_89-CDD.txt","Yip1")</f>
        <v>Yip1</v>
      </c>
      <c r="AK276" t="str">
        <f>HYPERLINK("http://www.ncbi.nlm.nih.gov/Structure/cdd/cddsrv.cgi?uid=pfam04893&amp;version=v4.0","2E-004")</f>
        <v>2E-004</v>
      </c>
      <c r="AL276" t="s">
        <v>981</v>
      </c>
      <c r="AM276" s="2" t="str">
        <f>HYPERLINK("http://exon.niaid.nih.gov/transcriptome/Tx_amboinensis_sialome/Table_1/links/PFAM\TX-contig_89-PFAM.txt","Yip1")</f>
        <v>Yip1</v>
      </c>
      <c r="AN276" t="str">
        <f>HYPERLINK("http://pfam.wustl.edu/cgi-bin/getdesc?acc=PF04893","8E-005")</f>
        <v>8E-005</v>
      </c>
      <c r="AO276" s="2" t="str">
        <f>HYPERLINK("http://exon.niaid.nih.gov/transcriptome/Tx_amboinensis_sialome/Table_1/links/SMART\TX-contig_89-SMART.txt","PSN")</f>
        <v>PSN</v>
      </c>
      <c r="AP276" t="str">
        <f>HYPERLINK("http://smart.embl-heidelberg.de/smart/do_annotation.pl?DOMAIN=PSN&amp;BLAST=DUMMY","0.002")</f>
        <v>0.002</v>
      </c>
      <c r="AQ276" s="2" t="s">
        <v>324</v>
      </c>
      <c r="AR276" t="s">
        <v>324</v>
      </c>
      <c r="AS276" s="2" t="s">
        <v>324</v>
      </c>
      <c r="AT276" t="s">
        <v>324</v>
      </c>
    </row>
    <row r="277" spans="1:44" ht="11.25">
      <c r="A277" t="str">
        <f>HYPERLINK("http://exon.niaid.nih.gov/transcriptome/Tx_amboinensis_sialome/Table_1/links/TX-contig_348.txt","TX-contig_348")</f>
        <v>TX-contig_348</v>
      </c>
      <c r="B277" t="str">
        <f>HYPERLINK("http://exon.niaid.nih.gov/transcriptome/Tx_amboinensis_sialome/Table_1/links/TX-5-90-90-asb-348.txt","Contig-348")</f>
        <v>Contig-348</v>
      </c>
      <c r="C277" t="str">
        <f>HYPERLINK("http://exon.niaid.nih.gov/transcriptome/Tx_amboinensis_sialome/Table_1/links/TX-5-90-90-348-CLU.txt","Contig348")</f>
        <v>Contig348</v>
      </c>
      <c r="D277" s="4">
        <v>1</v>
      </c>
      <c r="E277">
        <v>239</v>
      </c>
      <c r="F277">
        <v>4.6</v>
      </c>
      <c r="G277">
        <v>76.2</v>
      </c>
      <c r="H277">
        <v>33</v>
      </c>
      <c r="I277">
        <v>348</v>
      </c>
      <c r="J277" t="s">
        <v>1202</v>
      </c>
      <c r="K277">
        <v>33</v>
      </c>
      <c r="L277" s="3" t="s">
        <v>1036</v>
      </c>
      <c r="M277" s="4">
        <v>0</v>
      </c>
      <c r="N277" s="4">
        <v>0</v>
      </c>
      <c r="O277" s="4">
        <v>0</v>
      </c>
      <c r="P277" s="4">
        <v>0</v>
      </c>
      <c r="Q277" s="5" t="s">
        <v>1039</v>
      </c>
      <c r="Y277" t="s">
        <v>777</v>
      </c>
      <c r="Z277" s="2" t="s">
        <v>778</v>
      </c>
      <c r="AA277">
        <f>HYPERLINK("http://exon.niaid.nih.gov/transcriptome/Tx_amboinensis_sialome/Table_1/links/GO\TX-contig_348-GO.txt",0.0000000005)</f>
        <v>0</v>
      </c>
      <c r="AB277" t="s">
        <v>779</v>
      </c>
      <c r="AC277" t="s">
        <v>837</v>
      </c>
      <c r="AD277" t="s">
        <v>780</v>
      </c>
      <c r="AE277" t="s">
        <v>781</v>
      </c>
      <c r="AF277">
        <v>5E-10</v>
      </c>
      <c r="AG277" s="2" t="s">
        <v>324</v>
      </c>
      <c r="AH277" t="s">
        <v>324</v>
      </c>
      <c r="AI277" t="s">
        <v>324</v>
      </c>
      <c r="AJ277" s="2" t="s">
        <v>324</v>
      </c>
      <c r="AK277" t="s">
        <v>324</v>
      </c>
      <c r="AL277" t="s">
        <v>324</v>
      </c>
      <c r="AM277" s="2" t="s">
        <v>324</v>
      </c>
      <c r="AN277" t="s">
        <v>324</v>
      </c>
      <c r="AO277" s="2" t="s">
        <v>324</v>
      </c>
      <c r="AP277" t="s">
        <v>324</v>
      </c>
      <c r="AQ277" s="2" t="s">
        <v>324</v>
      </c>
      <c r="AR277" t="s">
        <v>324</v>
      </c>
    </row>
    <row r="278" spans="1:46" ht="11.25">
      <c r="A278" t="str">
        <f>HYPERLINK("http://exon.niaid.nih.gov/transcriptome/Tx_amboinensis_sialome/Table_1/links/TX-contig_204.txt","TX-contig_204")</f>
        <v>TX-contig_204</v>
      </c>
      <c r="B278" t="str">
        <f>HYPERLINK("http://exon.niaid.nih.gov/transcriptome/Tx_amboinensis_sialome/Table_1/links/TX-5-90-90-asb-204.txt","Contig-204")</f>
        <v>Contig-204</v>
      </c>
      <c r="C278" t="str">
        <f>HYPERLINK("http://exon.niaid.nih.gov/transcriptome/Tx_amboinensis_sialome/Table_1/links/TX-5-90-90-204-CLU.txt","Contig204")</f>
        <v>Contig204</v>
      </c>
      <c r="D278" s="4">
        <v>1</v>
      </c>
      <c r="E278">
        <v>95</v>
      </c>
      <c r="F278">
        <v>2.1</v>
      </c>
      <c r="G278">
        <v>70.5</v>
      </c>
      <c r="H278">
        <v>50</v>
      </c>
      <c r="I278">
        <v>204</v>
      </c>
      <c r="J278" t="s">
        <v>517</v>
      </c>
      <c r="K278">
        <v>50</v>
      </c>
      <c r="L278" s="3" t="s">
        <v>1036</v>
      </c>
      <c r="M278" s="4">
        <v>0</v>
      </c>
      <c r="N278" s="4">
        <v>0</v>
      </c>
      <c r="O278" s="4">
        <v>0</v>
      </c>
      <c r="P278" s="4">
        <v>0</v>
      </c>
      <c r="Q278" s="5" t="s">
        <v>1039</v>
      </c>
      <c r="R278" s="2" t="str">
        <f>HYPERLINK("http://exon.niaid.nih.gov/transcriptome/Tx_amboinensis_sialome/Table_1/links/NR\TX-contig_204-NR.txt","hydroxyproline-rich glycoprotein DZ-H")</f>
        <v>hydroxyproline-rich glycoprotein DZ-H</v>
      </c>
      <c r="S278" s="4" t="str">
        <f>HYPERLINK("http://www.ncbi.nlm.nih.gov/sutils/blink.cgi?pid=62733342","1.5")</f>
        <v>1.5</v>
      </c>
      <c r="T278" t="s">
        <v>879</v>
      </c>
      <c r="U278" s="4">
        <v>69</v>
      </c>
      <c r="V278" s="4">
        <v>4</v>
      </c>
      <c r="W278" t="s">
        <v>1323</v>
      </c>
      <c r="X278" t="s">
        <v>880</v>
      </c>
      <c r="Y278" t="s">
        <v>880</v>
      </c>
      <c r="Z278" s="2" t="s">
        <v>324</v>
      </c>
      <c r="AA278" t="s">
        <v>324</v>
      </c>
      <c r="AB278" t="s">
        <v>324</v>
      </c>
      <c r="AC278" t="s">
        <v>324</v>
      </c>
      <c r="AD278" t="s">
        <v>324</v>
      </c>
      <c r="AE278" t="s">
        <v>324</v>
      </c>
      <c r="AF278" t="s">
        <v>324</v>
      </c>
      <c r="AG278" s="2" t="s">
        <v>324</v>
      </c>
      <c r="AH278" t="s">
        <v>324</v>
      </c>
      <c r="AI278" t="s">
        <v>324</v>
      </c>
      <c r="AJ278" s="2" t="s">
        <v>324</v>
      </c>
      <c r="AK278" t="s">
        <v>324</v>
      </c>
      <c r="AL278" t="s">
        <v>324</v>
      </c>
      <c r="AM278" s="2" t="s">
        <v>324</v>
      </c>
      <c r="AN278" t="s">
        <v>324</v>
      </c>
      <c r="AO278" s="2" t="s">
        <v>324</v>
      </c>
      <c r="AP278" t="s">
        <v>324</v>
      </c>
      <c r="AQ278" s="2" t="s">
        <v>324</v>
      </c>
      <c r="AR278" t="s">
        <v>324</v>
      </c>
      <c r="AS278" s="2" t="s">
        <v>324</v>
      </c>
      <c r="AT278" t="s">
        <v>324</v>
      </c>
    </row>
    <row r="279" spans="1:46" ht="11.25">
      <c r="A279" t="str">
        <f>HYPERLINK("http://exon.niaid.nih.gov/transcriptome/Tx_amboinensis_sialome/Table_1/links/TX-contig_83.txt","TX-contig_83")</f>
        <v>TX-contig_83</v>
      </c>
      <c r="B279" t="str">
        <f>HYPERLINK("http://exon.niaid.nih.gov/transcriptome/Tx_amboinensis_sialome/Table_1/links/TX-5-90-90-asb-83.txt","Contig-83")</f>
        <v>Contig-83</v>
      </c>
      <c r="C279" t="str">
        <f>HYPERLINK("http://exon.niaid.nih.gov/transcriptome/Tx_amboinensis_sialome/Table_1/links/TX-5-90-90-83-CLU.txt","Contig83")</f>
        <v>Contig83</v>
      </c>
      <c r="D279" s="4">
        <v>1</v>
      </c>
      <c r="E279">
        <v>279</v>
      </c>
      <c r="F279" t="s">
        <v>322</v>
      </c>
      <c r="G279">
        <v>47</v>
      </c>
      <c r="H279">
        <v>260</v>
      </c>
      <c r="I279">
        <v>83</v>
      </c>
      <c r="J279" t="s">
        <v>401</v>
      </c>
      <c r="K279">
        <v>260</v>
      </c>
      <c r="L279" s="3" t="s">
        <v>1036</v>
      </c>
      <c r="M279" s="4">
        <v>0</v>
      </c>
      <c r="N279" s="4">
        <v>0</v>
      </c>
      <c r="O279" s="4">
        <v>0</v>
      </c>
      <c r="P279" s="4">
        <v>0</v>
      </c>
      <c r="Q279" s="5" t="s">
        <v>1039</v>
      </c>
      <c r="R279" s="2" t="str">
        <f>HYPERLINK("http://exon.niaid.nih.gov/transcriptome/Tx_amboinensis_sialome/Table_1/links/NR\TX-contig_83-NR.txt","putative aldehyde dehydrogenase [")</f>
        <v>putative aldehyde dehydrogenase [</v>
      </c>
      <c r="S279" s="4" t="str">
        <f>HYPERLINK("http://www.ncbi.nlm.nih.gov/sutils/blink.cgi?pid=88932464","1.4")</f>
        <v>1.4</v>
      </c>
      <c r="T279" t="s">
        <v>99</v>
      </c>
      <c r="U279" s="4">
        <v>43</v>
      </c>
      <c r="V279" s="4">
        <v>8</v>
      </c>
      <c r="W279" t="s">
        <v>100</v>
      </c>
      <c r="X279" t="s">
        <v>101</v>
      </c>
      <c r="Y279" t="s">
        <v>216</v>
      </c>
      <c r="Z279" s="2" t="s">
        <v>324</v>
      </c>
      <c r="AA279" t="s">
        <v>324</v>
      </c>
      <c r="AB279" t="s">
        <v>324</v>
      </c>
      <c r="AC279" t="s">
        <v>324</v>
      </c>
      <c r="AD279" t="s">
        <v>324</v>
      </c>
      <c r="AE279" t="s">
        <v>324</v>
      </c>
      <c r="AF279" t="s">
        <v>324</v>
      </c>
      <c r="AG279" s="2" t="str">
        <f>HYPERLINK("http://exon.niaid.nih.gov/transcriptome/Tx_amboinensis_sialome/Table_1/links/KOG\TX-contig_83-KOG.txt","Aromatic-L-amino-acid/L-histidine decarboxylase")</f>
        <v>Aromatic-L-amino-acid/L-histidine decarboxylase</v>
      </c>
      <c r="AH279" t="str">
        <f>HYPERLINK("http://www.ncbi.nlm.nih.gov/COG/new/shokog.cgi?KOG0628","0.073")</f>
        <v>0.073</v>
      </c>
      <c r="AI279" t="s">
        <v>217</v>
      </c>
      <c r="AJ279" s="2" t="str">
        <f>HYPERLINK("http://exon.niaid.nih.gov/transcriptome/Tx_amboinensis_sialome/Table_1/links/CDD\TX-contig_83-CDD.txt","Calpain_III")</f>
        <v>Calpain_III</v>
      </c>
      <c r="AK279" t="str">
        <f>HYPERLINK("http://www.ncbi.nlm.nih.gov/Structure/cdd/cddsrv.cgi?uid=cd00214&amp;version=v4.0","0.27")</f>
        <v>0.27</v>
      </c>
      <c r="AL279" t="s">
        <v>218</v>
      </c>
      <c r="AM279" s="2" t="str">
        <f>HYPERLINK("http://exon.niaid.nih.gov/transcriptome/Tx_amboinensis_sialome/Table_1/links/PFAM\TX-contig_83-PFAM.txt","Calpain_III")</f>
        <v>Calpain_III</v>
      </c>
      <c r="AN279" t="str">
        <f>HYPERLINK("http://pfam.wustl.edu/cgi-bin/getdesc?acc=PF01067","0.012")</f>
        <v>0.012</v>
      </c>
      <c r="AO279" s="2" t="str">
        <f>HYPERLINK("http://exon.niaid.nih.gov/transcriptome/Tx_amboinensis_sialome/Table_1/links/SMART\TX-contig_83-SMART.txt","calpain_III")</f>
        <v>calpain_III</v>
      </c>
      <c r="AP279" t="str">
        <f>HYPERLINK("http://smart.embl-heidelberg.de/smart/do_annotation.pl?DOMAIN=calpain_III&amp;BLAST=DUMMY","0.003")</f>
        <v>0.003</v>
      </c>
      <c r="AQ279" s="2" t="s">
        <v>324</v>
      </c>
      <c r="AR279" t="s">
        <v>324</v>
      </c>
      <c r="AS279" s="2" t="s">
        <v>324</v>
      </c>
      <c r="AT279" t="s">
        <v>324</v>
      </c>
    </row>
    <row r="280" spans="1:46" ht="11.25">
      <c r="A280" t="str">
        <f>HYPERLINK("http://exon.niaid.nih.gov/transcriptome/Tx_amboinensis_sialome/Table_1/links/TX-contig_50.txt","TX-contig_50")</f>
        <v>TX-contig_50</v>
      </c>
      <c r="B280" t="str">
        <f>HYPERLINK("http://exon.niaid.nih.gov/transcriptome/Tx_amboinensis_sialome/Table_1/links/TX-5-90-90-asb-50.txt","Contig-50")</f>
        <v>Contig-50</v>
      </c>
      <c r="C280" t="str">
        <f>HYPERLINK("http://exon.niaid.nih.gov/transcriptome/Tx_amboinensis_sialome/Table_1/links/TX-5-90-90-50-CLU.txt","Contig50")</f>
        <v>Contig50</v>
      </c>
      <c r="D280" s="4">
        <v>1</v>
      </c>
      <c r="E280">
        <v>115</v>
      </c>
      <c r="F280" t="s">
        <v>322</v>
      </c>
      <c r="G280">
        <v>58.3</v>
      </c>
      <c r="H280">
        <v>96</v>
      </c>
      <c r="I280">
        <v>50</v>
      </c>
      <c r="J280" t="s">
        <v>371</v>
      </c>
      <c r="K280">
        <v>96</v>
      </c>
      <c r="L280" s="3" t="s">
        <v>1036</v>
      </c>
      <c r="M280" s="4">
        <v>0</v>
      </c>
      <c r="N280" s="4">
        <v>0</v>
      </c>
      <c r="O280" s="4">
        <v>0</v>
      </c>
      <c r="P280" s="4">
        <v>0</v>
      </c>
      <c r="Q280" s="5" t="s">
        <v>1039</v>
      </c>
      <c r="R280" s="2" t="str">
        <f>HYPERLINK("http://exon.niaid.nih.gov/transcriptome/Tx_amboinensis_sialome/Table_1/links/NR\TX-contig_50-NR.txt","mFLJ00348 protein [Mus musculus]           32      12")</f>
        <v>mFLJ00348 protein [Mus musculus]           32      12</v>
      </c>
      <c r="S280" s="4" t="str">
        <f>HYPERLINK("http://www.ncbi.nlm.nih.gov/sutils/blink.cgi?pid=60360292","12")</f>
        <v>12</v>
      </c>
      <c r="T280" t="s">
        <v>102</v>
      </c>
      <c r="U280" s="4">
        <v>63</v>
      </c>
      <c r="V280" s="4">
        <v>2</v>
      </c>
      <c r="W280" t="s">
        <v>223</v>
      </c>
      <c r="X280" t="s">
        <v>103</v>
      </c>
      <c r="Y280" t="s">
        <v>224</v>
      </c>
      <c r="Z280" s="2" t="s">
        <v>324</v>
      </c>
      <c r="AA280" t="s">
        <v>324</v>
      </c>
      <c r="AB280" t="s">
        <v>324</v>
      </c>
      <c r="AC280" t="s">
        <v>324</v>
      </c>
      <c r="AD280" t="s">
        <v>324</v>
      </c>
      <c r="AE280" t="s">
        <v>324</v>
      </c>
      <c r="AF280" t="s">
        <v>324</v>
      </c>
      <c r="AG280" s="2" t="s">
        <v>324</v>
      </c>
      <c r="AH280" t="s">
        <v>324</v>
      </c>
      <c r="AI280" t="s">
        <v>324</v>
      </c>
      <c r="AJ280" s="2" t="s">
        <v>324</v>
      </c>
      <c r="AK280" t="s">
        <v>324</v>
      </c>
      <c r="AL280" t="s">
        <v>324</v>
      </c>
      <c r="AM280" s="2" t="s">
        <v>324</v>
      </c>
      <c r="AN280" t="s">
        <v>324</v>
      </c>
      <c r="AO280" s="2" t="str">
        <f>HYPERLINK("http://exon.niaid.nih.gov/transcriptome/Tx_amboinensis_sialome/Table_1/links/SMART\TX-contig_50-SMART.txt","TR_FER")</f>
        <v>TR_FER</v>
      </c>
      <c r="AP280" t="str">
        <f>HYPERLINK("http://smart.embl-heidelberg.de/smart/do_annotation.pl?DOMAIN=TR_FER&amp;BLAST=DUMMY","0.18")</f>
        <v>0.18</v>
      </c>
      <c r="AQ280" s="2" t="s">
        <v>324</v>
      </c>
      <c r="AR280" t="s">
        <v>324</v>
      </c>
      <c r="AS280" s="2" t="str">
        <f>HYPERLINK("http://exon.niaid.nih.gov/transcriptome/Tx_amboinensis_sialome/Table_1/links/RRNA\TX-contig_50-RRNA.txt","Pristionchus pacificus 18S ribos")</f>
        <v>Pristionchus pacificus 18S ribos</v>
      </c>
      <c r="AT280" t="str">
        <f>HYPERLINK("http://www.ncbi.nlm.nih.gov/sutils/blink.cgi?pid=4099004","5E-018")</f>
        <v>5E-018</v>
      </c>
    </row>
    <row r="281" spans="1:44" ht="11.25">
      <c r="A281" t="str">
        <f>HYPERLINK("http://exon.niaid.nih.gov/transcriptome/Tx_amboinensis_sialome/Table_1/links/TX-contig_210.txt","TX-contig_210")</f>
        <v>TX-contig_210</v>
      </c>
      <c r="B281" t="str">
        <f>HYPERLINK("http://exon.niaid.nih.gov/transcriptome/Tx_amboinensis_sialome/Table_1/links/TX-5-90-90-asb-210.txt","Contig-210")</f>
        <v>Contig-210</v>
      </c>
      <c r="C281" t="str">
        <f>HYPERLINK("http://exon.niaid.nih.gov/transcriptome/Tx_amboinensis_sialome/Table_1/links/TX-5-90-90-210-CLU.txt","Contig210")</f>
        <v>Contig210</v>
      </c>
      <c r="D281" s="4">
        <v>1</v>
      </c>
      <c r="E281">
        <v>162</v>
      </c>
      <c r="F281">
        <v>4.9</v>
      </c>
      <c r="G281">
        <v>88.9</v>
      </c>
      <c r="H281">
        <v>24</v>
      </c>
      <c r="I281">
        <v>210</v>
      </c>
      <c r="J281" t="s">
        <v>523</v>
      </c>
      <c r="K281">
        <v>24</v>
      </c>
      <c r="L281" s="3" t="s">
        <v>1036</v>
      </c>
      <c r="M281" s="4">
        <v>0</v>
      </c>
      <c r="N281" s="4">
        <v>0</v>
      </c>
      <c r="O281" s="4">
        <v>0</v>
      </c>
      <c r="P281" s="4">
        <v>0</v>
      </c>
      <c r="Q281" s="5" t="s">
        <v>1039</v>
      </c>
      <c r="R281" s="2" t="str">
        <f>HYPERLINK("http://exon.niaid.nih.gov/transcriptome/Tx_amboinensis_sialome/Table_1/links/NR\TX-contig_210-NR.txt","unknown [Schistosoma japonicum]             33   4.1")</f>
        <v>unknown [Schistosoma japonicum]             33   4.1</v>
      </c>
      <c r="S281" s="4" t="str">
        <f>HYPERLINK("http://www.ncbi.nlm.nih.gov/sutils/blink.cgi?pid=60602908","4.1")</f>
        <v>4.1</v>
      </c>
      <c r="T281" t="s">
        <v>842</v>
      </c>
      <c r="U281" s="4">
        <v>72</v>
      </c>
      <c r="V281" s="4">
        <v>17</v>
      </c>
      <c r="W281" t="s">
        <v>843</v>
      </c>
      <c r="X281" t="s">
        <v>104</v>
      </c>
      <c r="Y281" t="s">
        <v>884</v>
      </c>
      <c r="Z281" s="2" t="s">
        <v>324</v>
      </c>
      <c r="AA281" t="s">
        <v>324</v>
      </c>
      <c r="AB281" t="s">
        <v>324</v>
      </c>
      <c r="AC281" t="s">
        <v>324</v>
      </c>
      <c r="AD281" t="s">
        <v>324</v>
      </c>
      <c r="AE281" t="s">
        <v>324</v>
      </c>
      <c r="AF281" t="s">
        <v>324</v>
      </c>
      <c r="AG281" s="2" t="s">
        <v>324</v>
      </c>
      <c r="AH281" t="s">
        <v>324</v>
      </c>
      <c r="AI281" t="s">
        <v>324</v>
      </c>
      <c r="AJ281" s="2" t="str">
        <f>HYPERLINK("http://exon.niaid.nih.gov/transcriptome/Tx_amboinensis_sialome/Table_1/links/CDD\TX-contig_210-CDD.txt","YMF19")</f>
        <v>YMF19</v>
      </c>
      <c r="AK281" t="str">
        <f>HYPERLINK("http://www.ncbi.nlm.nih.gov/Structure/cdd/cddsrv.cgi?uid=pfam02326&amp;version=v4.0","0.44")</f>
        <v>0.44</v>
      </c>
      <c r="AL281" t="s">
        <v>885</v>
      </c>
      <c r="AM281" s="2" t="str">
        <f>HYPERLINK("http://exon.niaid.nih.gov/transcriptome/Tx_amboinensis_sialome/Table_1/links/PFAM\TX-contig_210-PFAM.txt","YMF19")</f>
        <v>YMF19</v>
      </c>
      <c r="AN281" t="str">
        <f>HYPERLINK("http://pfam.wustl.edu/cgi-bin/getdesc?acc=PF02326","0.23")</f>
        <v>0.23</v>
      </c>
      <c r="AO281" s="2" t="s">
        <v>324</v>
      </c>
      <c r="AP281" t="s">
        <v>324</v>
      </c>
      <c r="AQ281" s="2" t="s">
        <v>324</v>
      </c>
      <c r="AR281" t="s">
        <v>324</v>
      </c>
    </row>
    <row r="282" spans="1:46" ht="11.25">
      <c r="A282" t="str">
        <f>HYPERLINK("http://exon.niaid.nih.gov/transcriptome/Tx_amboinensis_sialome/Table_1/links/TX-contig_84.txt","TX-contig_84")</f>
        <v>TX-contig_84</v>
      </c>
      <c r="B282" t="str">
        <f>HYPERLINK("http://exon.niaid.nih.gov/transcriptome/Tx_amboinensis_sialome/Table_1/links/TX-5-90-90-asb-84.txt","Contig-84")</f>
        <v>Contig-84</v>
      </c>
      <c r="C282" t="str">
        <f>HYPERLINK("http://exon.niaid.nih.gov/transcriptome/Tx_amboinensis_sialome/Table_1/links/TX-5-90-90-84-CLU.txt","Contig84")</f>
        <v>Contig84</v>
      </c>
      <c r="D282" s="4">
        <v>1</v>
      </c>
      <c r="E282">
        <v>409</v>
      </c>
      <c r="F282">
        <v>0.5</v>
      </c>
      <c r="G282">
        <v>49.1</v>
      </c>
      <c r="H282">
        <v>390</v>
      </c>
      <c r="I282">
        <v>84</v>
      </c>
      <c r="J282" t="s">
        <v>402</v>
      </c>
      <c r="K282">
        <v>390</v>
      </c>
      <c r="L282" s="3" t="s">
        <v>1036</v>
      </c>
      <c r="M282" s="4">
        <v>0</v>
      </c>
      <c r="N282" s="4">
        <v>0</v>
      </c>
      <c r="O282" s="4">
        <v>0</v>
      </c>
      <c r="P282" s="4">
        <v>0</v>
      </c>
      <c r="Q282" s="5" t="s">
        <v>1039</v>
      </c>
      <c r="R282" s="2" t="str">
        <f>HYPERLINK("http://exon.niaid.nih.gov/transcriptome/Tx_amboinensis_sialome/Table_1/links/NR\TX-contig_84-NR.txt","hypothetical protein AaeL_AAEL004353")</f>
        <v>hypothetical protein AaeL_AAEL004353</v>
      </c>
      <c r="S282" s="4" t="str">
        <f>HYPERLINK("http://www.ncbi.nlm.nih.gov/sutils/blink.cgi?pid=108880008","2E-008")</f>
        <v>2E-008</v>
      </c>
      <c r="T282" t="s">
        <v>105</v>
      </c>
      <c r="U282" s="4">
        <v>38</v>
      </c>
      <c r="V282" s="4">
        <v>24</v>
      </c>
      <c r="W282" t="s">
        <v>901</v>
      </c>
      <c r="X282" t="s">
        <v>189</v>
      </c>
      <c r="Y282" t="s">
        <v>975</v>
      </c>
      <c r="Z282" s="2" t="s">
        <v>324</v>
      </c>
      <c r="AA282" t="s">
        <v>324</v>
      </c>
      <c r="AB282" t="s">
        <v>324</v>
      </c>
      <c r="AC282" t="s">
        <v>324</v>
      </c>
      <c r="AD282" t="s">
        <v>324</v>
      </c>
      <c r="AE282" t="s">
        <v>324</v>
      </c>
      <c r="AF282" t="s">
        <v>324</v>
      </c>
      <c r="AG282" s="2" t="str">
        <f>HYPERLINK("http://exon.niaid.nih.gov/transcriptome/Tx_amboinensis_sialome/Table_1/links/KOG\TX-contig_84-KOG.txt","Jacalin-like lectin domain-containing protein")</f>
        <v>Jacalin-like lectin domain-containing protein</v>
      </c>
      <c r="AH282" t="str">
        <f>HYPERLINK("http://www.ncbi.nlm.nih.gov/COG/new/shokog.cgi?KOG4525","0.44")</f>
        <v>0.44</v>
      </c>
      <c r="AI282" t="s">
        <v>1331</v>
      </c>
      <c r="AJ282" s="2" t="str">
        <f>HYPERLINK("http://exon.niaid.nih.gov/transcriptome/Tx_amboinensis_sialome/Table_1/links/CDD\TX-contig_84-CDD.txt","COG1583")</f>
        <v>COG1583</v>
      </c>
      <c r="AK282" t="str">
        <f>HYPERLINK("http://www.ncbi.nlm.nih.gov/Structure/cdd/cddsrv.cgi?uid=COG1583&amp;version=v4.0","0.018")</f>
        <v>0.018</v>
      </c>
      <c r="AL282" t="s">
        <v>976</v>
      </c>
      <c r="AM282" s="2" t="str">
        <f>HYPERLINK("http://exon.niaid.nih.gov/transcriptome/Tx_amboinensis_sialome/Table_1/links/PFAM\TX-contig_84-PFAM.txt","CcmE")</f>
        <v>CcmE</v>
      </c>
      <c r="AN282" t="str">
        <f>HYPERLINK("http://pfam.wustl.edu/cgi-bin/getdesc?acc=PF03100","0.40")</f>
        <v>0.40</v>
      </c>
      <c r="AO282" s="2" t="str">
        <f>HYPERLINK("http://exon.niaid.nih.gov/transcriptome/Tx_amboinensis_sialome/Table_1/links/SMART\TX-contig_84-SMART.txt","BBOX")</f>
        <v>BBOX</v>
      </c>
      <c r="AP282" t="str">
        <f>HYPERLINK("http://smart.embl-heidelberg.de/smart/do_annotation.pl?DOMAIN=BBOX&amp;BLAST=DUMMY","0.25")</f>
        <v>0.25</v>
      </c>
      <c r="AQ282" s="2" t="s">
        <v>324</v>
      </c>
      <c r="AR282" t="s">
        <v>324</v>
      </c>
      <c r="AS282" s="2" t="s">
        <v>324</v>
      </c>
      <c r="AT282" t="s">
        <v>324</v>
      </c>
    </row>
    <row r="283" spans="1:46" ht="11.25">
      <c r="A283" t="str">
        <f>HYPERLINK("http://exon.niaid.nih.gov/transcriptome/Tx_amboinensis_sialome/Table_1/links/TX-contig_356.txt","TX-contig_356")</f>
        <v>TX-contig_356</v>
      </c>
      <c r="B283" t="str">
        <f>HYPERLINK("http://exon.niaid.nih.gov/transcriptome/Tx_amboinensis_sialome/Table_1/links/TX-5-90-90-asb-356.txt","Contig-356")</f>
        <v>Contig-356</v>
      </c>
      <c r="C283" t="str">
        <f>HYPERLINK("http://exon.niaid.nih.gov/transcriptome/Tx_amboinensis_sialome/Table_1/links/TX-5-90-90-356-CLU.txt","Contig356")</f>
        <v>Contig356</v>
      </c>
      <c r="D283" s="4">
        <v>1</v>
      </c>
      <c r="E283">
        <v>141</v>
      </c>
      <c r="F283">
        <v>1.4</v>
      </c>
      <c r="G283">
        <v>70.9</v>
      </c>
      <c r="H283">
        <v>122</v>
      </c>
      <c r="I283">
        <v>356</v>
      </c>
      <c r="J283" t="s">
        <v>1210</v>
      </c>
      <c r="K283">
        <v>122</v>
      </c>
      <c r="L283" s="3" t="s">
        <v>1036</v>
      </c>
      <c r="M283" s="4">
        <v>0</v>
      </c>
      <c r="N283" s="4">
        <v>0</v>
      </c>
      <c r="O283" s="4">
        <v>0</v>
      </c>
      <c r="P283" s="4">
        <v>0</v>
      </c>
      <c r="Q283" s="5" t="s">
        <v>1039</v>
      </c>
      <c r="R283" s="2" t="str">
        <f>HYPERLINK("http://exon.niaid.nih.gov/transcriptome/Tx_amboinensis_sialome/Table_1/links/NR\TX-contig_356-NR.txt","PREDICTED: similar to Myosin-5B (My")</f>
        <v>PREDICTED: similar to Myosin-5B (My</v>
      </c>
      <c r="S283" s="4" t="str">
        <f>HYPERLINK("http://www.ncbi.nlm.nih.gov/sutils/blink.cgi?pid=89047143","5.2")</f>
        <v>5.2</v>
      </c>
      <c r="T283" t="s">
        <v>190</v>
      </c>
      <c r="U283" s="4">
        <v>60</v>
      </c>
      <c r="V283" s="4">
        <v>1</v>
      </c>
      <c r="W283" t="s">
        <v>769</v>
      </c>
      <c r="X283" t="s">
        <v>191</v>
      </c>
      <c r="Y283" t="s">
        <v>792</v>
      </c>
      <c r="Z283" s="2" t="s">
        <v>324</v>
      </c>
      <c r="AA283" t="s">
        <v>324</v>
      </c>
      <c r="AB283" t="s">
        <v>324</v>
      </c>
      <c r="AC283" t="s">
        <v>324</v>
      </c>
      <c r="AD283" t="s">
        <v>324</v>
      </c>
      <c r="AE283" t="s">
        <v>324</v>
      </c>
      <c r="AF283" t="s">
        <v>324</v>
      </c>
      <c r="AG283" s="2" t="s">
        <v>324</v>
      </c>
      <c r="AH283" t="s">
        <v>324</v>
      </c>
      <c r="AI283" t="s">
        <v>324</v>
      </c>
      <c r="AJ283" s="2" t="str">
        <f>HYPERLINK("http://exon.niaid.nih.gov/transcriptome/Tx_amboinensis_sialome/Table_1/links/CDD\TX-contig_356-CDD.txt","Fuc4NAc_transf")</f>
        <v>Fuc4NAc_transf</v>
      </c>
      <c r="AK283" t="str">
        <f>HYPERLINK("http://www.ncbi.nlm.nih.gov/Structure/cdd/cddsrv.cgi?uid=pfam07429&amp;version=v4.0","0.62")</f>
        <v>0.62</v>
      </c>
      <c r="AL283" t="s">
        <v>793</v>
      </c>
      <c r="AM283" s="2" t="str">
        <f>HYPERLINK("http://exon.niaid.nih.gov/transcriptome/Tx_amboinensis_sialome/Table_1/links/PFAM\TX-contig_356-PFAM.txt","Fuc4NAc_transf")</f>
        <v>Fuc4NAc_transf</v>
      </c>
      <c r="AN283" t="str">
        <f>HYPERLINK("http://pfam.wustl.edu/cgi-bin/getdesc?acc=PF07429","0.33")</f>
        <v>0.33</v>
      </c>
      <c r="AO283" s="2" t="str">
        <f>HYPERLINK("http://exon.niaid.nih.gov/transcriptome/Tx_amboinensis_sialome/Table_1/links/SMART\TX-contig_356-SMART.txt","SH2")</f>
        <v>SH2</v>
      </c>
      <c r="AP283" t="str">
        <f>HYPERLINK("http://smart.embl-heidelberg.de/smart/do_annotation.pl?DOMAIN=SH2&amp;BLAST=DUMMY","0.53")</f>
        <v>0.53</v>
      </c>
      <c r="AQ283" s="2" t="s">
        <v>324</v>
      </c>
      <c r="AR283" t="s">
        <v>324</v>
      </c>
      <c r="AS283" s="2" t="s">
        <v>324</v>
      </c>
      <c r="AT283" t="s">
        <v>324</v>
      </c>
    </row>
    <row r="284" spans="1:46" ht="11.25">
      <c r="A284" t="str">
        <f>HYPERLINK("http://exon.niaid.nih.gov/transcriptome/Tx_amboinensis_sialome/Table_1/links/TX-contig_335.txt","TX-contig_335")</f>
        <v>TX-contig_335</v>
      </c>
      <c r="B284" t="str">
        <f>HYPERLINK("http://exon.niaid.nih.gov/transcriptome/Tx_amboinensis_sialome/Table_1/links/TX-5-90-90-asb-335.txt","Contig-335")</f>
        <v>Contig-335</v>
      </c>
      <c r="C284" t="str">
        <f>HYPERLINK("http://exon.niaid.nih.gov/transcriptome/Tx_amboinensis_sialome/Table_1/links/TX-5-90-90-335-CLU.txt","Contig335")</f>
        <v>Contig335</v>
      </c>
      <c r="D284" s="4">
        <v>1</v>
      </c>
      <c r="E284">
        <v>152</v>
      </c>
      <c r="F284" t="s">
        <v>322</v>
      </c>
      <c r="G284">
        <v>69.1</v>
      </c>
      <c r="H284">
        <v>133</v>
      </c>
      <c r="I284">
        <v>335</v>
      </c>
      <c r="J284" t="s">
        <v>1189</v>
      </c>
      <c r="K284">
        <v>133</v>
      </c>
      <c r="L284" s="3" t="s">
        <v>1036</v>
      </c>
      <c r="M284" s="4">
        <v>0</v>
      </c>
      <c r="N284" s="4">
        <v>0</v>
      </c>
      <c r="O284" s="4">
        <v>0</v>
      </c>
      <c r="P284" s="4">
        <v>0</v>
      </c>
      <c r="Q284" s="5" t="s">
        <v>1039</v>
      </c>
      <c r="R284" s="2" t="str">
        <f>HYPERLINK("http://exon.niaid.nih.gov/transcriptome/Tx_amboinensis_sialome/Table_1/links/NR\TX-contig_335-NR.txt","60S ribosomal protein L13a [Aedes aeg")</f>
        <v>60S ribosomal protein L13a [Aedes aeg</v>
      </c>
      <c r="S284" s="4" t="str">
        <f>HYPERLINK("http://www.ncbi.nlm.nih.gov/sutils/blink.cgi?pid=94468830","6E-005")</f>
        <v>6E-005</v>
      </c>
      <c r="T284" t="s">
        <v>192</v>
      </c>
      <c r="U284" s="4">
        <v>84</v>
      </c>
      <c r="V284" s="4">
        <v>11</v>
      </c>
      <c r="W284" t="s">
        <v>901</v>
      </c>
      <c r="X284" t="s">
        <v>193</v>
      </c>
      <c r="Y284" t="s">
        <v>763</v>
      </c>
      <c r="Z284" s="2" t="s">
        <v>324</v>
      </c>
      <c r="AA284" t="s">
        <v>324</v>
      </c>
      <c r="AB284" t="s">
        <v>324</v>
      </c>
      <c r="AC284" t="s">
        <v>324</v>
      </c>
      <c r="AD284" t="s">
        <v>324</v>
      </c>
      <c r="AE284" t="s">
        <v>324</v>
      </c>
      <c r="AF284" t="s">
        <v>324</v>
      </c>
      <c r="AG284" s="2" t="str">
        <f>HYPERLINK("http://exon.niaid.nih.gov/transcriptome/Tx_amboinensis_sialome/Table_1/links/KOG\TX-contig_335-KOG.txt","Na+/K+ ATPase, alpha subunit")</f>
        <v>Na+/K+ ATPase, alpha subunit</v>
      </c>
      <c r="AH284" t="str">
        <f>HYPERLINK("http://www.ncbi.nlm.nih.gov/COG/new/shokog.cgi?KOG0203","0.22")</f>
        <v>0.22</v>
      </c>
      <c r="AI284" t="s">
        <v>840</v>
      </c>
      <c r="AJ284" s="2" t="s">
        <v>324</v>
      </c>
      <c r="AK284" t="s">
        <v>324</v>
      </c>
      <c r="AL284" t="s">
        <v>324</v>
      </c>
      <c r="AM284" s="2" t="s">
        <v>324</v>
      </c>
      <c r="AN284" t="s">
        <v>324</v>
      </c>
      <c r="AO284" s="2" t="s">
        <v>324</v>
      </c>
      <c r="AP284" t="s">
        <v>324</v>
      </c>
      <c r="AQ284" s="2" t="s">
        <v>324</v>
      </c>
      <c r="AR284" t="s">
        <v>324</v>
      </c>
      <c r="AS284" s="2" t="s">
        <v>324</v>
      </c>
      <c r="AT284" t="s">
        <v>324</v>
      </c>
    </row>
    <row r="285" spans="1:44" ht="11.25">
      <c r="A285" t="str">
        <f>HYPERLINK("http://exon.niaid.nih.gov/transcriptome/Tx_amboinensis_sialome/Table_1/links/TX-contig_471.txt","TX-contig_471")</f>
        <v>TX-contig_471</v>
      </c>
      <c r="B285" t="str">
        <f>HYPERLINK("http://exon.niaid.nih.gov/transcriptome/Tx_amboinensis_sialome/Table_1/links/TX-5-90-90-asb-471.txt","Contig-471")</f>
        <v>Contig-471</v>
      </c>
      <c r="C285" t="str">
        <f>HYPERLINK("http://exon.niaid.nih.gov/transcriptome/Tx_amboinensis_sialome/Table_1/links/TX-5-90-90-471-CLU.txt","Contig471")</f>
        <v>Contig471</v>
      </c>
      <c r="D285" s="4">
        <v>1</v>
      </c>
      <c r="E285">
        <v>113</v>
      </c>
      <c r="F285" t="s">
        <v>322</v>
      </c>
      <c r="G285">
        <v>71.7</v>
      </c>
      <c r="H285">
        <v>34</v>
      </c>
      <c r="I285">
        <v>471</v>
      </c>
      <c r="J285" t="s">
        <v>641</v>
      </c>
      <c r="K285">
        <v>34</v>
      </c>
      <c r="L285" s="3" t="s">
        <v>1036</v>
      </c>
      <c r="M285" s="4">
        <v>0</v>
      </c>
      <c r="N285" s="4">
        <v>0</v>
      </c>
      <c r="O285" s="4">
        <v>0</v>
      </c>
      <c r="P285" s="4">
        <v>0</v>
      </c>
      <c r="Q285" s="5" t="s">
        <v>1039</v>
      </c>
      <c r="Y285" t="s">
        <v>324</v>
      </c>
      <c r="Z285" s="2" t="s">
        <v>324</v>
      </c>
      <c r="AA285" t="s">
        <v>324</v>
      </c>
      <c r="AB285" t="s">
        <v>324</v>
      </c>
      <c r="AC285" t="s">
        <v>324</v>
      </c>
      <c r="AD285" t="s">
        <v>324</v>
      </c>
      <c r="AE285" t="s">
        <v>324</v>
      </c>
      <c r="AF285" t="s">
        <v>324</v>
      </c>
      <c r="AG285" s="2" t="s">
        <v>324</v>
      </c>
      <c r="AH285" t="s">
        <v>324</v>
      </c>
      <c r="AI285" t="s">
        <v>324</v>
      </c>
      <c r="AJ285" s="2" t="s">
        <v>324</v>
      </c>
      <c r="AK285" t="s">
        <v>324</v>
      </c>
      <c r="AL285" t="s">
        <v>324</v>
      </c>
      <c r="AM285" s="2" t="s">
        <v>324</v>
      </c>
      <c r="AN285" t="s">
        <v>324</v>
      </c>
      <c r="AO285" s="2" t="s">
        <v>324</v>
      </c>
      <c r="AP285" t="s">
        <v>324</v>
      </c>
      <c r="AQ285" s="2" t="s">
        <v>324</v>
      </c>
      <c r="AR285" t="s">
        <v>324</v>
      </c>
    </row>
    <row r="286" spans="1:44" ht="11.25">
      <c r="A286" t="str">
        <f>HYPERLINK("http://exon.niaid.nih.gov/transcriptome/Tx_amboinensis_sialome/Table_1/links/TX-contig_477.txt","TX-contig_477")</f>
        <v>TX-contig_477</v>
      </c>
      <c r="B286" t="str">
        <f>HYPERLINK("http://exon.niaid.nih.gov/transcriptome/Tx_amboinensis_sialome/Table_1/links/TX-5-90-90-asb-477.txt","Contig-477")</f>
        <v>Contig-477</v>
      </c>
      <c r="C286" t="str">
        <f>HYPERLINK("http://exon.niaid.nih.gov/transcriptome/Tx_amboinensis_sialome/Table_1/links/TX-5-90-90-477-CLU.txt","Contig477")</f>
        <v>Contig477</v>
      </c>
      <c r="D286" s="4">
        <v>1</v>
      </c>
      <c r="E286">
        <v>108</v>
      </c>
      <c r="F286" t="s">
        <v>322</v>
      </c>
      <c r="G286">
        <v>87</v>
      </c>
      <c r="H286">
        <v>1</v>
      </c>
      <c r="I286">
        <v>477</v>
      </c>
      <c r="J286" t="s">
        <v>647</v>
      </c>
      <c r="K286">
        <v>1</v>
      </c>
      <c r="L286" s="3" t="s">
        <v>1036</v>
      </c>
      <c r="M286" s="4">
        <v>0</v>
      </c>
      <c r="N286" s="4">
        <v>0</v>
      </c>
      <c r="O286" s="4">
        <v>0</v>
      </c>
      <c r="P286" s="4">
        <v>0</v>
      </c>
      <c r="Q286" s="5" t="s">
        <v>1039</v>
      </c>
      <c r="Y286" t="s">
        <v>324</v>
      </c>
      <c r="Z286" s="2" t="s">
        <v>324</v>
      </c>
      <c r="AA286" t="s">
        <v>324</v>
      </c>
      <c r="AB286" t="s">
        <v>324</v>
      </c>
      <c r="AC286" t="s">
        <v>324</v>
      </c>
      <c r="AD286" t="s">
        <v>324</v>
      </c>
      <c r="AE286" t="s">
        <v>324</v>
      </c>
      <c r="AF286" t="s">
        <v>324</v>
      </c>
      <c r="AG286" s="2" t="s">
        <v>324</v>
      </c>
      <c r="AH286" t="s">
        <v>324</v>
      </c>
      <c r="AI286" t="s">
        <v>324</v>
      </c>
      <c r="AJ286" s="2" t="s">
        <v>324</v>
      </c>
      <c r="AK286" t="s">
        <v>324</v>
      </c>
      <c r="AL286" t="s">
        <v>324</v>
      </c>
      <c r="AM286" s="2" t="s">
        <v>324</v>
      </c>
      <c r="AN286" t="s">
        <v>324</v>
      </c>
      <c r="AO286" s="2" t="s">
        <v>324</v>
      </c>
      <c r="AP286" t="s">
        <v>324</v>
      </c>
      <c r="AQ286" s="2" t="s">
        <v>324</v>
      </c>
      <c r="AR286" t="s">
        <v>324</v>
      </c>
    </row>
    <row r="287" spans="1:44" ht="11.25">
      <c r="A287" t="str">
        <f>HYPERLINK("http://exon.niaid.nih.gov/transcriptome/Tx_amboinensis_sialome/Table_1/links/TX-contig_219.txt","TX-contig_219")</f>
        <v>TX-contig_219</v>
      </c>
      <c r="B287" t="str">
        <f>HYPERLINK("http://exon.niaid.nih.gov/transcriptome/Tx_amboinensis_sialome/Table_1/links/TX-5-90-90-asb-219.txt","Contig-219")</f>
        <v>Contig-219</v>
      </c>
      <c r="C287" t="str">
        <f>HYPERLINK("http://exon.niaid.nih.gov/transcriptome/Tx_amboinensis_sialome/Table_1/links/TX-5-90-90-219-CLU.txt","Contig219")</f>
        <v>Contig219</v>
      </c>
      <c r="D287" s="4">
        <v>1</v>
      </c>
      <c r="E287">
        <v>93</v>
      </c>
      <c r="F287">
        <v>4.3</v>
      </c>
      <c r="G287">
        <v>78.5</v>
      </c>
      <c r="H287">
        <v>13</v>
      </c>
      <c r="I287">
        <v>219</v>
      </c>
      <c r="J287" t="s">
        <v>532</v>
      </c>
      <c r="K287">
        <v>13</v>
      </c>
      <c r="L287" s="3" t="s">
        <v>1036</v>
      </c>
      <c r="M287" s="4">
        <v>0</v>
      </c>
      <c r="N287" s="4">
        <v>0</v>
      </c>
      <c r="O287" s="4">
        <v>0</v>
      </c>
      <c r="P287" s="4">
        <v>0</v>
      </c>
      <c r="Q287" s="5" t="s">
        <v>1039</v>
      </c>
      <c r="Y287" t="s">
        <v>324</v>
      </c>
      <c r="Z287" s="2" t="s">
        <v>324</v>
      </c>
      <c r="AA287" t="s">
        <v>324</v>
      </c>
      <c r="AB287" t="s">
        <v>324</v>
      </c>
      <c r="AC287" t="s">
        <v>324</v>
      </c>
      <c r="AD287" t="s">
        <v>324</v>
      </c>
      <c r="AE287" t="s">
        <v>324</v>
      </c>
      <c r="AF287" t="s">
        <v>324</v>
      </c>
      <c r="AG287" s="2" t="s">
        <v>324</v>
      </c>
      <c r="AH287" t="s">
        <v>324</v>
      </c>
      <c r="AI287" t="s">
        <v>324</v>
      </c>
      <c r="AJ287" s="2" t="s">
        <v>324</v>
      </c>
      <c r="AK287" t="s">
        <v>324</v>
      </c>
      <c r="AL287" t="s">
        <v>324</v>
      </c>
      <c r="AM287" s="2" t="s">
        <v>324</v>
      </c>
      <c r="AN287" t="s">
        <v>324</v>
      </c>
      <c r="AO287" s="2" t="s">
        <v>324</v>
      </c>
      <c r="AP287" t="s">
        <v>324</v>
      </c>
      <c r="AQ287" s="2" t="s">
        <v>324</v>
      </c>
      <c r="AR287" t="s">
        <v>324</v>
      </c>
    </row>
    <row r="288" spans="1:44" ht="11.25">
      <c r="A288" t="str">
        <f>HYPERLINK("http://exon.niaid.nih.gov/transcriptome/Tx_amboinensis_sialome/Table_1/links/TX-contig_273.txt","TX-contig_273")</f>
        <v>TX-contig_273</v>
      </c>
      <c r="B288" t="str">
        <f>HYPERLINK("http://exon.niaid.nih.gov/transcriptome/Tx_amboinensis_sialome/Table_1/links/TX-5-90-90-asb-273.txt","Contig-273")</f>
        <v>Contig-273</v>
      </c>
      <c r="C288" t="str">
        <f>HYPERLINK("http://exon.niaid.nih.gov/transcriptome/Tx_amboinensis_sialome/Table_1/links/TX-5-90-90-273-CLU.txt","Contig273")</f>
        <v>Contig273</v>
      </c>
      <c r="D288" s="4">
        <v>1</v>
      </c>
      <c r="E288">
        <v>98</v>
      </c>
      <c r="F288" t="s">
        <v>322</v>
      </c>
      <c r="G288">
        <v>96.9</v>
      </c>
      <c r="H288">
        <v>9</v>
      </c>
      <c r="I288">
        <v>273</v>
      </c>
      <c r="J288" t="s">
        <v>586</v>
      </c>
      <c r="K288">
        <v>9</v>
      </c>
      <c r="L288" s="3" t="s">
        <v>1036</v>
      </c>
      <c r="M288" s="4">
        <v>0</v>
      </c>
      <c r="N288" s="4">
        <v>0</v>
      </c>
      <c r="O288" s="4">
        <v>0</v>
      </c>
      <c r="P288" s="4">
        <v>0</v>
      </c>
      <c r="Q288" s="5" t="s">
        <v>1039</v>
      </c>
      <c r="Y288" t="s">
        <v>324</v>
      </c>
      <c r="Z288" s="2" t="s">
        <v>324</v>
      </c>
      <c r="AA288" t="s">
        <v>324</v>
      </c>
      <c r="AB288" t="s">
        <v>324</v>
      </c>
      <c r="AC288" t="s">
        <v>324</v>
      </c>
      <c r="AD288" t="s">
        <v>324</v>
      </c>
      <c r="AE288" t="s">
        <v>324</v>
      </c>
      <c r="AF288" t="s">
        <v>324</v>
      </c>
      <c r="AG288" s="2" t="s">
        <v>324</v>
      </c>
      <c r="AH288" t="s">
        <v>324</v>
      </c>
      <c r="AI288" t="s">
        <v>324</v>
      </c>
      <c r="AJ288" s="2" t="s">
        <v>324</v>
      </c>
      <c r="AK288" t="s">
        <v>324</v>
      </c>
      <c r="AL288" t="s">
        <v>324</v>
      </c>
      <c r="AM288" s="2" t="s">
        <v>324</v>
      </c>
      <c r="AN288" t="s">
        <v>324</v>
      </c>
      <c r="AO288" s="2" t="s">
        <v>324</v>
      </c>
      <c r="AP288" t="s">
        <v>324</v>
      </c>
      <c r="AQ288" s="2" t="s">
        <v>324</v>
      </c>
      <c r="AR288" t="s">
        <v>324</v>
      </c>
    </row>
    <row r="289" spans="1:44" ht="11.25">
      <c r="A289" t="str">
        <f>HYPERLINK("http://exon.niaid.nih.gov/transcriptome/Tx_amboinensis_sialome/Table_1/links/TX-contig_105.txt","TX-contig_105")</f>
        <v>TX-contig_105</v>
      </c>
      <c r="B289" t="str">
        <f>HYPERLINK("http://exon.niaid.nih.gov/transcriptome/Tx_amboinensis_sialome/Table_1/links/TX-5-90-90-asb-105.txt","Contig-105")</f>
        <v>Contig-105</v>
      </c>
      <c r="C289" t="str">
        <f>HYPERLINK("http://exon.niaid.nih.gov/transcriptome/Tx_amboinensis_sialome/Table_1/links/TX-5-90-90-105-CLU.txt","Contig105")</f>
        <v>Contig105</v>
      </c>
      <c r="D289" s="4">
        <v>1</v>
      </c>
      <c r="E289">
        <v>93</v>
      </c>
      <c r="F289">
        <v>4.3</v>
      </c>
      <c r="G289">
        <v>92.5</v>
      </c>
      <c r="H289">
        <v>16</v>
      </c>
      <c r="I289">
        <v>105</v>
      </c>
      <c r="J289" t="s">
        <v>422</v>
      </c>
      <c r="K289">
        <v>16</v>
      </c>
      <c r="L289" s="3" t="s">
        <v>1036</v>
      </c>
      <c r="M289" s="4">
        <v>0</v>
      </c>
      <c r="N289" s="4">
        <v>0</v>
      </c>
      <c r="O289" s="4">
        <v>0</v>
      </c>
      <c r="P289" s="4">
        <v>0</v>
      </c>
      <c r="Q289" s="5" t="s">
        <v>1039</v>
      </c>
      <c r="Y289" t="s">
        <v>324</v>
      </c>
      <c r="Z289" s="2" t="s">
        <v>324</v>
      </c>
      <c r="AA289" t="s">
        <v>324</v>
      </c>
      <c r="AB289" t="s">
        <v>324</v>
      </c>
      <c r="AC289" t="s">
        <v>324</v>
      </c>
      <c r="AD289" t="s">
        <v>324</v>
      </c>
      <c r="AE289" t="s">
        <v>324</v>
      </c>
      <c r="AF289" t="s">
        <v>324</v>
      </c>
      <c r="AG289" s="2" t="s">
        <v>324</v>
      </c>
      <c r="AH289" t="s">
        <v>324</v>
      </c>
      <c r="AI289" t="s">
        <v>324</v>
      </c>
      <c r="AJ289" s="2" t="s">
        <v>324</v>
      </c>
      <c r="AK289" t="s">
        <v>324</v>
      </c>
      <c r="AL289" t="s">
        <v>324</v>
      </c>
      <c r="AM289" s="2" t="s">
        <v>324</v>
      </c>
      <c r="AN289" t="s">
        <v>324</v>
      </c>
      <c r="AO289" s="2" t="s">
        <v>324</v>
      </c>
      <c r="AP289" t="s">
        <v>324</v>
      </c>
      <c r="AQ289" s="2" t="s">
        <v>324</v>
      </c>
      <c r="AR289" t="s">
        <v>324</v>
      </c>
    </row>
    <row r="290" spans="1:44" ht="11.25">
      <c r="A290" t="str">
        <f>HYPERLINK("http://exon.niaid.nih.gov/transcriptome/Tx_amboinensis_sialome/Table_1/links/TX-contig_454.txt","TX-contig_454")</f>
        <v>TX-contig_454</v>
      </c>
      <c r="B290" t="str">
        <f>HYPERLINK("http://exon.niaid.nih.gov/transcriptome/Tx_amboinensis_sialome/Table_1/links/TX-5-90-90-asb-454.txt","Contig-454")</f>
        <v>Contig-454</v>
      </c>
      <c r="C290" t="str">
        <f>HYPERLINK("http://exon.niaid.nih.gov/transcriptome/Tx_amboinensis_sialome/Table_1/links/TX-5-90-90-454-CLU.txt","Contig454")</f>
        <v>Contig454</v>
      </c>
      <c r="D290" s="4">
        <v>1</v>
      </c>
      <c r="E290">
        <v>94</v>
      </c>
      <c r="F290" t="s">
        <v>322</v>
      </c>
      <c r="G290">
        <v>94.7</v>
      </c>
      <c r="H290">
        <v>15</v>
      </c>
      <c r="I290">
        <v>454</v>
      </c>
      <c r="J290" t="s">
        <v>624</v>
      </c>
      <c r="K290">
        <v>15</v>
      </c>
      <c r="L290" s="3" t="s">
        <v>1036</v>
      </c>
      <c r="M290" s="4">
        <v>0</v>
      </c>
      <c r="N290" s="4">
        <v>0</v>
      </c>
      <c r="O290" s="4">
        <v>0</v>
      </c>
      <c r="P290" s="4">
        <v>0</v>
      </c>
      <c r="Q290" s="5" t="s">
        <v>1039</v>
      </c>
      <c r="Y290" t="s">
        <v>324</v>
      </c>
      <c r="Z290" s="2" t="s">
        <v>324</v>
      </c>
      <c r="AA290" t="s">
        <v>324</v>
      </c>
      <c r="AB290" t="s">
        <v>324</v>
      </c>
      <c r="AC290" t="s">
        <v>324</v>
      </c>
      <c r="AD290" t="s">
        <v>324</v>
      </c>
      <c r="AE290" t="s">
        <v>324</v>
      </c>
      <c r="AF290" t="s">
        <v>324</v>
      </c>
      <c r="AG290" s="2" t="s">
        <v>324</v>
      </c>
      <c r="AH290" t="s">
        <v>324</v>
      </c>
      <c r="AI290" t="s">
        <v>324</v>
      </c>
      <c r="AJ290" s="2" t="s">
        <v>324</v>
      </c>
      <c r="AK290" t="s">
        <v>324</v>
      </c>
      <c r="AL290" t="s">
        <v>324</v>
      </c>
      <c r="AM290" s="2" t="s">
        <v>324</v>
      </c>
      <c r="AN290" t="s">
        <v>324</v>
      </c>
      <c r="AO290" s="2" t="s">
        <v>324</v>
      </c>
      <c r="AP290" t="s">
        <v>324</v>
      </c>
      <c r="AQ290" s="2" t="s">
        <v>324</v>
      </c>
      <c r="AR290" t="s">
        <v>324</v>
      </c>
    </row>
    <row r="291" spans="1:44" ht="11.25">
      <c r="A291" t="str">
        <f>HYPERLINK("http://exon.niaid.nih.gov/transcriptome/Tx_amboinensis_sialome/Table_1/links/TX-contig_282.txt","TX-contig_282")</f>
        <v>TX-contig_282</v>
      </c>
      <c r="B291" t="str">
        <f>HYPERLINK("http://exon.niaid.nih.gov/transcriptome/Tx_amboinensis_sialome/Table_1/links/TX-5-90-90-asb-282.txt","Contig-282")</f>
        <v>Contig-282</v>
      </c>
      <c r="C291" t="str">
        <f>HYPERLINK("http://exon.niaid.nih.gov/transcriptome/Tx_amboinensis_sialome/Table_1/links/TX-5-90-90-282-CLU.txt","Contig282")</f>
        <v>Contig282</v>
      </c>
      <c r="D291" s="4">
        <v>1</v>
      </c>
      <c r="E291">
        <v>132</v>
      </c>
      <c r="F291">
        <v>3</v>
      </c>
      <c r="G291">
        <v>81.1</v>
      </c>
      <c r="H291">
        <v>30</v>
      </c>
      <c r="I291">
        <v>282</v>
      </c>
      <c r="J291" t="s">
        <v>595</v>
      </c>
      <c r="K291">
        <v>30</v>
      </c>
      <c r="L291" s="3" t="s">
        <v>1036</v>
      </c>
      <c r="M291" s="4">
        <v>0</v>
      </c>
      <c r="N291" s="4">
        <v>0</v>
      </c>
      <c r="O291" s="4">
        <v>0</v>
      </c>
      <c r="P291" s="4">
        <v>0</v>
      </c>
      <c r="Q291" s="5" t="s">
        <v>1039</v>
      </c>
      <c r="Y291" t="s">
        <v>324</v>
      </c>
      <c r="Z291" s="2" t="s">
        <v>324</v>
      </c>
      <c r="AA291" t="s">
        <v>324</v>
      </c>
      <c r="AB291" t="s">
        <v>324</v>
      </c>
      <c r="AC291" t="s">
        <v>324</v>
      </c>
      <c r="AD291" t="s">
        <v>324</v>
      </c>
      <c r="AE291" t="s">
        <v>324</v>
      </c>
      <c r="AF291" t="s">
        <v>324</v>
      </c>
      <c r="AG291" s="2" t="s">
        <v>324</v>
      </c>
      <c r="AH291" t="s">
        <v>324</v>
      </c>
      <c r="AI291" t="s">
        <v>324</v>
      </c>
      <c r="AJ291" s="2" t="s">
        <v>324</v>
      </c>
      <c r="AK291" t="s">
        <v>324</v>
      </c>
      <c r="AL291" t="s">
        <v>324</v>
      </c>
      <c r="AM291" s="2" t="s">
        <v>324</v>
      </c>
      <c r="AN291" t="s">
        <v>324</v>
      </c>
      <c r="AO291" s="2" t="s">
        <v>324</v>
      </c>
      <c r="AP291" t="s">
        <v>324</v>
      </c>
      <c r="AQ291" s="2" t="s">
        <v>324</v>
      </c>
      <c r="AR291" t="s">
        <v>324</v>
      </c>
    </row>
    <row r="292" spans="1:44" ht="11.25">
      <c r="A292" t="str">
        <f>HYPERLINK("http://exon.niaid.nih.gov/transcriptome/Tx_amboinensis_sialome/Table_1/links/TX-contig_75.txt","TX-contig_75")</f>
        <v>TX-contig_75</v>
      </c>
      <c r="B292" t="str">
        <f>HYPERLINK("http://exon.niaid.nih.gov/transcriptome/Tx_amboinensis_sialome/Table_1/links/TX-5-90-90-asb-75.txt","Contig-75")</f>
        <v>Contig-75</v>
      </c>
      <c r="C292" t="str">
        <f>HYPERLINK("http://exon.niaid.nih.gov/transcriptome/Tx_amboinensis_sialome/Table_1/links/TX-5-90-90-75-CLU.txt","Contig75")</f>
        <v>Contig75</v>
      </c>
      <c r="D292" s="4">
        <v>1</v>
      </c>
      <c r="E292">
        <v>91</v>
      </c>
      <c r="F292">
        <v>3.3</v>
      </c>
      <c r="G292">
        <v>86.8</v>
      </c>
      <c r="H292">
        <v>19</v>
      </c>
      <c r="I292">
        <v>75</v>
      </c>
      <c r="J292" t="s">
        <v>393</v>
      </c>
      <c r="K292">
        <v>19</v>
      </c>
      <c r="L292" s="3" t="s">
        <v>1036</v>
      </c>
      <c r="M292" s="4">
        <v>0</v>
      </c>
      <c r="N292" s="4">
        <v>0</v>
      </c>
      <c r="O292" s="4">
        <v>0</v>
      </c>
      <c r="P292" s="4">
        <v>0</v>
      </c>
      <c r="Q292" s="5" t="s">
        <v>1039</v>
      </c>
      <c r="Y292" t="s">
        <v>324</v>
      </c>
      <c r="Z292" s="2" t="s">
        <v>324</v>
      </c>
      <c r="AA292" t="s">
        <v>324</v>
      </c>
      <c r="AB292" t="s">
        <v>324</v>
      </c>
      <c r="AC292" t="s">
        <v>324</v>
      </c>
      <c r="AD292" t="s">
        <v>324</v>
      </c>
      <c r="AE292" t="s">
        <v>324</v>
      </c>
      <c r="AF292" t="s">
        <v>324</v>
      </c>
      <c r="AG292" s="2" t="s">
        <v>324</v>
      </c>
      <c r="AH292" t="s">
        <v>324</v>
      </c>
      <c r="AI292" t="s">
        <v>324</v>
      </c>
      <c r="AJ292" s="2" t="s">
        <v>324</v>
      </c>
      <c r="AK292" t="s">
        <v>324</v>
      </c>
      <c r="AL292" t="s">
        <v>324</v>
      </c>
      <c r="AM292" s="2" t="s">
        <v>324</v>
      </c>
      <c r="AN292" t="s">
        <v>324</v>
      </c>
      <c r="AO292" s="2" t="s">
        <v>324</v>
      </c>
      <c r="AP292" t="s">
        <v>324</v>
      </c>
      <c r="AQ292" s="2" t="s">
        <v>324</v>
      </c>
      <c r="AR292" t="s">
        <v>324</v>
      </c>
    </row>
    <row r="293" spans="1:44" ht="11.25">
      <c r="A293" t="str">
        <f>HYPERLINK("http://exon.niaid.nih.gov/transcriptome/Tx_amboinensis_sialome/Table_1/links/TX-contig_224.txt","TX-contig_224")</f>
        <v>TX-contig_224</v>
      </c>
      <c r="B293" t="str">
        <f>HYPERLINK("http://exon.niaid.nih.gov/transcriptome/Tx_amboinensis_sialome/Table_1/links/TX-5-90-90-asb-224.txt","Contig-224")</f>
        <v>Contig-224</v>
      </c>
      <c r="C293" t="str">
        <f>HYPERLINK("http://exon.niaid.nih.gov/transcriptome/Tx_amboinensis_sialome/Table_1/links/TX-5-90-90-224-CLU.txt","Contig224")</f>
        <v>Contig224</v>
      </c>
      <c r="D293" s="4">
        <v>1</v>
      </c>
      <c r="E293">
        <v>99</v>
      </c>
      <c r="F293">
        <v>4</v>
      </c>
      <c r="G293">
        <v>71.7</v>
      </c>
      <c r="H293">
        <v>13</v>
      </c>
      <c r="I293">
        <v>224</v>
      </c>
      <c r="J293" t="s">
        <v>537</v>
      </c>
      <c r="K293">
        <v>13</v>
      </c>
      <c r="L293" s="3" t="s">
        <v>1036</v>
      </c>
      <c r="M293" s="4">
        <v>0</v>
      </c>
      <c r="N293" s="4">
        <v>0</v>
      </c>
      <c r="O293" s="4">
        <v>0</v>
      </c>
      <c r="P293" s="4">
        <v>0</v>
      </c>
      <c r="Q293" s="5" t="s">
        <v>1039</v>
      </c>
      <c r="Y293" t="s">
        <v>324</v>
      </c>
      <c r="Z293" s="2" t="s">
        <v>324</v>
      </c>
      <c r="AA293" t="s">
        <v>324</v>
      </c>
      <c r="AB293" t="s">
        <v>324</v>
      </c>
      <c r="AC293" t="s">
        <v>324</v>
      </c>
      <c r="AD293" t="s">
        <v>324</v>
      </c>
      <c r="AE293" t="s">
        <v>324</v>
      </c>
      <c r="AF293" t="s">
        <v>324</v>
      </c>
      <c r="AG293" s="2" t="s">
        <v>324</v>
      </c>
      <c r="AH293" t="s">
        <v>324</v>
      </c>
      <c r="AI293" t="s">
        <v>324</v>
      </c>
      <c r="AJ293" s="2" t="s">
        <v>324</v>
      </c>
      <c r="AK293" t="s">
        <v>324</v>
      </c>
      <c r="AL293" t="s">
        <v>324</v>
      </c>
      <c r="AM293" s="2" t="s">
        <v>324</v>
      </c>
      <c r="AN293" t="s">
        <v>324</v>
      </c>
      <c r="AO293" s="2" t="s">
        <v>324</v>
      </c>
      <c r="AP293" t="s">
        <v>324</v>
      </c>
      <c r="AQ293" s="2" t="s">
        <v>324</v>
      </c>
      <c r="AR293" t="s">
        <v>324</v>
      </c>
    </row>
    <row r="294" spans="1:44" ht="11.25">
      <c r="A294" t="str">
        <f>HYPERLINK("http://exon.niaid.nih.gov/transcriptome/Tx_amboinensis_sialome/Table_1/links/TX-contig_299.txt","TX-contig_299")</f>
        <v>TX-contig_299</v>
      </c>
      <c r="B294" t="str">
        <f>HYPERLINK("http://exon.niaid.nih.gov/transcriptome/Tx_amboinensis_sialome/Table_1/links/TX-5-90-90-asb-299.txt","Contig-299")</f>
        <v>Contig-299</v>
      </c>
      <c r="C294" t="str">
        <f>HYPERLINK("http://exon.niaid.nih.gov/transcriptome/Tx_amboinensis_sialome/Table_1/links/TX-5-90-90-299-CLU.txt","Contig299")</f>
        <v>Contig299</v>
      </c>
      <c r="D294" s="4">
        <v>1</v>
      </c>
      <c r="E294">
        <v>110</v>
      </c>
      <c r="F294" t="s">
        <v>322</v>
      </c>
      <c r="G294">
        <v>98.2</v>
      </c>
      <c r="H294">
        <v>8</v>
      </c>
      <c r="I294">
        <v>299</v>
      </c>
      <c r="J294" t="s">
        <v>612</v>
      </c>
      <c r="K294">
        <v>8</v>
      </c>
      <c r="L294" s="3" t="s">
        <v>1036</v>
      </c>
      <c r="M294" s="4">
        <v>0</v>
      </c>
      <c r="N294" s="4">
        <v>0</v>
      </c>
      <c r="O294" s="4">
        <v>0</v>
      </c>
      <c r="P294" s="4">
        <v>0</v>
      </c>
      <c r="Q294" s="5" t="s">
        <v>1039</v>
      </c>
      <c r="Y294" t="s">
        <v>324</v>
      </c>
      <c r="Z294" s="2" t="s">
        <v>324</v>
      </c>
      <c r="AA294" t="s">
        <v>324</v>
      </c>
      <c r="AB294" t="s">
        <v>324</v>
      </c>
      <c r="AC294" t="s">
        <v>324</v>
      </c>
      <c r="AD294" t="s">
        <v>324</v>
      </c>
      <c r="AE294" t="s">
        <v>324</v>
      </c>
      <c r="AF294" t="s">
        <v>324</v>
      </c>
      <c r="AG294" s="2" t="s">
        <v>324</v>
      </c>
      <c r="AH294" t="s">
        <v>324</v>
      </c>
      <c r="AI294" t="s">
        <v>324</v>
      </c>
      <c r="AJ294" s="2" t="s">
        <v>324</v>
      </c>
      <c r="AK294" t="s">
        <v>324</v>
      </c>
      <c r="AL294" t="s">
        <v>324</v>
      </c>
      <c r="AM294" s="2" t="s">
        <v>324</v>
      </c>
      <c r="AN294" t="s">
        <v>324</v>
      </c>
      <c r="AO294" s="2" t="s">
        <v>324</v>
      </c>
      <c r="AP294" t="s">
        <v>324</v>
      </c>
      <c r="AQ294" s="2" t="s">
        <v>324</v>
      </c>
      <c r="AR294" t="s">
        <v>324</v>
      </c>
    </row>
    <row r="295" spans="1:44" ht="11.25">
      <c r="A295" t="str">
        <f>HYPERLINK("http://exon.niaid.nih.gov/transcriptome/Tx_amboinensis_sialome/Table_1/links/TX-contig_300.txt","TX-contig_300")</f>
        <v>TX-contig_300</v>
      </c>
      <c r="B295" t="str">
        <f>HYPERLINK("http://exon.niaid.nih.gov/transcriptome/Tx_amboinensis_sialome/Table_1/links/TX-5-90-90-asb-300.txt","Contig-300")</f>
        <v>Contig-300</v>
      </c>
      <c r="C295" t="str">
        <f>HYPERLINK("http://exon.niaid.nih.gov/transcriptome/Tx_amboinensis_sialome/Table_1/links/TX-5-90-90-300-CLU.txt","Contig300")</f>
        <v>Contig300</v>
      </c>
      <c r="D295" s="4">
        <v>1</v>
      </c>
      <c r="E295">
        <v>107</v>
      </c>
      <c r="F295">
        <v>3.7</v>
      </c>
      <c r="G295">
        <v>87.9</v>
      </c>
      <c r="H295">
        <v>41</v>
      </c>
      <c r="I295">
        <v>300</v>
      </c>
      <c r="J295" t="s">
        <v>1154</v>
      </c>
      <c r="K295">
        <v>41</v>
      </c>
      <c r="L295" s="3" t="s">
        <v>1036</v>
      </c>
      <c r="M295" s="4">
        <v>0</v>
      </c>
      <c r="N295" s="4">
        <v>0</v>
      </c>
      <c r="O295" s="4">
        <v>0</v>
      </c>
      <c r="P295" s="4">
        <v>0</v>
      </c>
      <c r="Q295" s="5" t="s">
        <v>1039</v>
      </c>
      <c r="Y295" t="s">
        <v>324</v>
      </c>
      <c r="Z295" s="2" t="s">
        <v>324</v>
      </c>
      <c r="AA295" t="s">
        <v>324</v>
      </c>
      <c r="AB295" t="s">
        <v>324</v>
      </c>
      <c r="AC295" t="s">
        <v>324</v>
      </c>
      <c r="AD295" t="s">
        <v>324</v>
      </c>
      <c r="AE295" t="s">
        <v>324</v>
      </c>
      <c r="AF295" t="s">
        <v>324</v>
      </c>
      <c r="AG295" s="2" t="s">
        <v>324</v>
      </c>
      <c r="AH295" t="s">
        <v>324</v>
      </c>
      <c r="AI295" t="s">
        <v>324</v>
      </c>
      <c r="AJ295" s="2" t="s">
        <v>324</v>
      </c>
      <c r="AK295" t="s">
        <v>324</v>
      </c>
      <c r="AL295" t="s">
        <v>324</v>
      </c>
      <c r="AM295" s="2" t="s">
        <v>324</v>
      </c>
      <c r="AN295" t="s">
        <v>324</v>
      </c>
      <c r="AO295" s="2" t="s">
        <v>324</v>
      </c>
      <c r="AP295" t="s">
        <v>324</v>
      </c>
      <c r="AQ295" s="2" t="s">
        <v>324</v>
      </c>
      <c r="AR295" t="s">
        <v>324</v>
      </c>
    </row>
    <row r="296" spans="1:44" ht="11.25">
      <c r="A296" t="str">
        <f>HYPERLINK("http://exon.niaid.nih.gov/transcriptome/Tx_amboinensis_sialome/Table_1/links/TX-contig_324.txt","TX-contig_324")</f>
        <v>TX-contig_324</v>
      </c>
      <c r="B296" t="str">
        <f>HYPERLINK("http://exon.niaid.nih.gov/transcriptome/Tx_amboinensis_sialome/Table_1/links/TX-5-90-90-asb-324.txt","Contig-324")</f>
        <v>Contig-324</v>
      </c>
      <c r="C296" t="str">
        <f>HYPERLINK("http://exon.niaid.nih.gov/transcriptome/Tx_amboinensis_sialome/Table_1/links/TX-5-90-90-324-CLU.txt","Contig324")</f>
        <v>Contig324</v>
      </c>
      <c r="D296" s="4">
        <v>1</v>
      </c>
      <c r="E296">
        <v>102</v>
      </c>
      <c r="F296">
        <v>3.9</v>
      </c>
      <c r="G296">
        <v>95.1</v>
      </c>
      <c r="H296">
        <v>27</v>
      </c>
      <c r="I296">
        <v>324</v>
      </c>
      <c r="J296" t="s">
        <v>1178</v>
      </c>
      <c r="K296">
        <v>27</v>
      </c>
      <c r="L296" s="3" t="s">
        <v>1036</v>
      </c>
      <c r="M296" s="4">
        <v>0</v>
      </c>
      <c r="N296" s="4">
        <v>0</v>
      </c>
      <c r="O296" s="4">
        <v>0</v>
      </c>
      <c r="P296" s="4">
        <v>0</v>
      </c>
      <c r="Q296" s="5" t="s">
        <v>1039</v>
      </c>
      <c r="Y296" t="s">
        <v>324</v>
      </c>
      <c r="Z296" s="2" t="s">
        <v>324</v>
      </c>
      <c r="AA296" t="s">
        <v>324</v>
      </c>
      <c r="AB296" t="s">
        <v>324</v>
      </c>
      <c r="AC296" t="s">
        <v>324</v>
      </c>
      <c r="AD296" t="s">
        <v>324</v>
      </c>
      <c r="AE296" t="s">
        <v>324</v>
      </c>
      <c r="AF296" t="s">
        <v>324</v>
      </c>
      <c r="AG296" s="2" t="s">
        <v>324</v>
      </c>
      <c r="AH296" t="s">
        <v>324</v>
      </c>
      <c r="AI296" t="s">
        <v>324</v>
      </c>
      <c r="AJ296" s="2" t="s">
        <v>324</v>
      </c>
      <c r="AK296" t="s">
        <v>324</v>
      </c>
      <c r="AL296" t="s">
        <v>324</v>
      </c>
      <c r="AM296" s="2" t="s">
        <v>324</v>
      </c>
      <c r="AN296" t="s">
        <v>324</v>
      </c>
      <c r="AO296" s="2" t="s">
        <v>324</v>
      </c>
      <c r="AP296" t="s">
        <v>324</v>
      </c>
      <c r="AQ296" s="2" t="s">
        <v>324</v>
      </c>
      <c r="AR296" t="s">
        <v>324</v>
      </c>
    </row>
    <row r="297" spans="1:44" ht="11.25">
      <c r="A297" t="str">
        <f>HYPERLINK("http://exon.niaid.nih.gov/transcriptome/Tx_amboinensis_sialome/Table_1/links/TX-contig_352.txt","TX-contig_352")</f>
        <v>TX-contig_352</v>
      </c>
      <c r="B297" t="str">
        <f>HYPERLINK("http://exon.niaid.nih.gov/transcriptome/Tx_amboinensis_sialome/Table_1/links/TX-5-90-90-asb-352.txt","Contig-352")</f>
        <v>Contig-352</v>
      </c>
      <c r="C297" t="str">
        <f>HYPERLINK("http://exon.niaid.nih.gov/transcriptome/Tx_amboinensis_sialome/Table_1/links/TX-5-90-90-352-CLU.txt","Contig352")</f>
        <v>Contig352</v>
      </c>
      <c r="D297" s="4">
        <v>1</v>
      </c>
      <c r="E297">
        <v>99</v>
      </c>
      <c r="F297" t="s">
        <v>322</v>
      </c>
      <c r="G297">
        <v>92.9</v>
      </c>
      <c r="H297">
        <v>26</v>
      </c>
      <c r="I297">
        <v>352</v>
      </c>
      <c r="J297" t="s">
        <v>1206</v>
      </c>
      <c r="K297">
        <v>26</v>
      </c>
      <c r="L297" s="3" t="s">
        <v>1036</v>
      </c>
      <c r="M297" s="4">
        <v>0</v>
      </c>
      <c r="N297" s="4">
        <v>0</v>
      </c>
      <c r="O297" s="4">
        <v>0</v>
      </c>
      <c r="P297" s="4">
        <v>0</v>
      </c>
      <c r="Q297" s="5" t="s">
        <v>1039</v>
      </c>
      <c r="Y297" t="s">
        <v>324</v>
      </c>
      <c r="Z297" s="2" t="s">
        <v>324</v>
      </c>
      <c r="AA297" t="s">
        <v>324</v>
      </c>
      <c r="AB297" t="s">
        <v>324</v>
      </c>
      <c r="AC297" t="s">
        <v>324</v>
      </c>
      <c r="AD297" t="s">
        <v>324</v>
      </c>
      <c r="AE297" t="s">
        <v>324</v>
      </c>
      <c r="AF297" t="s">
        <v>324</v>
      </c>
      <c r="AG297" s="2" t="s">
        <v>324</v>
      </c>
      <c r="AH297" t="s">
        <v>324</v>
      </c>
      <c r="AI297" t="s">
        <v>324</v>
      </c>
      <c r="AJ297" s="2" t="s">
        <v>324</v>
      </c>
      <c r="AK297" t="s">
        <v>324</v>
      </c>
      <c r="AL297" t="s">
        <v>324</v>
      </c>
      <c r="AM297" s="2" t="s">
        <v>324</v>
      </c>
      <c r="AN297" t="s">
        <v>324</v>
      </c>
      <c r="AO297" s="2" t="s">
        <v>324</v>
      </c>
      <c r="AP297" t="s">
        <v>324</v>
      </c>
      <c r="AQ297" s="2" t="s">
        <v>324</v>
      </c>
      <c r="AR297" t="s">
        <v>324</v>
      </c>
    </row>
    <row r="298" spans="1:44" ht="11.25">
      <c r="A298" t="str">
        <f>HYPERLINK("http://exon.niaid.nih.gov/transcriptome/Tx_amboinensis_sialome/Table_1/links/TX-contig_359.txt","TX-contig_359")</f>
        <v>TX-contig_359</v>
      </c>
      <c r="B298" t="str">
        <f>HYPERLINK("http://exon.niaid.nih.gov/transcriptome/Tx_amboinensis_sialome/Table_1/links/TX-5-90-90-asb-359.txt","Contig-359")</f>
        <v>Contig-359</v>
      </c>
      <c r="C298" t="str">
        <f>HYPERLINK("http://exon.niaid.nih.gov/transcriptome/Tx_amboinensis_sialome/Table_1/links/TX-5-90-90-359-CLU.txt","Contig359")</f>
        <v>Contig359</v>
      </c>
      <c r="D298" s="4">
        <v>1</v>
      </c>
      <c r="E298">
        <v>104</v>
      </c>
      <c r="F298" t="s">
        <v>322</v>
      </c>
      <c r="G298">
        <v>97.1</v>
      </c>
      <c r="H298">
        <v>13</v>
      </c>
      <c r="I298">
        <v>359</v>
      </c>
      <c r="J298" t="s">
        <v>1213</v>
      </c>
      <c r="K298">
        <v>13</v>
      </c>
      <c r="L298" s="3" t="s">
        <v>1036</v>
      </c>
      <c r="M298" s="4">
        <v>0</v>
      </c>
      <c r="N298" s="4">
        <v>0</v>
      </c>
      <c r="O298" s="4">
        <v>0</v>
      </c>
      <c r="P298" s="4">
        <v>0</v>
      </c>
      <c r="Q298" s="5" t="s">
        <v>1039</v>
      </c>
      <c r="Y298" t="s">
        <v>324</v>
      </c>
      <c r="Z298" s="2" t="s">
        <v>324</v>
      </c>
      <c r="AA298" t="s">
        <v>324</v>
      </c>
      <c r="AB298" t="s">
        <v>324</v>
      </c>
      <c r="AC298" t="s">
        <v>324</v>
      </c>
      <c r="AD298" t="s">
        <v>324</v>
      </c>
      <c r="AE298" t="s">
        <v>324</v>
      </c>
      <c r="AF298" t="s">
        <v>324</v>
      </c>
      <c r="AG298" s="2" t="s">
        <v>324</v>
      </c>
      <c r="AH298" t="s">
        <v>324</v>
      </c>
      <c r="AI298" t="s">
        <v>324</v>
      </c>
      <c r="AJ298" s="2" t="s">
        <v>324</v>
      </c>
      <c r="AK298" t="s">
        <v>324</v>
      </c>
      <c r="AL298" t="s">
        <v>324</v>
      </c>
      <c r="AM298" s="2" t="s">
        <v>324</v>
      </c>
      <c r="AN298" t="s">
        <v>324</v>
      </c>
      <c r="AO298" s="2" t="s">
        <v>324</v>
      </c>
      <c r="AP298" t="s">
        <v>324</v>
      </c>
      <c r="AQ298" s="2" t="s">
        <v>324</v>
      </c>
      <c r="AR298" t="s">
        <v>324</v>
      </c>
    </row>
    <row r="299" spans="1:44" ht="11.25">
      <c r="A299" t="str">
        <f>HYPERLINK("http://exon.niaid.nih.gov/transcriptome/Tx_amboinensis_sialome/Table_1/links/TX-contig_375.txt","TX-contig_375")</f>
        <v>TX-contig_375</v>
      </c>
      <c r="B299" t="str">
        <f>HYPERLINK("http://exon.niaid.nih.gov/transcriptome/Tx_amboinensis_sialome/Table_1/links/TX-5-90-90-asb-375.txt","Contig-375")</f>
        <v>Contig-375</v>
      </c>
      <c r="C299" t="str">
        <f>HYPERLINK("http://exon.niaid.nih.gov/transcriptome/Tx_amboinensis_sialome/Table_1/links/TX-5-90-90-375-CLU.txt","Contig375")</f>
        <v>Contig375</v>
      </c>
      <c r="D299" s="4">
        <v>1</v>
      </c>
      <c r="E299">
        <v>106</v>
      </c>
      <c r="F299">
        <v>3.8</v>
      </c>
      <c r="G299">
        <v>79.2</v>
      </c>
      <c r="H299">
        <v>5</v>
      </c>
      <c r="I299">
        <v>375</v>
      </c>
      <c r="J299" t="s">
        <v>1229</v>
      </c>
      <c r="K299">
        <v>5</v>
      </c>
      <c r="L299" s="3" t="s">
        <v>1036</v>
      </c>
      <c r="M299" s="4">
        <v>0</v>
      </c>
      <c r="N299" s="4">
        <v>0</v>
      </c>
      <c r="O299" s="4">
        <v>0</v>
      </c>
      <c r="P299" s="4">
        <v>0</v>
      </c>
      <c r="Q299" s="5" t="s">
        <v>1039</v>
      </c>
      <c r="Y299" t="s">
        <v>324</v>
      </c>
      <c r="Z299" s="2" t="s">
        <v>324</v>
      </c>
      <c r="AA299" t="s">
        <v>324</v>
      </c>
      <c r="AB299" t="s">
        <v>324</v>
      </c>
      <c r="AC299" t="s">
        <v>324</v>
      </c>
      <c r="AD299" t="s">
        <v>324</v>
      </c>
      <c r="AE299" t="s">
        <v>324</v>
      </c>
      <c r="AF299" t="s">
        <v>324</v>
      </c>
      <c r="AG299" s="2" t="s">
        <v>324</v>
      </c>
      <c r="AH299" t="s">
        <v>324</v>
      </c>
      <c r="AI299" t="s">
        <v>324</v>
      </c>
      <c r="AJ299" s="2" t="s">
        <v>324</v>
      </c>
      <c r="AK299" t="s">
        <v>324</v>
      </c>
      <c r="AL299" t="s">
        <v>324</v>
      </c>
      <c r="AM299" s="2" t="s">
        <v>324</v>
      </c>
      <c r="AN299" t="s">
        <v>324</v>
      </c>
      <c r="AO299" s="2" t="s">
        <v>324</v>
      </c>
      <c r="AP299" t="s">
        <v>324</v>
      </c>
      <c r="AQ299" s="2" t="s">
        <v>324</v>
      </c>
      <c r="AR299" t="s">
        <v>324</v>
      </c>
    </row>
    <row r="300" spans="1:44" ht="11.25">
      <c r="A300" t="str">
        <f>HYPERLINK("http://exon.niaid.nih.gov/transcriptome/Tx_amboinensis_sialome/Table_1/links/TX-contig_404.txt","TX-contig_404")</f>
        <v>TX-contig_404</v>
      </c>
      <c r="B300" t="str">
        <f>HYPERLINK("http://exon.niaid.nih.gov/transcriptome/Tx_amboinensis_sialome/Table_1/links/TX-5-90-90-asb-404.txt","Contig-404")</f>
        <v>Contig-404</v>
      </c>
      <c r="C300" t="str">
        <f>HYPERLINK("http://exon.niaid.nih.gov/transcriptome/Tx_amboinensis_sialome/Table_1/links/TX-5-90-90-404-CLU.txt","Contig404")</f>
        <v>Contig404</v>
      </c>
      <c r="D300" s="4">
        <v>1</v>
      </c>
      <c r="E300">
        <v>110</v>
      </c>
      <c r="F300" t="s">
        <v>322</v>
      </c>
      <c r="G300">
        <v>89.1</v>
      </c>
      <c r="H300">
        <v>55</v>
      </c>
      <c r="I300">
        <v>404</v>
      </c>
      <c r="J300" t="s">
        <v>1258</v>
      </c>
      <c r="K300">
        <v>55</v>
      </c>
      <c r="L300" s="3" t="s">
        <v>1036</v>
      </c>
      <c r="M300" s="4">
        <v>0</v>
      </c>
      <c r="N300" s="4">
        <v>0</v>
      </c>
      <c r="O300" s="4">
        <v>0</v>
      </c>
      <c r="P300" s="4">
        <v>0</v>
      </c>
      <c r="Q300" s="5" t="s">
        <v>1039</v>
      </c>
      <c r="Y300" t="s">
        <v>324</v>
      </c>
      <c r="Z300" s="2" t="s">
        <v>324</v>
      </c>
      <c r="AA300" t="s">
        <v>324</v>
      </c>
      <c r="AB300" t="s">
        <v>324</v>
      </c>
      <c r="AC300" t="s">
        <v>324</v>
      </c>
      <c r="AD300" t="s">
        <v>324</v>
      </c>
      <c r="AE300" t="s">
        <v>324</v>
      </c>
      <c r="AF300" t="s">
        <v>324</v>
      </c>
      <c r="AG300" s="2" t="s">
        <v>324</v>
      </c>
      <c r="AH300" t="s">
        <v>324</v>
      </c>
      <c r="AI300" t="s">
        <v>324</v>
      </c>
      <c r="AJ300" s="2" t="s">
        <v>324</v>
      </c>
      <c r="AK300" t="s">
        <v>324</v>
      </c>
      <c r="AL300" t="s">
        <v>324</v>
      </c>
      <c r="AM300" s="2" t="s">
        <v>324</v>
      </c>
      <c r="AN300" t="s">
        <v>324</v>
      </c>
      <c r="AO300" s="2" t="s">
        <v>324</v>
      </c>
      <c r="AP300" t="s">
        <v>324</v>
      </c>
      <c r="AQ300" s="2" t="s">
        <v>324</v>
      </c>
      <c r="AR300" t="s">
        <v>324</v>
      </c>
    </row>
    <row r="301" spans="1:44" ht="11.25">
      <c r="A301" t="str">
        <f>HYPERLINK("http://exon.niaid.nih.gov/transcriptome/Tx_amboinensis_sialome/Table_1/links/TX-contig_440.txt","TX-contig_440")</f>
        <v>TX-contig_440</v>
      </c>
      <c r="B301" t="str">
        <f>HYPERLINK("http://exon.niaid.nih.gov/transcriptome/Tx_amboinensis_sialome/Table_1/links/TX-5-90-90-asb-440.txt","Contig-440")</f>
        <v>Contig-440</v>
      </c>
      <c r="C301" t="str">
        <f>HYPERLINK("http://exon.niaid.nih.gov/transcriptome/Tx_amboinensis_sialome/Table_1/links/TX-5-90-90-440-CLU.txt","Contig440")</f>
        <v>Contig440</v>
      </c>
      <c r="D301" s="4">
        <v>1</v>
      </c>
      <c r="E301">
        <v>93</v>
      </c>
      <c r="F301" t="s">
        <v>322</v>
      </c>
      <c r="G301">
        <v>97.8</v>
      </c>
      <c r="H301">
        <v>7</v>
      </c>
      <c r="I301">
        <v>440</v>
      </c>
      <c r="J301" t="s">
        <v>1294</v>
      </c>
      <c r="K301">
        <v>7</v>
      </c>
      <c r="L301" s="3" t="s">
        <v>1036</v>
      </c>
      <c r="M301" s="4">
        <v>0</v>
      </c>
      <c r="N301" s="4">
        <v>0</v>
      </c>
      <c r="O301" s="4">
        <v>0</v>
      </c>
      <c r="P301" s="4">
        <v>0</v>
      </c>
      <c r="Q301" s="5" t="s">
        <v>1039</v>
      </c>
      <c r="Y301" t="s">
        <v>324</v>
      </c>
      <c r="Z301" s="2" t="s">
        <v>324</v>
      </c>
      <c r="AA301" t="s">
        <v>324</v>
      </c>
      <c r="AB301" t="s">
        <v>324</v>
      </c>
      <c r="AC301" t="s">
        <v>324</v>
      </c>
      <c r="AD301" t="s">
        <v>324</v>
      </c>
      <c r="AE301" t="s">
        <v>324</v>
      </c>
      <c r="AF301" t="s">
        <v>324</v>
      </c>
      <c r="AG301" s="2" t="s">
        <v>324</v>
      </c>
      <c r="AH301" t="s">
        <v>324</v>
      </c>
      <c r="AI301" t="s">
        <v>324</v>
      </c>
      <c r="AJ301" s="2" t="s">
        <v>324</v>
      </c>
      <c r="AK301" t="s">
        <v>324</v>
      </c>
      <c r="AL301" t="s">
        <v>324</v>
      </c>
      <c r="AM301" s="2" t="s">
        <v>324</v>
      </c>
      <c r="AN301" t="s">
        <v>324</v>
      </c>
      <c r="AO301" s="2" t="s">
        <v>324</v>
      </c>
      <c r="AP301" t="s">
        <v>324</v>
      </c>
      <c r="AQ301" s="2" t="s">
        <v>324</v>
      </c>
      <c r="AR301" t="s">
        <v>324</v>
      </c>
    </row>
    <row r="302" spans="1:44" ht="11.25">
      <c r="A302" t="str">
        <f>HYPERLINK("http://exon.niaid.nih.gov/transcriptome/Tx_amboinensis_sialome/Table_1/links/TX-contig_455.txt","TX-contig_455")</f>
        <v>TX-contig_455</v>
      </c>
      <c r="B302" t="str">
        <f>HYPERLINK("http://exon.niaid.nih.gov/transcriptome/Tx_amboinensis_sialome/Table_1/links/TX-5-90-90-asb-455.txt","Contig-455")</f>
        <v>Contig-455</v>
      </c>
      <c r="C302" t="str">
        <f>HYPERLINK("http://exon.niaid.nih.gov/transcriptome/Tx_amboinensis_sialome/Table_1/links/TX-5-90-90-455-CLU.txt","Contig455")</f>
        <v>Contig455</v>
      </c>
      <c r="D302" s="4">
        <v>1</v>
      </c>
      <c r="E302">
        <v>97</v>
      </c>
      <c r="F302">
        <v>1</v>
      </c>
      <c r="G302">
        <v>94.8</v>
      </c>
      <c r="H302">
        <v>11</v>
      </c>
      <c r="I302">
        <v>455</v>
      </c>
      <c r="J302" t="s">
        <v>625</v>
      </c>
      <c r="K302">
        <v>11</v>
      </c>
      <c r="L302" s="3" t="s">
        <v>1036</v>
      </c>
      <c r="M302" s="4">
        <v>0</v>
      </c>
      <c r="N302" s="4">
        <v>0</v>
      </c>
      <c r="O302" s="4">
        <v>0</v>
      </c>
      <c r="P302" s="4">
        <v>0</v>
      </c>
      <c r="Q302" s="5" t="s">
        <v>1039</v>
      </c>
      <c r="Y302" t="s">
        <v>324</v>
      </c>
      <c r="Z302" s="2" t="s">
        <v>324</v>
      </c>
      <c r="AA302" t="s">
        <v>324</v>
      </c>
      <c r="AB302" t="s">
        <v>324</v>
      </c>
      <c r="AC302" t="s">
        <v>324</v>
      </c>
      <c r="AD302" t="s">
        <v>324</v>
      </c>
      <c r="AE302" t="s">
        <v>324</v>
      </c>
      <c r="AF302" t="s">
        <v>324</v>
      </c>
      <c r="AG302" s="2" t="s">
        <v>324</v>
      </c>
      <c r="AH302" t="s">
        <v>324</v>
      </c>
      <c r="AI302" t="s">
        <v>324</v>
      </c>
      <c r="AJ302" s="2" t="s">
        <v>324</v>
      </c>
      <c r="AK302" t="s">
        <v>324</v>
      </c>
      <c r="AL302" t="s">
        <v>324</v>
      </c>
      <c r="AM302" s="2" t="s">
        <v>324</v>
      </c>
      <c r="AN302" t="s">
        <v>324</v>
      </c>
      <c r="AO302" s="2" t="s">
        <v>324</v>
      </c>
      <c r="AP302" t="s">
        <v>324</v>
      </c>
      <c r="AQ302" s="2" t="s">
        <v>324</v>
      </c>
      <c r="AR302" t="s">
        <v>324</v>
      </c>
    </row>
    <row r="303" spans="1:44" ht="11.25">
      <c r="A303" t="str">
        <f>HYPERLINK("http://exon.niaid.nih.gov/transcriptome/Tx_amboinensis_sialome/Table_1/links/TX-contig_47.txt","TX-contig_47")</f>
        <v>TX-contig_47</v>
      </c>
      <c r="B303" t="str">
        <f>HYPERLINK("http://exon.niaid.nih.gov/transcriptome/Tx_amboinensis_sialome/Table_1/links/TX-5-90-90-asb-47.txt","Contig-47")</f>
        <v>Contig-47</v>
      </c>
      <c r="C303" t="str">
        <f>HYPERLINK("http://exon.niaid.nih.gov/transcriptome/Tx_amboinensis_sialome/Table_1/links/TX-5-90-90-47-CLU.txt","Contig47")</f>
        <v>Contig47</v>
      </c>
      <c r="D303" s="4">
        <v>1</v>
      </c>
      <c r="E303">
        <v>128</v>
      </c>
      <c r="F303" t="s">
        <v>322</v>
      </c>
      <c r="G303">
        <v>78.1</v>
      </c>
      <c r="H303">
        <v>90</v>
      </c>
      <c r="I303">
        <v>47</v>
      </c>
      <c r="J303" t="s">
        <v>369</v>
      </c>
      <c r="K303">
        <v>90</v>
      </c>
      <c r="L303" s="3" t="s">
        <v>1036</v>
      </c>
      <c r="M303" s="4">
        <v>0</v>
      </c>
      <c r="N303" s="4">
        <v>0</v>
      </c>
      <c r="O303" s="4">
        <v>0</v>
      </c>
      <c r="P303" s="4">
        <v>0</v>
      </c>
      <c r="Q303" s="5" t="s">
        <v>1039</v>
      </c>
      <c r="Y303" t="s">
        <v>324</v>
      </c>
      <c r="Z303" s="2" t="s">
        <v>324</v>
      </c>
      <c r="AA303" t="s">
        <v>324</v>
      </c>
      <c r="AB303" t="s">
        <v>324</v>
      </c>
      <c r="AC303" t="s">
        <v>324</v>
      </c>
      <c r="AD303" t="s">
        <v>324</v>
      </c>
      <c r="AE303" t="s">
        <v>324</v>
      </c>
      <c r="AF303" t="s">
        <v>324</v>
      </c>
      <c r="AG303" s="2" t="s">
        <v>324</v>
      </c>
      <c r="AH303" t="s">
        <v>324</v>
      </c>
      <c r="AI303" t="s">
        <v>324</v>
      </c>
      <c r="AJ303" s="2" t="s">
        <v>324</v>
      </c>
      <c r="AK303" t="s">
        <v>324</v>
      </c>
      <c r="AL303" t="s">
        <v>324</v>
      </c>
      <c r="AM303" s="2" t="s">
        <v>324</v>
      </c>
      <c r="AN303" t="s">
        <v>324</v>
      </c>
      <c r="AO303" s="2" t="s">
        <v>324</v>
      </c>
      <c r="AP303" t="s">
        <v>324</v>
      </c>
      <c r="AQ303" s="2" t="s">
        <v>324</v>
      </c>
      <c r="AR303" t="s">
        <v>324</v>
      </c>
    </row>
    <row r="304" spans="1:44" ht="11.25">
      <c r="A304" t="str">
        <f>HYPERLINK("http://exon.niaid.nih.gov/transcriptome/Tx_amboinensis_sialome/Table_1/links/TX-contig_62.txt","TX-contig_62")</f>
        <v>TX-contig_62</v>
      </c>
      <c r="B304" t="str">
        <f>HYPERLINK("http://exon.niaid.nih.gov/transcriptome/Tx_amboinensis_sialome/Table_1/links/TX-5-90-90-asb-62.txt","Contig-62")</f>
        <v>Contig-62</v>
      </c>
      <c r="C304" t="str">
        <f>HYPERLINK("http://exon.niaid.nih.gov/transcriptome/Tx_amboinensis_sialome/Table_1/links/TX-5-90-90-62-CLU.txt","Contig62")</f>
        <v>Contig62</v>
      </c>
      <c r="D304" s="4">
        <v>1</v>
      </c>
      <c r="E304">
        <v>117</v>
      </c>
      <c r="F304">
        <v>4.3</v>
      </c>
      <c r="G304">
        <v>78.6</v>
      </c>
      <c r="H304">
        <v>29</v>
      </c>
      <c r="I304">
        <v>62</v>
      </c>
      <c r="J304" t="s">
        <v>382</v>
      </c>
      <c r="K304">
        <v>29</v>
      </c>
      <c r="L304" s="3" t="s">
        <v>1036</v>
      </c>
      <c r="M304" s="4">
        <v>0</v>
      </c>
      <c r="N304" s="4">
        <v>0</v>
      </c>
      <c r="O304" s="4">
        <v>0</v>
      </c>
      <c r="P304" s="4">
        <v>0</v>
      </c>
      <c r="Q304" s="5" t="s">
        <v>1039</v>
      </c>
      <c r="Y304" t="s">
        <v>324</v>
      </c>
      <c r="Z304" s="2" t="s">
        <v>324</v>
      </c>
      <c r="AA304" t="s">
        <v>324</v>
      </c>
      <c r="AB304" t="s">
        <v>324</v>
      </c>
      <c r="AC304" t="s">
        <v>324</v>
      </c>
      <c r="AD304" t="s">
        <v>324</v>
      </c>
      <c r="AE304" t="s">
        <v>324</v>
      </c>
      <c r="AF304" t="s">
        <v>324</v>
      </c>
      <c r="AG304" s="2" t="s">
        <v>324</v>
      </c>
      <c r="AH304" t="s">
        <v>324</v>
      </c>
      <c r="AI304" t="s">
        <v>324</v>
      </c>
      <c r="AJ304" s="2" t="s">
        <v>324</v>
      </c>
      <c r="AK304" t="s">
        <v>324</v>
      </c>
      <c r="AL304" t="s">
        <v>324</v>
      </c>
      <c r="AM304" s="2" t="s">
        <v>324</v>
      </c>
      <c r="AN304" t="s">
        <v>324</v>
      </c>
      <c r="AO304" s="2" t="s">
        <v>324</v>
      </c>
      <c r="AP304" t="s">
        <v>324</v>
      </c>
      <c r="AQ304" s="2" t="s">
        <v>324</v>
      </c>
      <c r="AR304" t="s">
        <v>324</v>
      </c>
    </row>
    <row r="305" spans="1:44" ht="11.25">
      <c r="A305" t="str">
        <f>HYPERLINK("http://exon.niaid.nih.gov/transcriptome/Tx_amboinensis_sialome/Table_1/links/TX-contig_135.txt","TX-contig_135")</f>
        <v>TX-contig_135</v>
      </c>
      <c r="B305" t="str">
        <f>HYPERLINK("http://exon.niaid.nih.gov/transcriptome/Tx_amboinensis_sialome/Table_1/links/TX-5-90-90-asb-135.txt","Contig-135")</f>
        <v>Contig-135</v>
      </c>
      <c r="C305" t="str">
        <f>HYPERLINK("http://exon.niaid.nih.gov/transcriptome/Tx_amboinensis_sialome/Table_1/links/TX-5-90-90-135-CLU.txt","Contig135")</f>
        <v>Contig135</v>
      </c>
      <c r="D305" s="4">
        <v>1</v>
      </c>
      <c r="E305">
        <v>115</v>
      </c>
      <c r="F305">
        <v>4.3</v>
      </c>
      <c r="G305">
        <v>80</v>
      </c>
      <c r="H305">
        <v>34</v>
      </c>
      <c r="I305">
        <v>135</v>
      </c>
      <c r="J305" t="s">
        <v>451</v>
      </c>
      <c r="K305">
        <v>34</v>
      </c>
      <c r="L305" s="3" t="s">
        <v>1036</v>
      </c>
      <c r="M305" s="4">
        <v>0</v>
      </c>
      <c r="N305" s="4">
        <v>0</v>
      </c>
      <c r="O305" s="4">
        <v>0</v>
      </c>
      <c r="P305" s="4">
        <v>0</v>
      </c>
      <c r="Q305" s="5" t="s">
        <v>1039</v>
      </c>
      <c r="Y305" t="s">
        <v>324</v>
      </c>
      <c r="Z305" s="2" t="s">
        <v>324</v>
      </c>
      <c r="AA305" t="s">
        <v>324</v>
      </c>
      <c r="AB305" t="s">
        <v>324</v>
      </c>
      <c r="AC305" t="s">
        <v>324</v>
      </c>
      <c r="AD305" t="s">
        <v>324</v>
      </c>
      <c r="AE305" t="s">
        <v>324</v>
      </c>
      <c r="AF305" t="s">
        <v>324</v>
      </c>
      <c r="AG305" s="2" t="s">
        <v>324</v>
      </c>
      <c r="AH305" t="s">
        <v>324</v>
      </c>
      <c r="AI305" t="s">
        <v>324</v>
      </c>
      <c r="AJ305" s="2" t="s">
        <v>324</v>
      </c>
      <c r="AK305" t="s">
        <v>324</v>
      </c>
      <c r="AL305" t="s">
        <v>324</v>
      </c>
      <c r="AM305" s="2" t="s">
        <v>324</v>
      </c>
      <c r="AN305" t="s">
        <v>324</v>
      </c>
      <c r="AO305" s="2" t="s">
        <v>324</v>
      </c>
      <c r="AP305" t="s">
        <v>324</v>
      </c>
      <c r="AQ305" s="2" t="s">
        <v>324</v>
      </c>
      <c r="AR305" t="s">
        <v>324</v>
      </c>
    </row>
    <row r="306" spans="1:44" ht="11.25">
      <c r="A306" t="str">
        <f>HYPERLINK("http://exon.niaid.nih.gov/transcriptome/Tx_amboinensis_sialome/Table_1/links/TX-contig_144.txt","TX-contig_144")</f>
        <v>TX-contig_144</v>
      </c>
      <c r="B306" t="str">
        <f>HYPERLINK("http://exon.niaid.nih.gov/transcriptome/Tx_amboinensis_sialome/Table_1/links/TX-5-90-90-asb-144.txt","Contig-144")</f>
        <v>Contig-144</v>
      </c>
      <c r="C306" t="str">
        <f>HYPERLINK("http://exon.niaid.nih.gov/transcriptome/Tx_amboinensis_sialome/Table_1/links/TX-5-90-90-144-CLU.txt","Contig144")</f>
        <v>Contig144</v>
      </c>
      <c r="D306" s="4">
        <v>1</v>
      </c>
      <c r="E306">
        <v>132</v>
      </c>
      <c r="F306">
        <v>4.5</v>
      </c>
      <c r="G306">
        <v>81.8</v>
      </c>
      <c r="H306">
        <v>40</v>
      </c>
      <c r="I306">
        <v>144</v>
      </c>
      <c r="J306" t="s">
        <v>459</v>
      </c>
      <c r="K306">
        <v>40</v>
      </c>
      <c r="L306" s="3" t="s">
        <v>1036</v>
      </c>
      <c r="M306" s="4">
        <v>0</v>
      </c>
      <c r="N306" s="4">
        <v>0</v>
      </c>
      <c r="O306" s="4">
        <v>0</v>
      </c>
      <c r="P306" s="4">
        <v>0</v>
      </c>
      <c r="Q306" s="5" t="s">
        <v>1039</v>
      </c>
      <c r="Y306" t="s">
        <v>324</v>
      </c>
      <c r="Z306" s="2" t="s">
        <v>324</v>
      </c>
      <c r="AA306" t="s">
        <v>324</v>
      </c>
      <c r="AB306" t="s">
        <v>324</v>
      </c>
      <c r="AC306" t="s">
        <v>324</v>
      </c>
      <c r="AD306" t="s">
        <v>324</v>
      </c>
      <c r="AE306" t="s">
        <v>324</v>
      </c>
      <c r="AF306" t="s">
        <v>324</v>
      </c>
      <c r="AG306" s="2" t="s">
        <v>324</v>
      </c>
      <c r="AH306" t="s">
        <v>324</v>
      </c>
      <c r="AI306" t="s">
        <v>324</v>
      </c>
      <c r="AJ306" s="2" t="s">
        <v>324</v>
      </c>
      <c r="AK306" t="s">
        <v>324</v>
      </c>
      <c r="AL306" t="s">
        <v>324</v>
      </c>
      <c r="AM306" s="2" t="s">
        <v>324</v>
      </c>
      <c r="AN306" t="s">
        <v>324</v>
      </c>
      <c r="AO306" s="2" t="s">
        <v>324</v>
      </c>
      <c r="AP306" t="s">
        <v>324</v>
      </c>
      <c r="AQ306" s="2" t="s">
        <v>324</v>
      </c>
      <c r="AR306" t="s">
        <v>324</v>
      </c>
    </row>
    <row r="307" spans="1:44" ht="11.25">
      <c r="A307" t="str">
        <f>HYPERLINK("http://exon.niaid.nih.gov/transcriptome/Tx_amboinensis_sialome/Table_1/links/TX-contig_186.txt","TX-contig_186")</f>
        <v>TX-contig_186</v>
      </c>
      <c r="B307" t="str">
        <f>HYPERLINK("http://exon.niaid.nih.gov/transcriptome/Tx_amboinensis_sialome/Table_1/links/TX-5-90-90-asb-186.txt","Contig-186")</f>
        <v>Contig-186</v>
      </c>
      <c r="C307" t="str">
        <f>HYPERLINK("http://exon.niaid.nih.gov/transcriptome/Tx_amboinensis_sialome/Table_1/links/TX-5-90-90-186-CLU.txt","Contig186")</f>
        <v>Contig186</v>
      </c>
      <c r="D307" s="4">
        <v>1</v>
      </c>
      <c r="E307">
        <v>117</v>
      </c>
      <c r="F307">
        <v>2.6</v>
      </c>
      <c r="G307">
        <v>91.5</v>
      </c>
      <c r="H307">
        <v>7</v>
      </c>
      <c r="I307">
        <v>186</v>
      </c>
      <c r="J307" t="s">
        <v>499</v>
      </c>
      <c r="K307">
        <v>7</v>
      </c>
      <c r="L307" s="3" t="s">
        <v>1036</v>
      </c>
      <c r="M307" s="4">
        <v>0</v>
      </c>
      <c r="N307" s="4">
        <v>0</v>
      </c>
      <c r="O307" s="4">
        <v>0</v>
      </c>
      <c r="P307" s="4">
        <v>0</v>
      </c>
      <c r="Q307" s="5" t="s">
        <v>1039</v>
      </c>
      <c r="Y307" t="s">
        <v>324</v>
      </c>
      <c r="Z307" s="2" t="s">
        <v>324</v>
      </c>
      <c r="AA307" t="s">
        <v>324</v>
      </c>
      <c r="AB307" t="s">
        <v>324</v>
      </c>
      <c r="AC307" t="s">
        <v>324</v>
      </c>
      <c r="AD307" t="s">
        <v>324</v>
      </c>
      <c r="AE307" t="s">
        <v>324</v>
      </c>
      <c r="AF307" t="s">
        <v>324</v>
      </c>
      <c r="AG307" s="2" t="s">
        <v>324</v>
      </c>
      <c r="AH307" t="s">
        <v>324</v>
      </c>
      <c r="AI307" t="s">
        <v>324</v>
      </c>
      <c r="AJ307" s="2" t="s">
        <v>324</v>
      </c>
      <c r="AK307" t="s">
        <v>324</v>
      </c>
      <c r="AL307" t="s">
        <v>324</v>
      </c>
      <c r="AM307" s="2" t="s">
        <v>324</v>
      </c>
      <c r="AN307" t="s">
        <v>324</v>
      </c>
      <c r="AO307" s="2" t="s">
        <v>324</v>
      </c>
      <c r="AP307" t="s">
        <v>324</v>
      </c>
      <c r="AQ307" s="2" t="s">
        <v>324</v>
      </c>
      <c r="AR307" t="s">
        <v>324</v>
      </c>
    </row>
    <row r="308" spans="1:44" ht="11.25">
      <c r="A308" t="str">
        <f>HYPERLINK("http://exon.niaid.nih.gov/transcriptome/Tx_amboinensis_sialome/Table_1/links/TX-contig_201.txt","TX-contig_201")</f>
        <v>TX-contig_201</v>
      </c>
      <c r="B308" t="str">
        <f>HYPERLINK("http://exon.niaid.nih.gov/transcriptome/Tx_amboinensis_sialome/Table_1/links/TX-5-90-90-asb-201.txt","Contig-201")</f>
        <v>Contig-201</v>
      </c>
      <c r="C308" t="str">
        <f>HYPERLINK("http://exon.niaid.nih.gov/transcriptome/Tx_amboinensis_sialome/Table_1/links/TX-5-90-90-201-CLU.txt","Contig201")</f>
        <v>Contig201</v>
      </c>
      <c r="D308" s="4">
        <v>1</v>
      </c>
      <c r="E308">
        <v>127</v>
      </c>
      <c r="F308" t="s">
        <v>322</v>
      </c>
      <c r="G308">
        <v>96.9</v>
      </c>
      <c r="H308">
        <v>22</v>
      </c>
      <c r="I308">
        <v>201</v>
      </c>
      <c r="J308" t="s">
        <v>514</v>
      </c>
      <c r="K308">
        <v>22</v>
      </c>
      <c r="L308" s="3" t="s">
        <v>1036</v>
      </c>
      <c r="M308" s="4">
        <v>0</v>
      </c>
      <c r="N308" s="4">
        <v>0</v>
      </c>
      <c r="O308" s="4">
        <v>0</v>
      </c>
      <c r="P308" s="4">
        <v>0</v>
      </c>
      <c r="Q308" s="5" t="s">
        <v>1039</v>
      </c>
      <c r="Y308" t="s">
        <v>324</v>
      </c>
      <c r="Z308" s="2" t="s">
        <v>324</v>
      </c>
      <c r="AA308" t="s">
        <v>324</v>
      </c>
      <c r="AB308" t="s">
        <v>324</v>
      </c>
      <c r="AC308" t="s">
        <v>324</v>
      </c>
      <c r="AD308" t="s">
        <v>324</v>
      </c>
      <c r="AE308" t="s">
        <v>324</v>
      </c>
      <c r="AF308" t="s">
        <v>324</v>
      </c>
      <c r="AG308" s="2" t="s">
        <v>324</v>
      </c>
      <c r="AH308" t="s">
        <v>324</v>
      </c>
      <c r="AI308" t="s">
        <v>324</v>
      </c>
      <c r="AJ308" s="2" t="s">
        <v>324</v>
      </c>
      <c r="AK308" t="s">
        <v>324</v>
      </c>
      <c r="AL308" t="s">
        <v>324</v>
      </c>
      <c r="AM308" s="2" t="s">
        <v>324</v>
      </c>
      <c r="AN308" t="s">
        <v>324</v>
      </c>
      <c r="AO308" s="2" t="s">
        <v>324</v>
      </c>
      <c r="AP308" t="s">
        <v>324</v>
      </c>
      <c r="AQ308" s="2" t="s">
        <v>324</v>
      </c>
      <c r="AR308" t="s">
        <v>324</v>
      </c>
    </row>
    <row r="309" spans="1:44" ht="11.25">
      <c r="A309" t="str">
        <f>HYPERLINK("http://exon.niaid.nih.gov/transcriptome/Tx_amboinensis_sialome/Table_1/links/TX-contig_229.txt","TX-contig_229")</f>
        <v>TX-contig_229</v>
      </c>
      <c r="B309" t="str">
        <f>HYPERLINK("http://exon.niaid.nih.gov/transcriptome/Tx_amboinensis_sialome/Table_1/links/TX-5-90-90-asb-229.txt","Contig-229")</f>
        <v>Contig-229</v>
      </c>
      <c r="C309" t="str">
        <f>HYPERLINK("http://exon.niaid.nih.gov/transcriptome/Tx_amboinensis_sialome/Table_1/links/TX-5-90-90-229-CLU.txt","Contig229")</f>
        <v>Contig229</v>
      </c>
      <c r="D309" s="4">
        <v>1</v>
      </c>
      <c r="E309">
        <v>126</v>
      </c>
      <c r="F309">
        <v>4.8</v>
      </c>
      <c r="G309">
        <v>74.6</v>
      </c>
      <c r="H309">
        <v>4</v>
      </c>
      <c r="I309">
        <v>229</v>
      </c>
      <c r="J309" t="s">
        <v>542</v>
      </c>
      <c r="K309">
        <v>4</v>
      </c>
      <c r="L309" s="3" t="s">
        <v>1036</v>
      </c>
      <c r="M309" s="4">
        <v>0</v>
      </c>
      <c r="N309" s="4">
        <v>0</v>
      </c>
      <c r="O309" s="4">
        <v>0</v>
      </c>
      <c r="P309" s="4">
        <v>0</v>
      </c>
      <c r="Q309" s="5" t="s">
        <v>1039</v>
      </c>
      <c r="Y309" t="s">
        <v>324</v>
      </c>
      <c r="Z309" s="2" t="s">
        <v>324</v>
      </c>
      <c r="AA309" t="s">
        <v>324</v>
      </c>
      <c r="AB309" t="s">
        <v>324</v>
      </c>
      <c r="AC309" t="s">
        <v>324</v>
      </c>
      <c r="AD309" t="s">
        <v>324</v>
      </c>
      <c r="AE309" t="s">
        <v>324</v>
      </c>
      <c r="AF309" t="s">
        <v>324</v>
      </c>
      <c r="AG309" s="2" t="s">
        <v>324</v>
      </c>
      <c r="AH309" t="s">
        <v>324</v>
      </c>
      <c r="AI309" t="s">
        <v>324</v>
      </c>
      <c r="AJ309" s="2" t="s">
        <v>324</v>
      </c>
      <c r="AK309" t="s">
        <v>324</v>
      </c>
      <c r="AL309" t="s">
        <v>324</v>
      </c>
      <c r="AM309" s="2" t="s">
        <v>324</v>
      </c>
      <c r="AN309" t="s">
        <v>324</v>
      </c>
      <c r="AO309" s="2" t="s">
        <v>324</v>
      </c>
      <c r="AP309" t="s">
        <v>324</v>
      </c>
      <c r="AQ309" s="2" t="s">
        <v>324</v>
      </c>
      <c r="AR309" t="s">
        <v>324</v>
      </c>
    </row>
    <row r="310" spans="1:44" ht="11.25">
      <c r="A310" t="str">
        <f>HYPERLINK("http://exon.niaid.nih.gov/transcriptome/Tx_amboinensis_sialome/Table_1/links/TX-contig_286.txt","TX-contig_286")</f>
        <v>TX-contig_286</v>
      </c>
      <c r="B310" t="str">
        <f>HYPERLINK("http://exon.niaid.nih.gov/transcriptome/Tx_amboinensis_sialome/Table_1/links/TX-5-90-90-asb-286.txt","Contig-286")</f>
        <v>Contig-286</v>
      </c>
      <c r="C310" t="str">
        <f>HYPERLINK("http://exon.niaid.nih.gov/transcriptome/Tx_amboinensis_sialome/Table_1/links/TX-5-90-90-286-CLU.txt","Contig286")</f>
        <v>Contig286</v>
      </c>
      <c r="D310" s="4">
        <v>1</v>
      </c>
      <c r="E310">
        <v>119</v>
      </c>
      <c r="F310" t="s">
        <v>322</v>
      </c>
      <c r="G310">
        <v>75.6</v>
      </c>
      <c r="H310">
        <v>88</v>
      </c>
      <c r="I310">
        <v>286</v>
      </c>
      <c r="J310" t="s">
        <v>599</v>
      </c>
      <c r="K310">
        <v>88</v>
      </c>
      <c r="L310" s="3" t="s">
        <v>1036</v>
      </c>
      <c r="M310" s="4">
        <v>0</v>
      </c>
      <c r="N310" s="4">
        <v>0</v>
      </c>
      <c r="O310" s="4">
        <v>0</v>
      </c>
      <c r="P310" s="4">
        <v>0</v>
      </c>
      <c r="Q310" s="5" t="s">
        <v>1039</v>
      </c>
      <c r="Y310" t="s">
        <v>324</v>
      </c>
      <c r="Z310" s="2" t="s">
        <v>324</v>
      </c>
      <c r="AA310" t="s">
        <v>324</v>
      </c>
      <c r="AB310" t="s">
        <v>324</v>
      </c>
      <c r="AC310" t="s">
        <v>324</v>
      </c>
      <c r="AD310" t="s">
        <v>324</v>
      </c>
      <c r="AE310" t="s">
        <v>324</v>
      </c>
      <c r="AF310" t="s">
        <v>324</v>
      </c>
      <c r="AG310" s="2" t="s">
        <v>324</v>
      </c>
      <c r="AH310" t="s">
        <v>324</v>
      </c>
      <c r="AI310" t="s">
        <v>324</v>
      </c>
      <c r="AJ310" s="2" t="s">
        <v>324</v>
      </c>
      <c r="AK310" t="s">
        <v>324</v>
      </c>
      <c r="AL310" t="s">
        <v>324</v>
      </c>
      <c r="AM310" s="2" t="str">
        <f>HYPERLINK("http://exon.niaid.nih.gov/transcriptome/Tx_amboinensis_sialome/Table_1/links/PFAM\TX-contig_286-PFAM.txt","Adenylate_cycl")</f>
        <v>Adenylate_cycl</v>
      </c>
      <c r="AN310" t="str">
        <f>HYPERLINK("http://pfam.wustl.edu/cgi-bin/getdesc?acc=PF01295","0.37")</f>
        <v>0.37</v>
      </c>
      <c r="AO310" s="2" t="s">
        <v>324</v>
      </c>
      <c r="AP310" t="s">
        <v>324</v>
      </c>
      <c r="AQ310" s="2" t="s">
        <v>324</v>
      </c>
      <c r="AR310" t="s">
        <v>324</v>
      </c>
    </row>
    <row r="311" spans="1:44" ht="11.25">
      <c r="A311" t="str">
        <f>HYPERLINK("http://exon.niaid.nih.gov/transcriptome/Tx_amboinensis_sialome/Table_1/links/TX-contig_287.txt","TX-contig_287")</f>
        <v>TX-contig_287</v>
      </c>
      <c r="B311" t="str">
        <f>HYPERLINK("http://exon.niaid.nih.gov/transcriptome/Tx_amboinensis_sialome/Table_1/links/TX-5-90-90-asb-287.txt","Contig-287")</f>
        <v>Contig-287</v>
      </c>
      <c r="C311" t="str">
        <f>HYPERLINK("http://exon.niaid.nih.gov/transcriptome/Tx_amboinensis_sialome/Table_1/links/TX-5-90-90-287-CLU.txt","Contig287")</f>
        <v>Contig287</v>
      </c>
      <c r="D311" s="4">
        <v>1</v>
      </c>
      <c r="E311">
        <v>118</v>
      </c>
      <c r="F311">
        <v>0.8</v>
      </c>
      <c r="G311">
        <v>92.4</v>
      </c>
      <c r="H311">
        <v>25</v>
      </c>
      <c r="I311">
        <v>287</v>
      </c>
      <c r="J311" t="s">
        <v>600</v>
      </c>
      <c r="K311">
        <v>25</v>
      </c>
      <c r="L311" s="3" t="s">
        <v>1036</v>
      </c>
      <c r="M311" s="4">
        <v>0</v>
      </c>
      <c r="N311" s="4">
        <v>0</v>
      </c>
      <c r="O311" s="4">
        <v>0</v>
      </c>
      <c r="P311" s="4">
        <v>0</v>
      </c>
      <c r="Q311" s="5" t="s">
        <v>1039</v>
      </c>
      <c r="Y311" t="s">
        <v>324</v>
      </c>
      <c r="Z311" s="2" t="s">
        <v>324</v>
      </c>
      <c r="AA311" t="s">
        <v>324</v>
      </c>
      <c r="AB311" t="s">
        <v>324</v>
      </c>
      <c r="AC311" t="s">
        <v>324</v>
      </c>
      <c r="AD311" t="s">
        <v>324</v>
      </c>
      <c r="AE311" t="s">
        <v>324</v>
      </c>
      <c r="AF311" t="s">
        <v>324</v>
      </c>
      <c r="AG311" s="2" t="s">
        <v>324</v>
      </c>
      <c r="AH311" t="s">
        <v>324</v>
      </c>
      <c r="AI311" t="s">
        <v>324</v>
      </c>
      <c r="AJ311" s="2" t="s">
        <v>324</v>
      </c>
      <c r="AK311" t="s">
        <v>324</v>
      </c>
      <c r="AL311" t="s">
        <v>324</v>
      </c>
      <c r="AM311" s="2" t="s">
        <v>324</v>
      </c>
      <c r="AN311" t="s">
        <v>324</v>
      </c>
      <c r="AO311" s="2" t="s">
        <v>324</v>
      </c>
      <c r="AP311" t="s">
        <v>324</v>
      </c>
      <c r="AQ311" s="2" t="s">
        <v>324</v>
      </c>
      <c r="AR311" t="s">
        <v>324</v>
      </c>
    </row>
    <row r="312" spans="1:44" ht="11.25">
      <c r="A312" t="str">
        <f>HYPERLINK("http://exon.niaid.nih.gov/transcriptome/Tx_amboinensis_sialome/Table_1/links/TX-contig_315.txt","TX-contig_315")</f>
        <v>TX-contig_315</v>
      </c>
      <c r="B312" t="str">
        <f>HYPERLINK("http://exon.niaid.nih.gov/transcriptome/Tx_amboinensis_sialome/Table_1/links/TX-5-90-90-asb-315.txt","Contig-315")</f>
        <v>Contig-315</v>
      </c>
      <c r="C312" t="str">
        <f>HYPERLINK("http://exon.niaid.nih.gov/transcriptome/Tx_amboinensis_sialome/Table_1/links/TX-5-90-90-315-CLU.txt","Contig315")</f>
        <v>Contig315</v>
      </c>
      <c r="D312" s="4">
        <v>1</v>
      </c>
      <c r="E312">
        <v>113</v>
      </c>
      <c r="F312" t="s">
        <v>322</v>
      </c>
      <c r="G312">
        <v>91.2</v>
      </c>
      <c r="H312">
        <v>19</v>
      </c>
      <c r="I312">
        <v>315</v>
      </c>
      <c r="J312" t="s">
        <v>1169</v>
      </c>
      <c r="K312">
        <v>19</v>
      </c>
      <c r="L312" s="3" t="s">
        <v>1036</v>
      </c>
      <c r="M312" s="4">
        <v>0</v>
      </c>
      <c r="N312" s="4">
        <v>0</v>
      </c>
      <c r="O312" s="4">
        <v>0</v>
      </c>
      <c r="P312" s="4">
        <v>0</v>
      </c>
      <c r="Q312" s="5" t="s">
        <v>1039</v>
      </c>
      <c r="Y312" t="s">
        <v>324</v>
      </c>
      <c r="Z312" s="2" t="s">
        <v>324</v>
      </c>
      <c r="AA312" t="s">
        <v>324</v>
      </c>
      <c r="AB312" t="s">
        <v>324</v>
      </c>
      <c r="AC312" t="s">
        <v>324</v>
      </c>
      <c r="AD312" t="s">
        <v>324</v>
      </c>
      <c r="AE312" t="s">
        <v>324</v>
      </c>
      <c r="AF312" t="s">
        <v>324</v>
      </c>
      <c r="AG312" s="2" t="s">
        <v>324</v>
      </c>
      <c r="AH312" t="s">
        <v>324</v>
      </c>
      <c r="AI312" t="s">
        <v>324</v>
      </c>
      <c r="AJ312" s="2" t="s">
        <v>324</v>
      </c>
      <c r="AK312" t="s">
        <v>324</v>
      </c>
      <c r="AL312" t="s">
        <v>324</v>
      </c>
      <c r="AM312" s="2" t="s">
        <v>324</v>
      </c>
      <c r="AN312" t="s">
        <v>324</v>
      </c>
      <c r="AO312" s="2" t="s">
        <v>324</v>
      </c>
      <c r="AP312" t="s">
        <v>324</v>
      </c>
      <c r="AQ312" s="2" t="s">
        <v>324</v>
      </c>
      <c r="AR312" t="s">
        <v>324</v>
      </c>
    </row>
    <row r="313" spans="1:44" ht="11.25">
      <c r="A313" t="str">
        <f>HYPERLINK("http://exon.niaid.nih.gov/transcriptome/Tx_amboinensis_sialome/Table_1/links/TX-contig_327.txt","TX-contig_327")</f>
        <v>TX-contig_327</v>
      </c>
      <c r="B313" t="str">
        <f>HYPERLINK("http://exon.niaid.nih.gov/transcriptome/Tx_amboinensis_sialome/Table_1/links/TX-5-90-90-asb-327.txt","Contig-327")</f>
        <v>Contig-327</v>
      </c>
      <c r="C313" t="str">
        <f>HYPERLINK("http://exon.niaid.nih.gov/transcriptome/Tx_amboinensis_sialome/Table_1/links/TX-5-90-90-327-CLU.txt","Contig327")</f>
        <v>Contig327</v>
      </c>
      <c r="D313" s="4">
        <v>1</v>
      </c>
      <c r="E313">
        <v>114</v>
      </c>
      <c r="F313">
        <v>3.5</v>
      </c>
      <c r="G313">
        <v>87.7</v>
      </c>
      <c r="H313">
        <v>25</v>
      </c>
      <c r="I313">
        <v>327</v>
      </c>
      <c r="J313" t="s">
        <v>1181</v>
      </c>
      <c r="K313">
        <v>25</v>
      </c>
      <c r="L313" s="3" t="s">
        <v>1036</v>
      </c>
      <c r="M313" s="4">
        <v>0</v>
      </c>
      <c r="N313" s="4">
        <v>0</v>
      </c>
      <c r="O313" s="4">
        <v>0</v>
      </c>
      <c r="P313" s="4">
        <v>0</v>
      </c>
      <c r="Q313" s="5" t="s">
        <v>1039</v>
      </c>
      <c r="Y313" t="s">
        <v>324</v>
      </c>
      <c r="Z313" s="2" t="s">
        <v>324</v>
      </c>
      <c r="AA313" t="s">
        <v>324</v>
      </c>
      <c r="AB313" t="s">
        <v>324</v>
      </c>
      <c r="AC313" t="s">
        <v>324</v>
      </c>
      <c r="AD313" t="s">
        <v>324</v>
      </c>
      <c r="AE313" t="s">
        <v>324</v>
      </c>
      <c r="AF313" t="s">
        <v>324</v>
      </c>
      <c r="AG313" s="2" t="s">
        <v>324</v>
      </c>
      <c r="AH313" t="s">
        <v>324</v>
      </c>
      <c r="AI313" t="s">
        <v>324</v>
      </c>
      <c r="AJ313" s="2" t="s">
        <v>324</v>
      </c>
      <c r="AK313" t="s">
        <v>324</v>
      </c>
      <c r="AL313" t="s">
        <v>324</v>
      </c>
      <c r="AM313" s="2" t="s">
        <v>324</v>
      </c>
      <c r="AN313" t="s">
        <v>324</v>
      </c>
      <c r="AO313" s="2" t="s">
        <v>324</v>
      </c>
      <c r="AP313" t="s">
        <v>324</v>
      </c>
      <c r="AQ313" s="2" t="s">
        <v>324</v>
      </c>
      <c r="AR313" t="s">
        <v>324</v>
      </c>
    </row>
    <row r="314" spans="1:44" ht="11.25">
      <c r="A314" t="str">
        <f>HYPERLINK("http://exon.niaid.nih.gov/transcriptome/Tx_amboinensis_sialome/Table_1/links/TX-contig_350.txt","TX-contig_350")</f>
        <v>TX-contig_350</v>
      </c>
      <c r="B314" t="str">
        <f>HYPERLINK("http://exon.niaid.nih.gov/transcriptome/Tx_amboinensis_sialome/Table_1/links/TX-5-90-90-asb-350.txt","Contig-350")</f>
        <v>Contig-350</v>
      </c>
      <c r="C314" t="str">
        <f>HYPERLINK("http://exon.niaid.nih.gov/transcriptome/Tx_amboinensis_sialome/Table_1/links/TX-5-90-90-350-CLU.txt","Contig350")</f>
        <v>Contig350</v>
      </c>
      <c r="D314" s="4">
        <v>1</v>
      </c>
      <c r="E314">
        <v>124</v>
      </c>
      <c r="F314">
        <v>2.4</v>
      </c>
      <c r="G314">
        <v>91.9</v>
      </c>
      <c r="H314">
        <v>18</v>
      </c>
      <c r="I314">
        <v>350</v>
      </c>
      <c r="J314" t="s">
        <v>1204</v>
      </c>
      <c r="K314">
        <v>41</v>
      </c>
      <c r="L314" s="3" t="s">
        <v>1036</v>
      </c>
      <c r="M314" s="4">
        <v>0</v>
      </c>
      <c r="N314" s="4">
        <v>0</v>
      </c>
      <c r="O314" s="4">
        <v>0</v>
      </c>
      <c r="P314" s="4">
        <v>0</v>
      </c>
      <c r="Q314" s="5" t="s">
        <v>1039</v>
      </c>
      <c r="Y314" t="s">
        <v>324</v>
      </c>
      <c r="Z314" s="2" t="s">
        <v>324</v>
      </c>
      <c r="AA314" t="s">
        <v>324</v>
      </c>
      <c r="AB314" t="s">
        <v>324</v>
      </c>
      <c r="AC314" t="s">
        <v>324</v>
      </c>
      <c r="AD314" t="s">
        <v>324</v>
      </c>
      <c r="AE314" t="s">
        <v>324</v>
      </c>
      <c r="AF314" t="s">
        <v>324</v>
      </c>
      <c r="AG314" s="2" t="s">
        <v>324</v>
      </c>
      <c r="AH314" t="s">
        <v>324</v>
      </c>
      <c r="AI314" t="s">
        <v>324</v>
      </c>
      <c r="AJ314" s="2" t="s">
        <v>324</v>
      </c>
      <c r="AK314" t="s">
        <v>324</v>
      </c>
      <c r="AL314" t="s">
        <v>324</v>
      </c>
      <c r="AM314" s="2" t="s">
        <v>324</v>
      </c>
      <c r="AN314" t="s">
        <v>324</v>
      </c>
      <c r="AO314" s="2" t="s">
        <v>324</v>
      </c>
      <c r="AP314" t="s">
        <v>324</v>
      </c>
      <c r="AQ314" s="2" t="s">
        <v>324</v>
      </c>
      <c r="AR314" t="s">
        <v>324</v>
      </c>
    </row>
    <row r="315" spans="1:44" ht="11.25">
      <c r="A315" t="str">
        <f>HYPERLINK("http://exon.niaid.nih.gov/transcriptome/Tx_amboinensis_sialome/Table_1/links/TX-contig_85.txt","TX-contig_85")</f>
        <v>TX-contig_85</v>
      </c>
      <c r="B315" t="str">
        <f>HYPERLINK("http://exon.niaid.nih.gov/transcriptome/Tx_amboinensis_sialome/Table_1/links/TX-5-90-90-asb-85.txt","Contig-85")</f>
        <v>Contig-85</v>
      </c>
      <c r="C315" t="str">
        <f>HYPERLINK("http://exon.niaid.nih.gov/transcriptome/Tx_amboinensis_sialome/Table_1/links/TX-5-90-90-85-CLU.txt","Contig85")</f>
        <v>Contig85</v>
      </c>
      <c r="D315" s="4">
        <v>1</v>
      </c>
      <c r="E315">
        <v>153</v>
      </c>
      <c r="F315">
        <v>2</v>
      </c>
      <c r="G315">
        <v>81</v>
      </c>
      <c r="H315">
        <v>51</v>
      </c>
      <c r="I315">
        <v>85</v>
      </c>
      <c r="J315" t="s">
        <v>403</v>
      </c>
      <c r="K315">
        <v>51</v>
      </c>
      <c r="L315" s="3" t="s">
        <v>1036</v>
      </c>
      <c r="M315" s="4">
        <v>0</v>
      </c>
      <c r="N315" s="4">
        <v>0</v>
      </c>
      <c r="O315" s="4">
        <v>0</v>
      </c>
      <c r="P315" s="4">
        <v>0</v>
      </c>
      <c r="Q315" s="5" t="s">
        <v>1039</v>
      </c>
      <c r="Y315" t="s">
        <v>324</v>
      </c>
      <c r="Z315" s="2" t="s">
        <v>324</v>
      </c>
      <c r="AA315" t="s">
        <v>324</v>
      </c>
      <c r="AB315" t="s">
        <v>324</v>
      </c>
      <c r="AC315" t="s">
        <v>324</v>
      </c>
      <c r="AD315" t="s">
        <v>324</v>
      </c>
      <c r="AE315" t="s">
        <v>324</v>
      </c>
      <c r="AF315" t="s">
        <v>324</v>
      </c>
      <c r="AG315" s="2" t="s">
        <v>324</v>
      </c>
      <c r="AH315" t="s">
        <v>324</v>
      </c>
      <c r="AI315" t="s">
        <v>324</v>
      </c>
      <c r="AJ315" s="2" t="s">
        <v>324</v>
      </c>
      <c r="AK315" t="s">
        <v>324</v>
      </c>
      <c r="AL315" t="s">
        <v>324</v>
      </c>
      <c r="AM315" s="2" t="s">
        <v>324</v>
      </c>
      <c r="AN315" t="s">
        <v>324</v>
      </c>
      <c r="AO315" s="2" t="s">
        <v>324</v>
      </c>
      <c r="AP315" t="s">
        <v>324</v>
      </c>
      <c r="AQ315" s="2" t="s">
        <v>324</v>
      </c>
      <c r="AR315" t="s">
        <v>324</v>
      </c>
    </row>
    <row r="316" spans="1:44" ht="11.25">
      <c r="A316" t="str">
        <f>HYPERLINK("http://exon.niaid.nih.gov/transcriptome/Tx_amboinensis_sialome/Table_1/links/TX-contig_227.txt","TX-contig_227")</f>
        <v>TX-contig_227</v>
      </c>
      <c r="B316" t="str">
        <f>HYPERLINK("http://exon.niaid.nih.gov/transcriptome/Tx_amboinensis_sialome/Table_1/links/TX-5-90-90-asb-227.txt","Contig-227")</f>
        <v>Contig-227</v>
      </c>
      <c r="C316" t="str">
        <f>HYPERLINK("http://exon.niaid.nih.gov/transcriptome/Tx_amboinensis_sialome/Table_1/links/TX-5-90-90-227-CLU.txt","Contig227")</f>
        <v>Contig227</v>
      </c>
      <c r="D316" s="4">
        <v>1</v>
      </c>
      <c r="E316">
        <v>155</v>
      </c>
      <c r="F316">
        <v>0.6</v>
      </c>
      <c r="G316">
        <v>78.7</v>
      </c>
      <c r="H316">
        <v>51</v>
      </c>
      <c r="I316">
        <v>227</v>
      </c>
      <c r="J316" t="s">
        <v>540</v>
      </c>
      <c r="K316">
        <v>51</v>
      </c>
      <c r="L316" s="3" t="s">
        <v>1036</v>
      </c>
      <c r="M316" s="4">
        <v>0</v>
      </c>
      <c r="N316" s="4">
        <v>0</v>
      </c>
      <c r="O316" s="4">
        <v>0</v>
      </c>
      <c r="P316" s="4">
        <v>0</v>
      </c>
      <c r="Q316" s="5" t="s">
        <v>1039</v>
      </c>
      <c r="Y316" t="s">
        <v>324</v>
      </c>
      <c r="Z316" s="2" t="s">
        <v>324</v>
      </c>
      <c r="AA316" t="s">
        <v>324</v>
      </c>
      <c r="AB316" t="s">
        <v>324</v>
      </c>
      <c r="AC316" t="s">
        <v>324</v>
      </c>
      <c r="AD316" t="s">
        <v>324</v>
      </c>
      <c r="AE316" t="s">
        <v>324</v>
      </c>
      <c r="AF316" t="s">
        <v>324</v>
      </c>
      <c r="AG316" s="2" t="s">
        <v>324</v>
      </c>
      <c r="AH316" t="s">
        <v>324</v>
      </c>
      <c r="AI316" t="s">
        <v>324</v>
      </c>
      <c r="AJ316" s="2" t="s">
        <v>324</v>
      </c>
      <c r="AK316" t="s">
        <v>324</v>
      </c>
      <c r="AL316" t="s">
        <v>324</v>
      </c>
      <c r="AM316" s="2" t="s">
        <v>324</v>
      </c>
      <c r="AN316" t="s">
        <v>324</v>
      </c>
      <c r="AO316" s="2" t="s">
        <v>324</v>
      </c>
      <c r="AP316" t="s">
        <v>324</v>
      </c>
      <c r="AQ316" s="2" t="s">
        <v>324</v>
      </c>
      <c r="AR316" t="s">
        <v>324</v>
      </c>
    </row>
    <row r="317" spans="1:44" ht="11.25">
      <c r="A317" t="str">
        <f>HYPERLINK("http://exon.niaid.nih.gov/transcriptome/Tx_amboinensis_sialome/Table_1/links/TX-contig_245.txt","TX-contig_245")</f>
        <v>TX-contig_245</v>
      </c>
      <c r="B317" t="str">
        <f>HYPERLINK("http://exon.niaid.nih.gov/transcriptome/Tx_amboinensis_sialome/Table_1/links/TX-5-90-90-asb-245.txt","Contig-245")</f>
        <v>Contig-245</v>
      </c>
      <c r="C317" t="str">
        <f>HYPERLINK("http://exon.niaid.nih.gov/transcriptome/Tx_amboinensis_sialome/Table_1/links/TX-5-90-90-245-CLU.txt","Contig245")</f>
        <v>Contig245</v>
      </c>
      <c r="D317" s="4">
        <v>1</v>
      </c>
      <c r="E317">
        <v>148</v>
      </c>
      <c r="F317">
        <v>2.7</v>
      </c>
      <c r="G317">
        <v>85.1</v>
      </c>
      <c r="H317">
        <v>32</v>
      </c>
      <c r="I317">
        <v>245</v>
      </c>
      <c r="J317" t="s">
        <v>558</v>
      </c>
      <c r="K317">
        <v>32</v>
      </c>
      <c r="L317" s="3" t="s">
        <v>1036</v>
      </c>
      <c r="M317" s="4">
        <v>0</v>
      </c>
      <c r="N317" s="4">
        <v>0</v>
      </c>
      <c r="O317" s="4">
        <v>0</v>
      </c>
      <c r="P317" s="4">
        <v>0</v>
      </c>
      <c r="Q317" s="5" t="s">
        <v>1039</v>
      </c>
      <c r="Y317" t="s">
        <v>324</v>
      </c>
      <c r="Z317" s="2" t="s">
        <v>324</v>
      </c>
      <c r="AA317" t="s">
        <v>324</v>
      </c>
      <c r="AB317" t="s">
        <v>324</v>
      </c>
      <c r="AC317" t="s">
        <v>324</v>
      </c>
      <c r="AD317" t="s">
        <v>324</v>
      </c>
      <c r="AE317" t="s">
        <v>324</v>
      </c>
      <c r="AF317" t="s">
        <v>324</v>
      </c>
      <c r="AG317" s="2" t="s">
        <v>324</v>
      </c>
      <c r="AH317" t="s">
        <v>324</v>
      </c>
      <c r="AI317" t="s">
        <v>324</v>
      </c>
      <c r="AJ317" s="2" t="s">
        <v>324</v>
      </c>
      <c r="AK317" t="s">
        <v>324</v>
      </c>
      <c r="AL317" t="s">
        <v>324</v>
      </c>
      <c r="AM317" s="2" t="s">
        <v>324</v>
      </c>
      <c r="AN317" t="s">
        <v>324</v>
      </c>
      <c r="AO317" s="2" t="s">
        <v>324</v>
      </c>
      <c r="AP317" t="s">
        <v>324</v>
      </c>
      <c r="AQ317" s="2" t="s">
        <v>324</v>
      </c>
      <c r="AR317" t="s">
        <v>324</v>
      </c>
    </row>
    <row r="318" spans="1:44" ht="11.25">
      <c r="A318" t="str">
        <f>HYPERLINK("http://exon.niaid.nih.gov/transcriptome/Tx_amboinensis_sialome/Table_1/links/TX-contig_290.txt","TX-contig_290")</f>
        <v>TX-contig_290</v>
      </c>
      <c r="B318" t="str">
        <f>HYPERLINK("http://exon.niaid.nih.gov/transcriptome/Tx_amboinensis_sialome/Table_1/links/TX-5-90-90-asb-290.txt","Contig-290")</f>
        <v>Contig-290</v>
      </c>
      <c r="C318" t="str">
        <f>HYPERLINK("http://exon.niaid.nih.gov/transcriptome/Tx_amboinensis_sialome/Table_1/links/TX-5-90-90-290-CLU.txt","Contig290")</f>
        <v>Contig290</v>
      </c>
      <c r="D318" s="4">
        <v>1</v>
      </c>
      <c r="E318">
        <v>146</v>
      </c>
      <c r="F318">
        <v>1.4</v>
      </c>
      <c r="G318">
        <v>84.9</v>
      </c>
      <c r="H318">
        <v>36</v>
      </c>
      <c r="I318">
        <v>290</v>
      </c>
      <c r="J318" t="s">
        <v>603</v>
      </c>
      <c r="K318">
        <v>36</v>
      </c>
      <c r="L318" s="3" t="s">
        <v>1036</v>
      </c>
      <c r="M318" s="4">
        <v>0</v>
      </c>
      <c r="N318" s="4">
        <v>0</v>
      </c>
      <c r="O318" s="4">
        <v>0</v>
      </c>
      <c r="P318" s="4">
        <v>0</v>
      </c>
      <c r="Q318" s="5" t="s">
        <v>1039</v>
      </c>
      <c r="Y318" t="s">
        <v>324</v>
      </c>
      <c r="Z318" s="2" t="s">
        <v>324</v>
      </c>
      <c r="AA318" t="s">
        <v>324</v>
      </c>
      <c r="AB318" t="s">
        <v>324</v>
      </c>
      <c r="AC318" t="s">
        <v>324</v>
      </c>
      <c r="AD318" t="s">
        <v>324</v>
      </c>
      <c r="AE318" t="s">
        <v>324</v>
      </c>
      <c r="AF318" t="s">
        <v>324</v>
      </c>
      <c r="AG318" s="2" t="s">
        <v>324</v>
      </c>
      <c r="AH318" t="s">
        <v>324</v>
      </c>
      <c r="AI318" t="s">
        <v>324</v>
      </c>
      <c r="AJ318" s="2" t="s">
        <v>324</v>
      </c>
      <c r="AK318" t="s">
        <v>324</v>
      </c>
      <c r="AL318" t="s">
        <v>324</v>
      </c>
      <c r="AM318" s="2" t="s">
        <v>324</v>
      </c>
      <c r="AN318" t="s">
        <v>324</v>
      </c>
      <c r="AO318" s="2" t="s">
        <v>324</v>
      </c>
      <c r="AP318" t="s">
        <v>324</v>
      </c>
      <c r="AQ318" s="2" t="s">
        <v>324</v>
      </c>
      <c r="AR318" t="s">
        <v>324</v>
      </c>
    </row>
    <row r="319" spans="1:44" ht="11.25">
      <c r="A319" t="str">
        <f>HYPERLINK("http://exon.niaid.nih.gov/transcriptome/Tx_amboinensis_sialome/Table_1/links/TX-contig_341.txt","TX-contig_341")</f>
        <v>TX-contig_341</v>
      </c>
      <c r="B319" t="str">
        <f>HYPERLINK("http://exon.niaid.nih.gov/transcriptome/Tx_amboinensis_sialome/Table_1/links/TX-5-90-90-asb-341.txt","Contig-341")</f>
        <v>Contig-341</v>
      </c>
      <c r="C319" t="str">
        <f>HYPERLINK("http://exon.niaid.nih.gov/transcriptome/Tx_amboinensis_sialome/Table_1/links/TX-5-90-90-341-CLU.txt","Contig341")</f>
        <v>Contig341</v>
      </c>
      <c r="D319" s="4">
        <v>1</v>
      </c>
      <c r="E319">
        <v>152</v>
      </c>
      <c r="F319">
        <v>3.3</v>
      </c>
      <c r="G319">
        <v>83.6</v>
      </c>
      <c r="H319">
        <v>39</v>
      </c>
      <c r="I319">
        <v>341</v>
      </c>
      <c r="J319" t="s">
        <v>1195</v>
      </c>
      <c r="K319">
        <v>39</v>
      </c>
      <c r="L319" s="3" t="s">
        <v>1036</v>
      </c>
      <c r="M319" s="4">
        <v>0</v>
      </c>
      <c r="N319" s="4">
        <v>0</v>
      </c>
      <c r="O319" s="4">
        <v>0</v>
      </c>
      <c r="P319" s="4">
        <v>0</v>
      </c>
      <c r="Q319" s="5" t="s">
        <v>1039</v>
      </c>
      <c r="Y319" t="s">
        <v>324</v>
      </c>
      <c r="Z319" s="2" t="s">
        <v>324</v>
      </c>
      <c r="AA319" t="s">
        <v>324</v>
      </c>
      <c r="AB319" t="s">
        <v>324</v>
      </c>
      <c r="AC319" t="s">
        <v>324</v>
      </c>
      <c r="AD319" t="s">
        <v>324</v>
      </c>
      <c r="AE319" t="s">
        <v>324</v>
      </c>
      <c r="AF319" t="s">
        <v>324</v>
      </c>
      <c r="AG319" s="2" t="s">
        <v>324</v>
      </c>
      <c r="AH319" t="s">
        <v>324</v>
      </c>
      <c r="AI319" t="s">
        <v>324</v>
      </c>
      <c r="AJ319" s="2" t="s">
        <v>324</v>
      </c>
      <c r="AK319" t="s">
        <v>324</v>
      </c>
      <c r="AL319" t="s">
        <v>324</v>
      </c>
      <c r="AM319" s="2" t="s">
        <v>324</v>
      </c>
      <c r="AN319" t="s">
        <v>324</v>
      </c>
      <c r="AO319" s="2" t="s">
        <v>324</v>
      </c>
      <c r="AP319" t="s">
        <v>324</v>
      </c>
      <c r="AQ319" s="2" t="s">
        <v>324</v>
      </c>
      <c r="AR319" t="s">
        <v>324</v>
      </c>
    </row>
    <row r="320" spans="1:44" ht="11.25">
      <c r="A320" t="str">
        <f>HYPERLINK("http://exon.niaid.nih.gov/transcriptome/Tx_amboinensis_sialome/Table_1/links/TX-contig_407.txt","TX-contig_407")</f>
        <v>TX-contig_407</v>
      </c>
      <c r="B320" t="str">
        <f>HYPERLINK("http://exon.niaid.nih.gov/transcriptome/Tx_amboinensis_sialome/Table_1/links/TX-5-90-90-asb-407.txt","Contig-407")</f>
        <v>Contig-407</v>
      </c>
      <c r="C320" t="str">
        <f>HYPERLINK("http://exon.niaid.nih.gov/transcriptome/Tx_amboinensis_sialome/Table_1/links/TX-5-90-90-407-CLU.txt","Contig407")</f>
        <v>Contig407</v>
      </c>
      <c r="D320" s="4">
        <v>1</v>
      </c>
      <c r="E320">
        <v>157</v>
      </c>
      <c r="F320">
        <v>1.3</v>
      </c>
      <c r="G320">
        <v>79.6</v>
      </c>
      <c r="H320">
        <v>49</v>
      </c>
      <c r="I320">
        <v>407</v>
      </c>
      <c r="J320" t="s">
        <v>1261</v>
      </c>
      <c r="K320">
        <v>49</v>
      </c>
      <c r="L320" s="3" t="s">
        <v>1036</v>
      </c>
      <c r="M320" s="4">
        <v>0</v>
      </c>
      <c r="N320" s="4">
        <v>0</v>
      </c>
      <c r="O320" s="4">
        <v>0</v>
      </c>
      <c r="P320" s="4">
        <v>0</v>
      </c>
      <c r="Q320" s="5" t="s">
        <v>1039</v>
      </c>
      <c r="Y320" t="s">
        <v>324</v>
      </c>
      <c r="Z320" s="2" t="s">
        <v>324</v>
      </c>
      <c r="AA320" t="s">
        <v>324</v>
      </c>
      <c r="AB320" t="s">
        <v>324</v>
      </c>
      <c r="AC320" t="s">
        <v>324</v>
      </c>
      <c r="AD320" t="s">
        <v>324</v>
      </c>
      <c r="AE320" t="s">
        <v>324</v>
      </c>
      <c r="AF320" t="s">
        <v>324</v>
      </c>
      <c r="AG320" s="2" t="s">
        <v>324</v>
      </c>
      <c r="AH320" t="s">
        <v>324</v>
      </c>
      <c r="AI320" t="s">
        <v>324</v>
      </c>
      <c r="AJ320" s="2" t="s">
        <v>324</v>
      </c>
      <c r="AK320" t="s">
        <v>324</v>
      </c>
      <c r="AL320" t="s">
        <v>324</v>
      </c>
      <c r="AM320" s="2" t="s">
        <v>324</v>
      </c>
      <c r="AN320" t="s">
        <v>324</v>
      </c>
      <c r="AO320" s="2" t="s">
        <v>324</v>
      </c>
      <c r="AP320" t="s">
        <v>324</v>
      </c>
      <c r="AQ320" s="2" t="s">
        <v>324</v>
      </c>
      <c r="AR320" t="s">
        <v>324</v>
      </c>
    </row>
    <row r="321" spans="1:44" ht="11.25">
      <c r="A321" t="str">
        <f>HYPERLINK("http://exon.niaid.nih.gov/transcriptome/Tx_amboinensis_sialome/Table_1/links/TX-contig_193.txt","TX-contig_193")</f>
        <v>TX-contig_193</v>
      </c>
      <c r="B321" t="str">
        <f>HYPERLINK("http://exon.niaid.nih.gov/transcriptome/Tx_amboinensis_sialome/Table_1/links/TX-5-90-90-asb-193.txt","Contig-193")</f>
        <v>Contig-193</v>
      </c>
      <c r="C321" t="str">
        <f>HYPERLINK("http://exon.niaid.nih.gov/transcriptome/Tx_amboinensis_sialome/Table_1/links/TX-5-90-90-193-CLU.txt","Contig193")</f>
        <v>Contig193</v>
      </c>
      <c r="D321" s="4">
        <v>1</v>
      </c>
      <c r="E321">
        <v>161</v>
      </c>
      <c r="F321">
        <v>0.6</v>
      </c>
      <c r="G321">
        <v>72</v>
      </c>
      <c r="H321">
        <v>119</v>
      </c>
      <c r="I321">
        <v>193</v>
      </c>
      <c r="J321" t="s">
        <v>506</v>
      </c>
      <c r="K321">
        <v>119</v>
      </c>
      <c r="L321" s="3" t="s">
        <v>1036</v>
      </c>
      <c r="M321" s="4">
        <v>0</v>
      </c>
      <c r="N321" s="4">
        <v>0</v>
      </c>
      <c r="O321" s="4">
        <v>0</v>
      </c>
      <c r="P321" s="4">
        <v>0</v>
      </c>
      <c r="Q321" s="5" t="s">
        <v>1039</v>
      </c>
      <c r="Y321" t="s">
        <v>324</v>
      </c>
      <c r="Z321" s="2" t="s">
        <v>324</v>
      </c>
      <c r="AA321" t="s">
        <v>324</v>
      </c>
      <c r="AB321" t="s">
        <v>324</v>
      </c>
      <c r="AC321" t="s">
        <v>324</v>
      </c>
      <c r="AD321" t="s">
        <v>324</v>
      </c>
      <c r="AE321" t="s">
        <v>324</v>
      </c>
      <c r="AF321" t="s">
        <v>324</v>
      </c>
      <c r="AG321" s="2" t="s">
        <v>324</v>
      </c>
      <c r="AH321" t="s">
        <v>324</v>
      </c>
      <c r="AI321" t="s">
        <v>324</v>
      </c>
      <c r="AJ321" s="2" t="s">
        <v>324</v>
      </c>
      <c r="AK321" t="s">
        <v>324</v>
      </c>
      <c r="AL321" t="s">
        <v>324</v>
      </c>
      <c r="AM321" s="2" t="s">
        <v>324</v>
      </c>
      <c r="AN321" t="s">
        <v>324</v>
      </c>
      <c r="AO321" s="2" t="s">
        <v>324</v>
      </c>
      <c r="AP321" t="s">
        <v>324</v>
      </c>
      <c r="AQ321" s="2" t="s">
        <v>324</v>
      </c>
      <c r="AR321" t="s">
        <v>324</v>
      </c>
    </row>
    <row r="322" spans="1:44" ht="11.25">
      <c r="A322" t="str">
        <f>HYPERLINK("http://exon.niaid.nih.gov/transcriptome/Tx_amboinensis_sialome/Table_1/links/TX-contig_424.txt","TX-contig_424")</f>
        <v>TX-contig_424</v>
      </c>
      <c r="B322" t="str">
        <f>HYPERLINK("http://exon.niaid.nih.gov/transcriptome/Tx_amboinensis_sialome/Table_1/links/TX-5-90-90-asb-424.txt","Contig-424")</f>
        <v>Contig-424</v>
      </c>
      <c r="C322" t="str">
        <f>HYPERLINK("http://exon.niaid.nih.gov/transcriptome/Tx_amboinensis_sialome/Table_1/links/TX-5-90-90-424-CLU.txt","Contig424")</f>
        <v>Contig424</v>
      </c>
      <c r="D322" s="4">
        <v>1</v>
      </c>
      <c r="E322">
        <v>160</v>
      </c>
      <c r="F322">
        <v>3.1</v>
      </c>
      <c r="G322">
        <v>85</v>
      </c>
      <c r="H322">
        <v>59</v>
      </c>
      <c r="I322">
        <v>424</v>
      </c>
      <c r="J322" t="s">
        <v>1278</v>
      </c>
      <c r="K322">
        <v>59</v>
      </c>
      <c r="L322" s="3" t="s">
        <v>1036</v>
      </c>
      <c r="M322" s="4">
        <v>0</v>
      </c>
      <c r="N322" s="4">
        <v>0</v>
      </c>
      <c r="O322" s="4">
        <v>0</v>
      </c>
      <c r="P322" s="4">
        <v>0</v>
      </c>
      <c r="Q322" s="5" t="s">
        <v>1039</v>
      </c>
      <c r="Y322" t="s">
        <v>324</v>
      </c>
      <c r="Z322" s="2" t="s">
        <v>324</v>
      </c>
      <c r="AA322" t="s">
        <v>324</v>
      </c>
      <c r="AB322" t="s">
        <v>324</v>
      </c>
      <c r="AC322" t="s">
        <v>324</v>
      </c>
      <c r="AD322" t="s">
        <v>324</v>
      </c>
      <c r="AE322" t="s">
        <v>324</v>
      </c>
      <c r="AF322" t="s">
        <v>324</v>
      </c>
      <c r="AG322" s="2" t="s">
        <v>324</v>
      </c>
      <c r="AH322" t="s">
        <v>324</v>
      </c>
      <c r="AI322" t="s">
        <v>324</v>
      </c>
      <c r="AJ322" s="2" t="s">
        <v>324</v>
      </c>
      <c r="AK322" t="s">
        <v>324</v>
      </c>
      <c r="AL322" t="s">
        <v>324</v>
      </c>
      <c r="AM322" s="2" t="s">
        <v>324</v>
      </c>
      <c r="AN322" t="s">
        <v>324</v>
      </c>
      <c r="AO322" s="2" t="s">
        <v>324</v>
      </c>
      <c r="AP322" t="s">
        <v>324</v>
      </c>
      <c r="AQ322" s="2" t="s">
        <v>324</v>
      </c>
      <c r="AR322" t="s">
        <v>324</v>
      </c>
    </row>
    <row r="323" spans="1:44" ht="11.25">
      <c r="A323" t="str">
        <f>HYPERLINK("http://exon.niaid.nih.gov/transcriptome/Tx_amboinensis_sialome/Table_1/links/TX-contig_71.txt","TX-contig_71")</f>
        <v>TX-contig_71</v>
      </c>
      <c r="B323" t="str">
        <f>HYPERLINK("http://exon.niaid.nih.gov/transcriptome/Tx_amboinensis_sialome/Table_1/links/TX-5-90-90-asb-71.txt","Contig-71")</f>
        <v>Contig-71</v>
      </c>
      <c r="C323" t="str">
        <f>HYPERLINK("http://exon.niaid.nih.gov/transcriptome/Tx_amboinensis_sialome/Table_1/links/TX-5-90-90-71-CLU.txt","Contig71")</f>
        <v>Contig71</v>
      </c>
      <c r="D323" s="4">
        <v>1</v>
      </c>
      <c r="E323">
        <v>194</v>
      </c>
      <c r="F323">
        <v>1</v>
      </c>
      <c r="G323">
        <v>76.8</v>
      </c>
      <c r="H323">
        <v>93</v>
      </c>
      <c r="I323">
        <v>71</v>
      </c>
      <c r="J323" t="s">
        <v>390</v>
      </c>
      <c r="K323">
        <v>93</v>
      </c>
      <c r="L323" s="3" t="s">
        <v>1036</v>
      </c>
      <c r="M323" s="4">
        <v>0</v>
      </c>
      <c r="N323" s="4">
        <v>0</v>
      </c>
      <c r="O323" s="4">
        <v>0</v>
      </c>
      <c r="P323" s="4">
        <v>0</v>
      </c>
      <c r="Q323" s="5" t="s">
        <v>1039</v>
      </c>
      <c r="Y323" t="s">
        <v>324</v>
      </c>
      <c r="Z323" s="2" t="s">
        <v>324</v>
      </c>
      <c r="AA323" t="s">
        <v>324</v>
      </c>
      <c r="AB323" t="s">
        <v>324</v>
      </c>
      <c r="AC323" t="s">
        <v>324</v>
      </c>
      <c r="AD323" t="s">
        <v>324</v>
      </c>
      <c r="AE323" t="s">
        <v>324</v>
      </c>
      <c r="AF323" t="s">
        <v>324</v>
      </c>
      <c r="AG323" s="2" t="s">
        <v>324</v>
      </c>
      <c r="AH323" t="s">
        <v>324</v>
      </c>
      <c r="AI323" t="s">
        <v>324</v>
      </c>
      <c r="AJ323" s="2" t="s">
        <v>324</v>
      </c>
      <c r="AK323" t="s">
        <v>324</v>
      </c>
      <c r="AL323" t="s">
        <v>324</v>
      </c>
      <c r="AM323" s="2" t="str">
        <f>HYPERLINK("http://exon.niaid.nih.gov/transcriptome/Tx_amboinensis_sialome/Table_1/links/PFAM\TX-contig_71-PFAM.txt","TT_ORF1")</f>
        <v>TT_ORF1</v>
      </c>
      <c r="AN323" t="str">
        <f>HYPERLINK("http://pfam.wustl.edu/cgi-bin/getdesc?acc=PF02956","0.53")</f>
        <v>0.53</v>
      </c>
      <c r="AO323" s="2" t="str">
        <f>HYPERLINK("http://exon.niaid.nih.gov/transcriptome/Tx_amboinensis_sialome/Table_1/links/SMART\TX-contig_71-SMART.txt","PLAc")</f>
        <v>PLAc</v>
      </c>
      <c r="AP323" t="str">
        <f>HYPERLINK("http://smart.embl-heidelberg.de/smart/do_annotation.pl?DOMAIN=PLAc&amp;BLAST=DUMMY","0.71")</f>
        <v>0.71</v>
      </c>
      <c r="AQ323" s="2" t="s">
        <v>324</v>
      </c>
      <c r="AR323" t="s">
        <v>324</v>
      </c>
    </row>
    <row r="324" spans="1:44" ht="11.25">
      <c r="A324" t="str">
        <f>HYPERLINK("http://exon.niaid.nih.gov/transcriptome/Tx_amboinensis_sialome/Table_1/links/TX-contig_250.txt","TX-contig_250")</f>
        <v>TX-contig_250</v>
      </c>
      <c r="B324" t="str">
        <f>HYPERLINK("http://exon.niaid.nih.gov/transcriptome/Tx_amboinensis_sialome/Table_1/links/TX-5-90-90-asb-250.txt","Contig-250")</f>
        <v>Contig-250</v>
      </c>
      <c r="C324" t="str">
        <f>HYPERLINK("http://exon.niaid.nih.gov/transcriptome/Tx_amboinensis_sialome/Table_1/links/TX-5-90-90-250-CLU.txt","Contig250")</f>
        <v>Contig250</v>
      </c>
      <c r="D324" s="4">
        <v>1</v>
      </c>
      <c r="E324">
        <v>188</v>
      </c>
      <c r="F324">
        <v>1.6</v>
      </c>
      <c r="G324">
        <v>84</v>
      </c>
      <c r="H324">
        <v>48</v>
      </c>
      <c r="I324">
        <v>250</v>
      </c>
      <c r="J324" t="s">
        <v>563</v>
      </c>
      <c r="K324">
        <v>48</v>
      </c>
      <c r="L324" s="3" t="s">
        <v>1036</v>
      </c>
      <c r="M324" s="4">
        <v>0</v>
      </c>
      <c r="N324" s="4">
        <v>0</v>
      </c>
      <c r="O324" s="4">
        <v>0</v>
      </c>
      <c r="P324" s="4">
        <v>0</v>
      </c>
      <c r="Q324" s="5" t="s">
        <v>1039</v>
      </c>
      <c r="Y324" t="s">
        <v>324</v>
      </c>
      <c r="Z324" s="2" t="s">
        <v>324</v>
      </c>
      <c r="AA324" t="s">
        <v>324</v>
      </c>
      <c r="AB324" t="s">
        <v>324</v>
      </c>
      <c r="AC324" t="s">
        <v>324</v>
      </c>
      <c r="AD324" t="s">
        <v>324</v>
      </c>
      <c r="AE324" t="s">
        <v>324</v>
      </c>
      <c r="AF324" t="s">
        <v>324</v>
      </c>
      <c r="AG324" s="2" t="s">
        <v>324</v>
      </c>
      <c r="AH324" t="s">
        <v>324</v>
      </c>
      <c r="AI324" t="s">
        <v>324</v>
      </c>
      <c r="AJ324" s="2" t="s">
        <v>324</v>
      </c>
      <c r="AK324" t="s">
        <v>324</v>
      </c>
      <c r="AL324" t="s">
        <v>324</v>
      </c>
      <c r="AM324" s="2" t="s">
        <v>324</v>
      </c>
      <c r="AN324" t="s">
        <v>324</v>
      </c>
      <c r="AO324" s="2" t="s">
        <v>324</v>
      </c>
      <c r="AP324" t="s">
        <v>324</v>
      </c>
      <c r="AQ324" s="2" t="s">
        <v>324</v>
      </c>
      <c r="AR324" t="s">
        <v>324</v>
      </c>
    </row>
    <row r="325" spans="1:46" ht="11.25">
      <c r="A325" t="str">
        <f>HYPERLINK("http://exon.niaid.nih.gov/transcriptome/Tx_amboinensis_sialome/Table_1/links/TX-contig_256.txt","TX-contig_256")</f>
        <v>TX-contig_256</v>
      </c>
      <c r="B325" t="str">
        <f>HYPERLINK("http://exon.niaid.nih.gov/transcriptome/Tx_amboinensis_sialome/Table_1/links/TX-5-90-90-asb-256.txt","Contig-256")</f>
        <v>Contig-256</v>
      </c>
      <c r="C325" t="str">
        <f>HYPERLINK("http://exon.niaid.nih.gov/transcriptome/Tx_amboinensis_sialome/Table_1/links/TX-5-90-90-256-CLU.txt","Contig256")</f>
        <v>Contig256</v>
      </c>
      <c r="D325" s="4">
        <v>1</v>
      </c>
      <c r="E325">
        <v>152</v>
      </c>
      <c r="F325" t="s">
        <v>322</v>
      </c>
      <c r="G325">
        <v>63.2</v>
      </c>
      <c r="H325">
        <v>133</v>
      </c>
      <c r="I325">
        <v>256</v>
      </c>
      <c r="J325" t="s">
        <v>569</v>
      </c>
      <c r="K325">
        <v>133</v>
      </c>
      <c r="L325" s="3" t="s">
        <v>1036</v>
      </c>
      <c r="M325" s="4">
        <v>0</v>
      </c>
      <c r="N325" s="4">
        <v>0</v>
      </c>
      <c r="O325" s="4">
        <v>0</v>
      </c>
      <c r="P325" s="4">
        <v>0</v>
      </c>
      <c r="Q325" s="5" t="s">
        <v>1039</v>
      </c>
      <c r="Y325" t="s">
        <v>324</v>
      </c>
      <c r="Z325" s="2" t="s">
        <v>324</v>
      </c>
      <c r="AA325" t="s">
        <v>324</v>
      </c>
      <c r="AB325" t="s">
        <v>324</v>
      </c>
      <c r="AC325" t="s">
        <v>324</v>
      </c>
      <c r="AD325" t="s">
        <v>324</v>
      </c>
      <c r="AE325" t="s">
        <v>324</v>
      </c>
      <c r="AF325" t="s">
        <v>324</v>
      </c>
      <c r="AG325" s="2" t="str">
        <f>HYPERLINK("http://exon.niaid.nih.gov/transcriptome/Tx_amboinensis_sialome/Table_1/links/KOG\TX-contig_256-KOG.txt","Polytopic membrane protein Prominin")</f>
        <v>Polytopic membrane protein Prominin</v>
      </c>
      <c r="AH325" t="str">
        <f>HYPERLINK("http://www.ncbi.nlm.nih.gov/COG/new/shokog.cgi?KOG4331","0.15")</f>
        <v>0.15</v>
      </c>
      <c r="AI325" t="s">
        <v>1331</v>
      </c>
      <c r="AJ325" s="2" t="s">
        <v>324</v>
      </c>
      <c r="AK325" t="s">
        <v>324</v>
      </c>
      <c r="AL325" t="s">
        <v>324</v>
      </c>
      <c r="AM325" s="2" t="s">
        <v>324</v>
      </c>
      <c r="AN325" t="s">
        <v>324</v>
      </c>
      <c r="AO325" s="2" t="str">
        <f>HYPERLINK("http://exon.niaid.nih.gov/transcriptome/Tx_amboinensis_sialome/Table_1/links/SMART\TX-contig_256-SMART.txt","BSD")</f>
        <v>BSD</v>
      </c>
      <c r="AP325" t="str">
        <f>HYPERLINK("http://smart.embl-heidelberg.de/smart/do_annotation.pl?DOMAIN=BSD&amp;BLAST=DUMMY","0.99")</f>
        <v>0.99</v>
      </c>
      <c r="AQ325" s="2" t="s">
        <v>324</v>
      </c>
      <c r="AR325" t="s">
        <v>324</v>
      </c>
      <c r="AS325" s="2" t="s">
        <v>324</v>
      </c>
      <c r="AT325" t="s">
        <v>324</v>
      </c>
    </row>
    <row r="326" spans="1:46" ht="11.25">
      <c r="A326" t="str">
        <f>HYPERLINK("http://exon.niaid.nih.gov/transcriptome/Tx_amboinensis_sialome/Table_1/links/TX-contig_461.txt","TX-contig_461")</f>
        <v>TX-contig_461</v>
      </c>
      <c r="B326" t="str">
        <f>HYPERLINK("http://exon.niaid.nih.gov/transcriptome/Tx_amboinensis_sialome/Table_1/links/TX-5-90-90-asb-461.txt","Contig-461")</f>
        <v>Contig-461</v>
      </c>
      <c r="C326" t="str">
        <f>HYPERLINK("http://exon.niaid.nih.gov/transcriptome/Tx_amboinensis_sialome/Table_1/links/TX-5-90-90-461-CLU.txt","Contig461")</f>
        <v>Contig461</v>
      </c>
      <c r="D326" s="4">
        <v>1</v>
      </c>
      <c r="E326">
        <v>157</v>
      </c>
      <c r="F326">
        <v>0.6</v>
      </c>
      <c r="G326">
        <v>71.3</v>
      </c>
      <c r="H326">
        <v>138</v>
      </c>
      <c r="I326">
        <v>461</v>
      </c>
      <c r="J326" t="s">
        <v>631</v>
      </c>
      <c r="K326">
        <v>138</v>
      </c>
      <c r="L326" s="3" t="s">
        <v>1036</v>
      </c>
      <c r="M326" s="4">
        <v>0</v>
      </c>
      <c r="N326" s="4">
        <v>0</v>
      </c>
      <c r="O326" s="4">
        <v>0</v>
      </c>
      <c r="P326" s="4">
        <v>0</v>
      </c>
      <c r="Q326" s="5" t="s">
        <v>1039</v>
      </c>
      <c r="Y326" t="s">
        <v>324</v>
      </c>
      <c r="Z326" s="2" t="s">
        <v>324</v>
      </c>
      <c r="AA326" t="s">
        <v>324</v>
      </c>
      <c r="AB326" t="s">
        <v>324</v>
      </c>
      <c r="AC326" t="s">
        <v>324</v>
      </c>
      <c r="AD326" t="s">
        <v>324</v>
      </c>
      <c r="AE326" t="s">
        <v>324</v>
      </c>
      <c r="AF326" t="s">
        <v>324</v>
      </c>
      <c r="AG326" s="2" t="str">
        <f>HYPERLINK("http://exon.niaid.nih.gov/transcriptome/Tx_amboinensis_sialome/Table_1/links/KOG\TX-contig_461-KOG.txt","Cyclic nucleotide phosphodiesterase")</f>
        <v>Cyclic nucleotide phosphodiesterase</v>
      </c>
      <c r="AH326" t="str">
        <f>HYPERLINK("http://www.ncbi.nlm.nih.gov/COG/new/shokog.cgi?KOG3689","0.20")</f>
        <v>0.20</v>
      </c>
      <c r="AI326" t="s">
        <v>1320</v>
      </c>
      <c r="AJ326" s="2" t="str">
        <f>HYPERLINK("http://exon.niaid.nih.gov/transcriptome/Tx_amboinensis_sialome/Table_1/links/CDD\TX-contig_461-CDD.txt","COG1284")</f>
        <v>COG1284</v>
      </c>
      <c r="AK326" t="str">
        <f>HYPERLINK("http://www.ncbi.nlm.nih.gov/Structure/cdd/cddsrv.cgi?uid=COG1284&amp;version=v4.0","0.97")</f>
        <v>0.97</v>
      </c>
      <c r="AL326" t="s">
        <v>1013</v>
      </c>
      <c r="AM326" s="2" t="str">
        <f>HYPERLINK("http://exon.niaid.nih.gov/transcriptome/Tx_amboinensis_sialome/Table_1/links/PFAM\TX-contig_461-PFAM.txt","UPF0259")</f>
        <v>UPF0259</v>
      </c>
      <c r="AN326" t="str">
        <f>HYPERLINK("http://pfam.wustl.edu/cgi-bin/getdesc?acc=PF06790","0.60")</f>
        <v>0.60</v>
      </c>
      <c r="AO326" s="2" t="s">
        <v>324</v>
      </c>
      <c r="AP326" t="s">
        <v>324</v>
      </c>
      <c r="AQ326" s="2" t="s">
        <v>324</v>
      </c>
      <c r="AR326" t="s">
        <v>324</v>
      </c>
      <c r="AS326" s="2" t="s">
        <v>324</v>
      </c>
      <c r="AT326" t="s">
        <v>324</v>
      </c>
    </row>
    <row r="327" spans="1:46" ht="11.25">
      <c r="A327" t="str">
        <f>HYPERLINK("http://exon.niaid.nih.gov/transcriptome/Tx_amboinensis_sialome/Table_1/links/TX-contig_266.txt","TX-contig_266")</f>
        <v>TX-contig_266</v>
      </c>
      <c r="B327" t="str">
        <f>HYPERLINK("http://exon.niaid.nih.gov/transcriptome/Tx_amboinensis_sialome/Table_1/links/TX-5-90-90-asb-266.txt","Contig-266")</f>
        <v>Contig-266</v>
      </c>
      <c r="C327" t="str">
        <f>HYPERLINK("http://exon.niaid.nih.gov/transcriptome/Tx_amboinensis_sialome/Table_1/links/TX-5-90-90-266-CLU.txt","Contig266")</f>
        <v>Contig266</v>
      </c>
      <c r="D327" s="4">
        <v>1</v>
      </c>
      <c r="E327">
        <v>106</v>
      </c>
      <c r="F327" t="s">
        <v>322</v>
      </c>
      <c r="G327">
        <v>69.8</v>
      </c>
      <c r="H327">
        <v>79</v>
      </c>
      <c r="I327">
        <v>266</v>
      </c>
      <c r="J327" t="s">
        <v>579</v>
      </c>
      <c r="K327">
        <v>79</v>
      </c>
      <c r="L327" s="3" t="s">
        <v>1036</v>
      </c>
      <c r="M327" s="4">
        <v>0</v>
      </c>
      <c r="N327" s="4">
        <v>0</v>
      </c>
      <c r="O327" s="4">
        <v>0</v>
      </c>
      <c r="P327" s="4">
        <v>0</v>
      </c>
      <c r="Q327" s="5" t="s">
        <v>1039</v>
      </c>
      <c r="Y327" t="s">
        <v>324</v>
      </c>
      <c r="Z327" s="2" t="s">
        <v>324</v>
      </c>
      <c r="AA327" t="s">
        <v>324</v>
      </c>
      <c r="AB327" t="s">
        <v>324</v>
      </c>
      <c r="AC327" t="s">
        <v>324</v>
      </c>
      <c r="AD327" t="s">
        <v>324</v>
      </c>
      <c r="AE327" t="s">
        <v>324</v>
      </c>
      <c r="AF327" t="s">
        <v>324</v>
      </c>
      <c r="AG327" s="2" t="str">
        <f>HYPERLINK("http://exon.niaid.nih.gov/transcriptome/Tx_amboinensis_sialome/Table_1/links/KOG\TX-contig_266-KOG.txt","Mlx interactors and related transcription factors")</f>
        <v>Mlx interactors and related transcription factors</v>
      </c>
      <c r="AH327" t="str">
        <f>HYPERLINK("http://www.ncbi.nlm.nih.gov/COG/new/shokog.cgi?KOG3582","0.21")</f>
        <v>0.21</v>
      </c>
      <c r="AI327" t="s">
        <v>855</v>
      </c>
      <c r="AJ327" s="2" t="s">
        <v>324</v>
      </c>
      <c r="AK327" t="s">
        <v>324</v>
      </c>
      <c r="AL327" t="s">
        <v>324</v>
      </c>
      <c r="AM327" s="2" t="s">
        <v>324</v>
      </c>
      <c r="AN327" t="s">
        <v>324</v>
      </c>
      <c r="AO327" s="2" t="s">
        <v>324</v>
      </c>
      <c r="AP327" t="s">
        <v>324</v>
      </c>
      <c r="AQ327" s="2" t="s">
        <v>324</v>
      </c>
      <c r="AR327" t="s">
        <v>324</v>
      </c>
      <c r="AS327" s="2" t="s">
        <v>324</v>
      </c>
      <c r="AT327" t="s">
        <v>324</v>
      </c>
    </row>
    <row r="328" spans="1:46" ht="11.25">
      <c r="A328" t="str">
        <f>HYPERLINK("http://exon.niaid.nih.gov/transcriptome/Tx_amboinensis_sialome/Table_1/links/TX-contig_137.txt","TX-contig_137")</f>
        <v>TX-contig_137</v>
      </c>
      <c r="B328" t="str">
        <f>HYPERLINK("http://exon.niaid.nih.gov/transcriptome/Tx_amboinensis_sialome/Table_1/links/TX-5-90-90-asb-137.txt","Contig-137")</f>
        <v>Contig-137</v>
      </c>
      <c r="C328" t="str">
        <f>HYPERLINK("http://exon.niaid.nih.gov/transcriptome/Tx_amboinensis_sialome/Table_1/links/TX-5-90-90-137-CLU.txt","Contig137")</f>
        <v>Contig137</v>
      </c>
      <c r="D328" s="4">
        <v>1</v>
      </c>
      <c r="E328">
        <v>216</v>
      </c>
      <c r="F328" t="s">
        <v>322</v>
      </c>
      <c r="G328">
        <v>69.4</v>
      </c>
      <c r="H328">
        <v>197</v>
      </c>
      <c r="I328">
        <v>137</v>
      </c>
      <c r="J328" t="s">
        <v>453</v>
      </c>
      <c r="K328">
        <v>197</v>
      </c>
      <c r="L328" s="3" t="s">
        <v>1036</v>
      </c>
      <c r="M328" s="4">
        <v>0</v>
      </c>
      <c r="N328" s="4">
        <v>0</v>
      </c>
      <c r="O328" s="4">
        <v>0</v>
      </c>
      <c r="P328" s="4">
        <v>0</v>
      </c>
      <c r="Q328" s="5" t="s">
        <v>1039</v>
      </c>
      <c r="Y328" t="s">
        <v>324</v>
      </c>
      <c r="Z328" s="2" t="s">
        <v>324</v>
      </c>
      <c r="AA328" t="s">
        <v>324</v>
      </c>
      <c r="AB328" t="s">
        <v>324</v>
      </c>
      <c r="AC328" t="s">
        <v>324</v>
      </c>
      <c r="AD328" t="s">
        <v>324</v>
      </c>
      <c r="AE328" t="s">
        <v>324</v>
      </c>
      <c r="AF328" t="s">
        <v>324</v>
      </c>
      <c r="AG328" s="2" t="str">
        <f>HYPERLINK("http://exon.niaid.nih.gov/transcriptome/Tx_amboinensis_sialome/Table_1/links/KOG\TX-contig_137-KOG.txt","E3 ubiquitin-protein ligase/Putative upstream regulatory element binding protein")</f>
        <v>E3 ubiquitin-protein ligase/Putative upstream regulatory element binding protein</v>
      </c>
      <c r="AH328" t="str">
        <f>HYPERLINK("http://www.ncbi.nlm.nih.gov/COG/new/shokog.cgi?KOG0939","0.49")</f>
        <v>0.49</v>
      </c>
      <c r="AI328" t="s">
        <v>1139</v>
      </c>
      <c r="AJ328" s="2" t="s">
        <v>324</v>
      </c>
      <c r="AK328" t="s">
        <v>324</v>
      </c>
      <c r="AL328" t="s">
        <v>324</v>
      </c>
      <c r="AM328" s="2" t="s">
        <v>324</v>
      </c>
      <c r="AN328" t="s">
        <v>324</v>
      </c>
      <c r="AO328" s="2" t="str">
        <f>HYPERLINK("http://exon.niaid.nih.gov/transcriptome/Tx_amboinensis_sialome/Table_1/links/SMART\TX-contig_137-SMART.txt","THN")</f>
        <v>THN</v>
      </c>
      <c r="AP328" t="str">
        <f>HYPERLINK("http://smart.embl-heidelberg.de/smart/do_annotation.pl?DOMAIN=THN&amp;BLAST=DUMMY","0.74")</f>
        <v>0.74</v>
      </c>
      <c r="AQ328" s="2" t="s">
        <v>324</v>
      </c>
      <c r="AR328" t="s">
        <v>324</v>
      </c>
      <c r="AS328" s="2" t="s">
        <v>324</v>
      </c>
      <c r="AT328" t="s">
        <v>324</v>
      </c>
    </row>
    <row r="329" spans="1:46" ht="11.25">
      <c r="A329" t="str">
        <f>HYPERLINK("http://exon.niaid.nih.gov/transcriptome/Tx_amboinensis_sialome/Table_1/links/TX-contig_112.txt","TX-contig_112")</f>
        <v>TX-contig_112</v>
      </c>
      <c r="B329" t="str">
        <f>HYPERLINK("http://exon.niaid.nih.gov/transcriptome/Tx_amboinensis_sialome/Table_1/links/TX-5-90-90-asb-112.txt","Contig-112")</f>
        <v>Contig-112</v>
      </c>
      <c r="C329" t="str">
        <f>HYPERLINK("http://exon.niaid.nih.gov/transcriptome/Tx_amboinensis_sialome/Table_1/links/TX-5-90-90-112-CLU.txt","Contig112")</f>
        <v>Contig112</v>
      </c>
      <c r="D329" s="4">
        <v>1</v>
      </c>
      <c r="E329">
        <v>143</v>
      </c>
      <c r="F329">
        <v>0.7</v>
      </c>
      <c r="G329">
        <v>67.1</v>
      </c>
      <c r="H329">
        <v>124</v>
      </c>
      <c r="I329">
        <v>112</v>
      </c>
      <c r="J329" t="s">
        <v>428</v>
      </c>
      <c r="K329">
        <v>124</v>
      </c>
      <c r="L329" s="3" t="s">
        <v>1036</v>
      </c>
      <c r="M329" s="4">
        <v>0</v>
      </c>
      <c r="N329" s="4">
        <v>0</v>
      </c>
      <c r="O329" s="4">
        <v>0</v>
      </c>
      <c r="P329" s="4">
        <v>0</v>
      </c>
      <c r="Q329" s="5" t="s">
        <v>1039</v>
      </c>
      <c r="Y329" t="s">
        <v>324</v>
      </c>
      <c r="Z329" s="2" t="s">
        <v>324</v>
      </c>
      <c r="AA329" t="s">
        <v>324</v>
      </c>
      <c r="AB329" t="s">
        <v>324</v>
      </c>
      <c r="AC329" t="s">
        <v>324</v>
      </c>
      <c r="AD329" t="s">
        <v>324</v>
      </c>
      <c r="AE329" t="s">
        <v>324</v>
      </c>
      <c r="AF329" t="s">
        <v>324</v>
      </c>
      <c r="AG329" s="2" t="str">
        <f>HYPERLINK("http://exon.niaid.nih.gov/transcriptome/Tx_amboinensis_sialome/Table_1/links/KOG\TX-contig_112-KOG.txt","Uncharacterized conserved protein")</f>
        <v>Uncharacterized conserved protein</v>
      </c>
      <c r="AH329" t="str">
        <f>HYPERLINK("http://www.ncbi.nlm.nih.gov/COG/new/shokog.cgi?KOG4349","0.50")</f>
        <v>0.50</v>
      </c>
      <c r="AI329" t="s">
        <v>900</v>
      </c>
      <c r="AJ329" s="2" t="s">
        <v>324</v>
      </c>
      <c r="AK329" t="s">
        <v>324</v>
      </c>
      <c r="AL329" t="s">
        <v>324</v>
      </c>
      <c r="AM329" s="2" t="s">
        <v>324</v>
      </c>
      <c r="AN329" t="s">
        <v>324</v>
      </c>
      <c r="AO329" s="2" t="str">
        <f>HYPERLINK("http://exon.niaid.nih.gov/transcriptome/Tx_amboinensis_sialome/Table_1/links/SMART\TX-contig_112-SMART.txt","RL11")</f>
        <v>RL11</v>
      </c>
      <c r="AP329" t="str">
        <f>HYPERLINK("http://smart.embl-heidelberg.de/smart/do_annotation.pl?DOMAIN=RL11&amp;BLAST=DUMMY","0.13")</f>
        <v>0.13</v>
      </c>
      <c r="AQ329" s="2" t="s">
        <v>324</v>
      </c>
      <c r="AR329" t="s">
        <v>324</v>
      </c>
      <c r="AS329" s="2" t="s">
        <v>324</v>
      </c>
      <c r="AT329" t="s">
        <v>324</v>
      </c>
    </row>
    <row r="330" spans="1:46" ht="11.25">
      <c r="A330" t="str">
        <f>HYPERLINK("http://exon.niaid.nih.gov/transcriptome/Tx_amboinensis_sialome/Table_1/links/TX-contig_357.txt","TX-contig_357")</f>
        <v>TX-contig_357</v>
      </c>
      <c r="B330" t="str">
        <f>HYPERLINK("http://exon.niaid.nih.gov/transcriptome/Tx_amboinensis_sialome/Table_1/links/TX-5-90-90-asb-357.txt","Contig-357")</f>
        <v>Contig-357</v>
      </c>
      <c r="C330" t="str">
        <f>HYPERLINK("http://exon.niaid.nih.gov/transcriptome/Tx_amboinensis_sialome/Table_1/links/TX-5-90-90-357-CLU.txt","Contig357")</f>
        <v>Contig357</v>
      </c>
      <c r="D330" s="4">
        <v>1</v>
      </c>
      <c r="E330">
        <v>128</v>
      </c>
      <c r="F330">
        <v>2.3</v>
      </c>
      <c r="G330">
        <v>58.6</v>
      </c>
      <c r="H330">
        <v>109</v>
      </c>
      <c r="I330">
        <v>357</v>
      </c>
      <c r="J330" t="s">
        <v>1211</v>
      </c>
      <c r="K330">
        <v>109</v>
      </c>
      <c r="L330" s="3" t="s">
        <v>1036</v>
      </c>
      <c r="M330" s="4">
        <v>0</v>
      </c>
      <c r="N330" s="4">
        <v>0</v>
      </c>
      <c r="O330" s="4">
        <v>0</v>
      </c>
      <c r="P330" s="4">
        <v>0</v>
      </c>
      <c r="Q330" s="5" t="s">
        <v>1039</v>
      </c>
      <c r="Y330" t="s">
        <v>324</v>
      </c>
      <c r="Z330" s="2" t="s">
        <v>324</v>
      </c>
      <c r="AA330" t="s">
        <v>324</v>
      </c>
      <c r="AB330" t="s">
        <v>324</v>
      </c>
      <c r="AC330" t="s">
        <v>324</v>
      </c>
      <c r="AD330" t="s">
        <v>324</v>
      </c>
      <c r="AE330" t="s">
        <v>324</v>
      </c>
      <c r="AF330" t="s">
        <v>324</v>
      </c>
      <c r="AG330" s="2" t="str">
        <f>HYPERLINK("http://exon.niaid.nih.gov/transcriptome/Tx_amboinensis_sialome/Table_1/links/KOG\TX-contig_357-KOG.txt","CDP-diacylglycerol synthase")</f>
        <v>CDP-diacylglycerol synthase</v>
      </c>
      <c r="AH330" t="str">
        <f>HYPERLINK("http://www.ncbi.nlm.nih.gov/COG/new/shokog.cgi?KOG1440","0.73")</f>
        <v>0.73</v>
      </c>
      <c r="AI330" t="s">
        <v>913</v>
      </c>
      <c r="AJ330" s="2" t="s">
        <v>324</v>
      </c>
      <c r="AK330" t="s">
        <v>324</v>
      </c>
      <c r="AL330" t="s">
        <v>324</v>
      </c>
      <c r="AM330" s="2" t="s">
        <v>324</v>
      </c>
      <c r="AN330" t="s">
        <v>324</v>
      </c>
      <c r="AO330" s="2" t="s">
        <v>324</v>
      </c>
      <c r="AP330" t="s">
        <v>324</v>
      </c>
      <c r="AQ330" s="2" t="s">
        <v>324</v>
      </c>
      <c r="AR330" t="s">
        <v>324</v>
      </c>
      <c r="AS330" s="2" t="s">
        <v>324</v>
      </c>
      <c r="AT330" t="s">
        <v>324</v>
      </c>
    </row>
    <row r="331" spans="1:46" ht="11.25">
      <c r="A331" t="str">
        <f>HYPERLINK("http://exon.niaid.nih.gov/transcriptome/Tx_amboinensis_sialome/Table_1/links/TX-contig_336.txt","TX-contig_336")</f>
        <v>TX-contig_336</v>
      </c>
      <c r="B331" t="str">
        <f>HYPERLINK("http://exon.niaid.nih.gov/transcriptome/Tx_amboinensis_sialome/Table_1/links/TX-5-90-90-asb-336.txt","Contig-336")</f>
        <v>Contig-336</v>
      </c>
      <c r="C331" t="str">
        <f>HYPERLINK("http://exon.niaid.nih.gov/transcriptome/Tx_amboinensis_sialome/Table_1/links/TX-5-90-90-336-CLU.txt","Contig336")</f>
        <v>Contig336</v>
      </c>
      <c r="D331" s="4">
        <v>1</v>
      </c>
      <c r="E331">
        <v>262</v>
      </c>
      <c r="F331">
        <v>0.4</v>
      </c>
      <c r="G331">
        <v>70.2</v>
      </c>
      <c r="H331">
        <v>243</v>
      </c>
      <c r="I331">
        <v>336</v>
      </c>
      <c r="J331" t="s">
        <v>1190</v>
      </c>
      <c r="K331">
        <v>243</v>
      </c>
      <c r="L331" s="3" t="s">
        <v>1036</v>
      </c>
      <c r="M331" s="4">
        <v>0</v>
      </c>
      <c r="N331" s="4">
        <v>0</v>
      </c>
      <c r="O331" s="4">
        <v>0</v>
      </c>
      <c r="P331" s="4">
        <v>0</v>
      </c>
      <c r="Q331" s="5" t="s">
        <v>1039</v>
      </c>
      <c r="R331" s="2" t="str">
        <f>HYPERLINK("http://exon.niaid.nih.gov/transcriptome/Tx_amboinensis_sialome/Table_1/links/NR\TX-contig_336-NR.txt","COG3520: Uncharacterized protein ")</f>
        <v>COG3520: Uncharacterized protein </v>
      </c>
      <c r="S331" s="4" t="str">
        <f>HYPERLINK("http://www.ncbi.nlm.nih.gov/sutils/blink.cgi?pid=84363233","16")</f>
        <v>16</v>
      </c>
      <c r="T331" t="s">
        <v>194</v>
      </c>
      <c r="U331" s="4">
        <v>39</v>
      </c>
      <c r="V331" s="4">
        <v>12</v>
      </c>
      <c r="W331" t="s">
        <v>195</v>
      </c>
      <c r="X331" t="s">
        <v>196</v>
      </c>
      <c r="Y331" t="s">
        <v>324</v>
      </c>
      <c r="Z331" s="2" t="s">
        <v>324</v>
      </c>
      <c r="AA331" t="s">
        <v>324</v>
      </c>
      <c r="AB331" t="s">
        <v>324</v>
      </c>
      <c r="AC331" t="s">
        <v>324</v>
      </c>
      <c r="AD331" t="s">
        <v>324</v>
      </c>
      <c r="AE331" t="s">
        <v>324</v>
      </c>
      <c r="AF331" t="s">
        <v>324</v>
      </c>
      <c r="AG331" s="2" t="str">
        <f>HYPERLINK("http://exon.niaid.nih.gov/transcriptome/Tx_amboinensis_sialome/Table_1/links/KOG\TX-contig_336-KOG.txt","Uncharacterized integral membrane protein")</f>
        <v>Uncharacterized integral membrane protein</v>
      </c>
      <c r="AH331" t="str">
        <f>HYPERLINK("http://www.ncbi.nlm.nih.gov/COG/new/shokog.cgi?KOG4002","0.80")</f>
        <v>0.80</v>
      </c>
      <c r="AI331" t="s">
        <v>900</v>
      </c>
      <c r="AJ331" s="2" t="s">
        <v>324</v>
      </c>
      <c r="AK331" t="s">
        <v>324</v>
      </c>
      <c r="AL331" t="s">
        <v>324</v>
      </c>
      <c r="AM331" s="2" t="str">
        <f>HYPERLINK("http://exon.niaid.nih.gov/transcriptome/Tx_amboinensis_sialome/Table_1/links/PFAM\TX-contig_336-PFAM.txt","Cauli_AT")</f>
        <v>Cauli_AT</v>
      </c>
      <c r="AN331" t="str">
        <f>HYPERLINK("http://pfam.wustl.edu/cgi-bin/getdesc?acc=PF03233","0.68")</f>
        <v>0.68</v>
      </c>
      <c r="AO331" s="2" t="str">
        <f>HYPERLINK("http://exon.niaid.nih.gov/transcriptome/Tx_amboinensis_sialome/Table_1/links/SMART\TX-contig_336-SMART.txt","DM13")</f>
        <v>DM13</v>
      </c>
      <c r="AP331" t="str">
        <f>HYPERLINK("http://smart.embl-heidelberg.de/smart/do_annotation.pl?DOMAIN=DM13&amp;BLAST=DUMMY","0.21")</f>
        <v>0.21</v>
      </c>
      <c r="AQ331" s="2" t="s">
        <v>324</v>
      </c>
      <c r="AR331" t="s">
        <v>324</v>
      </c>
      <c r="AS331" s="2" t="s">
        <v>324</v>
      </c>
      <c r="AT331" t="s">
        <v>324</v>
      </c>
    </row>
    <row r="332" spans="1:46" ht="11.25">
      <c r="A332" t="str">
        <f>HYPERLINK("http://exon.niaid.nih.gov/transcriptome/Tx_amboinensis_sialome/Table_1/links/TX-contig_107.txt","TX-contig_107")</f>
        <v>TX-contig_107</v>
      </c>
      <c r="B332" t="str">
        <f>HYPERLINK("http://exon.niaid.nih.gov/transcriptome/Tx_amboinensis_sialome/Table_1/links/TX-5-90-90-asb-107.txt","Contig-107")</f>
        <v>Contig-107</v>
      </c>
      <c r="C332" t="str">
        <f>HYPERLINK("http://exon.niaid.nih.gov/transcriptome/Tx_amboinensis_sialome/Table_1/links/TX-5-90-90-107-CLU.txt","Contig107")</f>
        <v>Contig107</v>
      </c>
      <c r="D332" s="4">
        <v>1</v>
      </c>
      <c r="E332">
        <v>161</v>
      </c>
      <c r="F332" t="s">
        <v>322</v>
      </c>
      <c r="G332">
        <v>74.5</v>
      </c>
      <c r="H332">
        <v>142</v>
      </c>
      <c r="I332">
        <v>107</v>
      </c>
      <c r="J332" t="s">
        <v>424</v>
      </c>
      <c r="K332">
        <v>142</v>
      </c>
      <c r="L332" s="3" t="s">
        <v>1036</v>
      </c>
      <c r="M332" s="4">
        <v>0</v>
      </c>
      <c r="N332" s="4">
        <v>0</v>
      </c>
      <c r="O332" s="4">
        <v>0</v>
      </c>
      <c r="P332" s="4">
        <v>0</v>
      </c>
      <c r="Q332" s="5" t="s">
        <v>1039</v>
      </c>
      <c r="Y332" t="s">
        <v>324</v>
      </c>
      <c r="Z332" s="2" t="s">
        <v>324</v>
      </c>
      <c r="AA332" t="s">
        <v>324</v>
      </c>
      <c r="AB332" t="s">
        <v>324</v>
      </c>
      <c r="AC332" t="s">
        <v>324</v>
      </c>
      <c r="AD332" t="s">
        <v>324</v>
      </c>
      <c r="AE332" t="s">
        <v>324</v>
      </c>
      <c r="AF332" t="s">
        <v>324</v>
      </c>
      <c r="AG332" s="2" t="str">
        <f>HYPERLINK("http://exon.niaid.nih.gov/transcriptome/Tx_amboinensis_sialome/Table_1/links/KOG\TX-contig_107-KOG.txt","Tumor differentially expressed (TDE) protein")</f>
        <v>Tumor differentially expressed (TDE) protein</v>
      </c>
      <c r="AH332" t="str">
        <f>HYPERLINK("http://www.ncbi.nlm.nih.gov/COG/new/shokog.cgi?KOG2592","0.82")</f>
        <v>0.82</v>
      </c>
      <c r="AI332" t="s">
        <v>900</v>
      </c>
      <c r="AJ332" s="2" t="s">
        <v>324</v>
      </c>
      <c r="AK332" t="s">
        <v>324</v>
      </c>
      <c r="AL332" t="s">
        <v>324</v>
      </c>
      <c r="AM332" s="2" t="str">
        <f>HYPERLINK("http://exon.niaid.nih.gov/transcriptome/Tx_amboinensis_sialome/Table_1/links/PFAM\TX-contig_107-PFAM.txt","TatC")</f>
        <v>TatC</v>
      </c>
      <c r="AN332" t="str">
        <f>HYPERLINK("http://pfam.wustl.edu/cgi-bin/getdesc?acc=PF00902","0.84")</f>
        <v>0.84</v>
      </c>
      <c r="AO332" s="2" t="str">
        <f>HYPERLINK("http://exon.niaid.nih.gov/transcriptome/Tx_amboinensis_sialome/Table_1/links/SMART\TX-contig_107-SMART.txt","PIPKc")</f>
        <v>PIPKc</v>
      </c>
      <c r="AP332" t="str">
        <f>HYPERLINK("http://smart.embl-heidelberg.de/smart/do_annotation.pl?DOMAIN=PIPKc&amp;BLAST=DUMMY","0.41")</f>
        <v>0.41</v>
      </c>
      <c r="AQ332" s="2" t="s">
        <v>324</v>
      </c>
      <c r="AR332" t="s">
        <v>324</v>
      </c>
      <c r="AS332" s="2" t="s">
        <v>324</v>
      </c>
      <c r="AT332" t="s">
        <v>324</v>
      </c>
    </row>
    <row r="333" spans="1:46" ht="11.25">
      <c r="A333" t="str">
        <f>HYPERLINK("http://exon.niaid.nih.gov/transcriptome/Tx_amboinensis_sialome/Table_1/links/TX-contig_275.txt","TX-contig_275")</f>
        <v>TX-contig_275</v>
      </c>
      <c r="B333" t="str">
        <f>HYPERLINK("http://exon.niaid.nih.gov/transcriptome/Tx_amboinensis_sialome/Table_1/links/TX-5-90-90-asb-275.txt","Contig-275")</f>
        <v>Contig-275</v>
      </c>
      <c r="C333" t="str">
        <f>HYPERLINK("http://exon.niaid.nih.gov/transcriptome/Tx_amboinensis_sialome/Table_1/links/TX-5-90-90-275-CLU.txt","Contig275")</f>
        <v>Contig275</v>
      </c>
      <c r="D333" s="4">
        <v>1</v>
      </c>
      <c r="E333">
        <v>105</v>
      </c>
      <c r="F333" t="s">
        <v>322</v>
      </c>
      <c r="G333">
        <v>59</v>
      </c>
      <c r="H333">
        <v>78</v>
      </c>
      <c r="I333">
        <v>275</v>
      </c>
      <c r="J333" t="s">
        <v>588</v>
      </c>
      <c r="K333">
        <v>78</v>
      </c>
      <c r="L333" s="3" t="s">
        <v>1036</v>
      </c>
      <c r="M333" s="4">
        <v>0</v>
      </c>
      <c r="N333" s="4">
        <v>0</v>
      </c>
      <c r="O333" s="4">
        <v>0</v>
      </c>
      <c r="P333" s="4">
        <v>0</v>
      </c>
      <c r="Q333" s="5" t="s">
        <v>1039</v>
      </c>
      <c r="Y333" t="s">
        <v>324</v>
      </c>
      <c r="Z333" s="2" t="s">
        <v>324</v>
      </c>
      <c r="AA333" t="s">
        <v>324</v>
      </c>
      <c r="AB333" t="s">
        <v>324</v>
      </c>
      <c r="AC333" t="s">
        <v>324</v>
      </c>
      <c r="AD333" t="s">
        <v>324</v>
      </c>
      <c r="AE333" t="s">
        <v>324</v>
      </c>
      <c r="AF333" t="s">
        <v>324</v>
      </c>
      <c r="AG333" s="2" t="str">
        <f>HYPERLINK("http://exon.niaid.nih.gov/transcriptome/Tx_amboinensis_sialome/Table_1/links/KOG\TX-contig_275-KOG.txt","Ca2+/Mg2+-permeable cation channels (LTRPC family)")</f>
        <v>Ca2+/Mg2+-permeable cation channels (LTRPC family)</v>
      </c>
      <c r="AH333" t="str">
        <f>HYPERLINK("http://www.ncbi.nlm.nih.gov/COG/new/shokog.cgi?KOG3614","0.82")</f>
        <v>0.82</v>
      </c>
      <c r="AI333" t="s">
        <v>819</v>
      </c>
      <c r="AJ333" s="2" t="s">
        <v>324</v>
      </c>
      <c r="AK333" t="s">
        <v>324</v>
      </c>
      <c r="AL333" t="s">
        <v>324</v>
      </c>
      <c r="AM333" s="2" t="s">
        <v>324</v>
      </c>
      <c r="AN333" t="s">
        <v>324</v>
      </c>
      <c r="AO333" s="2" t="s">
        <v>324</v>
      </c>
      <c r="AP333" t="s">
        <v>324</v>
      </c>
      <c r="AQ333" s="2" t="s">
        <v>324</v>
      </c>
      <c r="AR333" t="s">
        <v>324</v>
      </c>
      <c r="AS333" s="2" t="s">
        <v>324</v>
      </c>
      <c r="AT333" t="s">
        <v>324</v>
      </c>
    </row>
    <row r="334" spans="1:46" ht="11.25">
      <c r="A334" t="str">
        <f>HYPERLINK("http://exon.niaid.nih.gov/transcriptome/Tx_amboinensis_sialome/Table_1/links/TX-contig_46.txt","TX-contig_46")</f>
        <v>TX-contig_46</v>
      </c>
      <c r="B334" t="str">
        <f>HYPERLINK("http://exon.niaid.nih.gov/transcriptome/Tx_amboinensis_sialome/Table_1/links/TX-5-90-90-asb-46.txt","Contig-46")</f>
        <v>Contig-46</v>
      </c>
      <c r="C334" t="str">
        <f>HYPERLINK("http://exon.niaid.nih.gov/transcriptome/Tx_amboinensis_sialome/Table_1/links/TX-5-90-90-46-CLU.txt","Contig46")</f>
        <v>Contig46</v>
      </c>
      <c r="D334" s="4">
        <v>1</v>
      </c>
      <c r="E334">
        <v>100</v>
      </c>
      <c r="F334" t="s">
        <v>322</v>
      </c>
      <c r="G334">
        <v>97</v>
      </c>
      <c r="H334">
        <v>12</v>
      </c>
      <c r="I334">
        <v>46</v>
      </c>
      <c r="J334" t="s">
        <v>368</v>
      </c>
      <c r="K334">
        <v>12</v>
      </c>
      <c r="L334" s="3" t="s">
        <v>1036</v>
      </c>
      <c r="M334" s="4">
        <v>0</v>
      </c>
      <c r="N334" s="4">
        <v>0</v>
      </c>
      <c r="O334" s="4">
        <v>0</v>
      </c>
      <c r="P334" s="4">
        <v>0</v>
      </c>
      <c r="Q334" s="5" t="s">
        <v>1039</v>
      </c>
      <c r="Y334" t="s">
        <v>324</v>
      </c>
      <c r="Z334" s="2" t="s">
        <v>324</v>
      </c>
      <c r="AA334" t="s">
        <v>324</v>
      </c>
      <c r="AB334" t="s">
        <v>324</v>
      </c>
      <c r="AC334" t="s">
        <v>324</v>
      </c>
      <c r="AD334" t="s">
        <v>324</v>
      </c>
      <c r="AE334" t="s">
        <v>324</v>
      </c>
      <c r="AF334" t="s">
        <v>324</v>
      </c>
      <c r="AG334" s="2" t="s">
        <v>324</v>
      </c>
      <c r="AH334" t="s">
        <v>324</v>
      </c>
      <c r="AI334" t="s">
        <v>324</v>
      </c>
      <c r="AJ334" s="2" t="s">
        <v>324</v>
      </c>
      <c r="AK334" t="s">
        <v>324</v>
      </c>
      <c r="AL334" t="s">
        <v>324</v>
      </c>
      <c r="AM334" s="2" t="s">
        <v>324</v>
      </c>
      <c r="AN334" t="s">
        <v>324</v>
      </c>
      <c r="AO334" s="2" t="s">
        <v>324</v>
      </c>
      <c r="AP334" t="s">
        <v>324</v>
      </c>
      <c r="AQ334" s="2" t="s">
        <v>324</v>
      </c>
      <c r="AR334" t="s">
        <v>324</v>
      </c>
      <c r="AS334" s="2" t="s">
        <v>324</v>
      </c>
      <c r="AT334" t="s">
        <v>324</v>
      </c>
    </row>
    <row r="335" spans="1:46" ht="11.25">
      <c r="A335" t="str">
        <f>HYPERLINK("http://exon.niaid.nih.gov/transcriptome/Tx_amboinensis_sialome/Table_1/links/TX-contig_53.txt","TX-contig_53")</f>
        <v>TX-contig_53</v>
      </c>
      <c r="B335" t="str">
        <f>HYPERLINK("http://exon.niaid.nih.gov/transcriptome/Tx_amboinensis_sialome/Table_1/links/TX-5-90-90-asb-53.txt","Contig-53")</f>
        <v>Contig-53</v>
      </c>
      <c r="C335" t="str">
        <f>HYPERLINK("http://exon.niaid.nih.gov/transcriptome/Tx_amboinensis_sialome/Table_1/links/TX-5-90-90-53-CLU.txt","Contig53")</f>
        <v>Contig53</v>
      </c>
      <c r="D335" s="4">
        <v>1</v>
      </c>
      <c r="E335">
        <v>92</v>
      </c>
      <c r="F335" t="s">
        <v>322</v>
      </c>
      <c r="G335">
        <v>79.3</v>
      </c>
      <c r="H335">
        <v>67</v>
      </c>
      <c r="I335">
        <v>53</v>
      </c>
      <c r="J335" t="s">
        <v>374</v>
      </c>
      <c r="K335">
        <v>67</v>
      </c>
      <c r="L335" s="3" t="s">
        <v>1036</v>
      </c>
      <c r="M335" s="4">
        <v>0</v>
      </c>
      <c r="N335" s="4">
        <v>0</v>
      </c>
      <c r="O335" s="4">
        <v>0</v>
      </c>
      <c r="P335" s="4">
        <v>0</v>
      </c>
      <c r="Q335" s="5" t="s">
        <v>1039</v>
      </c>
      <c r="Y335" t="s">
        <v>324</v>
      </c>
      <c r="Z335" s="2" t="s">
        <v>324</v>
      </c>
      <c r="AA335" t="s">
        <v>324</v>
      </c>
      <c r="AB335" t="s">
        <v>324</v>
      </c>
      <c r="AC335" t="s">
        <v>324</v>
      </c>
      <c r="AD335" t="s">
        <v>324</v>
      </c>
      <c r="AE335" t="s">
        <v>324</v>
      </c>
      <c r="AF335" t="s">
        <v>324</v>
      </c>
      <c r="AG335" s="2" t="s">
        <v>324</v>
      </c>
      <c r="AH335" t="s">
        <v>324</v>
      </c>
      <c r="AI335" t="s">
        <v>324</v>
      </c>
      <c r="AJ335" s="2" t="s">
        <v>324</v>
      </c>
      <c r="AK335" t="s">
        <v>324</v>
      </c>
      <c r="AL335" t="s">
        <v>324</v>
      </c>
      <c r="AM335" s="2" t="s">
        <v>324</v>
      </c>
      <c r="AN335" t="s">
        <v>324</v>
      </c>
      <c r="AO335" s="2" t="s">
        <v>324</v>
      </c>
      <c r="AP335" t="s">
        <v>324</v>
      </c>
      <c r="AQ335" s="2" t="s">
        <v>324</v>
      </c>
      <c r="AR335" t="s">
        <v>324</v>
      </c>
      <c r="AS335" s="2" t="s">
        <v>324</v>
      </c>
      <c r="AT335" t="s">
        <v>324</v>
      </c>
    </row>
    <row r="336" spans="1:46" ht="11.25">
      <c r="A336" t="str">
        <f>HYPERLINK("http://exon.niaid.nih.gov/transcriptome/Tx_amboinensis_sialome/Table_1/links/TX-contig_58.txt","TX-contig_58")</f>
        <v>TX-contig_58</v>
      </c>
      <c r="B336" t="str">
        <f>HYPERLINK("http://exon.niaid.nih.gov/transcriptome/Tx_amboinensis_sialome/Table_1/links/TX-5-90-90-asb-58.txt","Contig-58")</f>
        <v>Contig-58</v>
      </c>
      <c r="C336" t="str">
        <f>HYPERLINK("http://exon.niaid.nih.gov/transcriptome/Tx_amboinensis_sialome/Table_1/links/TX-5-90-90-58-CLU.txt","Contig58")</f>
        <v>Contig58</v>
      </c>
      <c r="D336" s="4">
        <v>1</v>
      </c>
      <c r="E336">
        <v>114</v>
      </c>
      <c r="F336" t="s">
        <v>322</v>
      </c>
      <c r="G336">
        <v>73.7</v>
      </c>
      <c r="H336">
        <v>95</v>
      </c>
      <c r="I336">
        <v>58</v>
      </c>
      <c r="J336" t="s">
        <v>378</v>
      </c>
      <c r="K336">
        <v>95</v>
      </c>
      <c r="L336" s="3" t="s">
        <v>1036</v>
      </c>
      <c r="M336" s="4">
        <v>0</v>
      </c>
      <c r="N336" s="4">
        <v>0</v>
      </c>
      <c r="O336" s="4">
        <v>0</v>
      </c>
      <c r="P336" s="4">
        <v>0</v>
      </c>
      <c r="Q336" s="5" t="s">
        <v>1039</v>
      </c>
      <c r="Y336" t="s">
        <v>324</v>
      </c>
      <c r="Z336" s="2" t="s">
        <v>324</v>
      </c>
      <c r="AA336" t="s">
        <v>324</v>
      </c>
      <c r="AB336" t="s">
        <v>324</v>
      </c>
      <c r="AC336" t="s">
        <v>324</v>
      </c>
      <c r="AD336" t="s">
        <v>324</v>
      </c>
      <c r="AE336" t="s">
        <v>324</v>
      </c>
      <c r="AF336" t="s">
        <v>324</v>
      </c>
      <c r="AG336" s="2" t="s">
        <v>324</v>
      </c>
      <c r="AH336" t="s">
        <v>324</v>
      </c>
      <c r="AI336" t="s">
        <v>324</v>
      </c>
      <c r="AJ336" s="2" t="str">
        <f>HYPERLINK("http://exon.niaid.nih.gov/transcriptome/Tx_amboinensis_sialome/Table_1/links/CDD\TX-contig_58-CDD.txt","Gpi1")</f>
        <v>Gpi1</v>
      </c>
      <c r="AK336" t="str">
        <f>HYPERLINK("http://www.ncbi.nlm.nih.gov/Structure/cdd/cddsrv.cgi?uid=pfam05024&amp;version=v4.0","0.65")</f>
        <v>0.65</v>
      </c>
      <c r="AL336" t="s">
        <v>823</v>
      </c>
      <c r="AM336" s="2" t="str">
        <f>HYPERLINK("http://exon.niaid.nih.gov/transcriptome/Tx_amboinensis_sialome/Table_1/links/PFAM\TX-contig_58-PFAM.txt","Gpi1")</f>
        <v>Gpi1</v>
      </c>
      <c r="AN336" t="str">
        <f>HYPERLINK("http://pfam.wustl.edu/cgi-bin/getdesc?acc=PF05024","0.34")</f>
        <v>0.34</v>
      </c>
      <c r="AO336" s="2" t="s">
        <v>324</v>
      </c>
      <c r="AP336" t="s">
        <v>324</v>
      </c>
      <c r="AQ336" s="2" t="s">
        <v>324</v>
      </c>
      <c r="AR336" t="s">
        <v>324</v>
      </c>
      <c r="AS336" s="2" t="s">
        <v>324</v>
      </c>
      <c r="AT336" t="s">
        <v>324</v>
      </c>
    </row>
    <row r="337" spans="1:46" ht="11.25">
      <c r="A337" t="str">
        <f>HYPERLINK("http://exon.niaid.nih.gov/transcriptome/Tx_amboinensis_sialome/Table_1/links/TX-contig_63.txt","TX-contig_63")</f>
        <v>TX-contig_63</v>
      </c>
      <c r="B337" t="str">
        <f>HYPERLINK("http://exon.niaid.nih.gov/transcriptome/Tx_amboinensis_sialome/Table_1/links/TX-5-90-90-asb-63.txt","Contig-63")</f>
        <v>Contig-63</v>
      </c>
      <c r="C337" t="str">
        <f>HYPERLINK("http://exon.niaid.nih.gov/transcriptome/Tx_amboinensis_sialome/Table_1/links/TX-5-90-90-63-CLU.txt","Contig63")</f>
        <v>Contig63</v>
      </c>
      <c r="D337" s="4">
        <v>1</v>
      </c>
      <c r="E337">
        <v>133</v>
      </c>
      <c r="F337">
        <v>1.5</v>
      </c>
      <c r="G337">
        <v>93.2</v>
      </c>
      <c r="H337">
        <v>24</v>
      </c>
      <c r="I337">
        <v>63</v>
      </c>
      <c r="J337" t="s">
        <v>383</v>
      </c>
      <c r="K337">
        <v>24</v>
      </c>
      <c r="L337" s="3" t="s">
        <v>1036</v>
      </c>
      <c r="M337" s="4">
        <v>0</v>
      </c>
      <c r="N337" s="4">
        <v>0</v>
      </c>
      <c r="O337" s="4">
        <v>0</v>
      </c>
      <c r="P337" s="4">
        <v>0</v>
      </c>
      <c r="Q337" s="5" t="s">
        <v>1039</v>
      </c>
      <c r="Y337" t="s">
        <v>324</v>
      </c>
      <c r="Z337" s="2" t="s">
        <v>324</v>
      </c>
      <c r="AA337" t="s">
        <v>324</v>
      </c>
      <c r="AB337" t="s">
        <v>324</v>
      </c>
      <c r="AC337" t="s">
        <v>324</v>
      </c>
      <c r="AD337" t="s">
        <v>324</v>
      </c>
      <c r="AE337" t="s">
        <v>324</v>
      </c>
      <c r="AF337" t="s">
        <v>324</v>
      </c>
      <c r="AG337" s="2" t="s">
        <v>324</v>
      </c>
      <c r="AH337" t="s">
        <v>324</v>
      </c>
      <c r="AI337" t="s">
        <v>324</v>
      </c>
      <c r="AJ337" s="2" t="s">
        <v>324</v>
      </c>
      <c r="AK337" t="s">
        <v>324</v>
      </c>
      <c r="AL337" t="s">
        <v>324</v>
      </c>
      <c r="AM337" s="2" t="s">
        <v>324</v>
      </c>
      <c r="AN337" t="s">
        <v>324</v>
      </c>
      <c r="AO337" s="2" t="s">
        <v>324</v>
      </c>
      <c r="AP337" t="s">
        <v>324</v>
      </c>
      <c r="AQ337" s="2" t="s">
        <v>324</v>
      </c>
      <c r="AR337" t="s">
        <v>324</v>
      </c>
      <c r="AS337" s="2" t="s">
        <v>324</v>
      </c>
      <c r="AT337" t="s">
        <v>324</v>
      </c>
    </row>
    <row r="338" spans="1:46" ht="11.25">
      <c r="A338" t="str">
        <f>HYPERLINK("http://exon.niaid.nih.gov/transcriptome/Tx_amboinensis_sialome/Table_1/links/TX-contig_68.txt","TX-contig_68")</f>
        <v>TX-contig_68</v>
      </c>
      <c r="B338" t="str">
        <f>HYPERLINK("http://exon.niaid.nih.gov/transcriptome/Tx_amboinensis_sialome/Table_1/links/TX-5-90-90-asb-68.txt","Contig-68")</f>
        <v>Contig-68</v>
      </c>
      <c r="C338" t="str">
        <f>HYPERLINK("http://exon.niaid.nih.gov/transcriptome/Tx_amboinensis_sialome/Table_1/links/TX-5-90-90-68-CLU.txt","Contig68")</f>
        <v>Contig68</v>
      </c>
      <c r="D338" s="4">
        <v>1</v>
      </c>
      <c r="E338">
        <v>104</v>
      </c>
      <c r="F338">
        <v>2.9</v>
      </c>
      <c r="G338">
        <v>82.7</v>
      </c>
      <c r="H338">
        <v>44</v>
      </c>
      <c r="I338">
        <v>68</v>
      </c>
      <c r="J338" t="s">
        <v>387</v>
      </c>
      <c r="K338">
        <v>44</v>
      </c>
      <c r="L338" s="3" t="s">
        <v>1036</v>
      </c>
      <c r="M338" s="4">
        <v>0</v>
      </c>
      <c r="N338" s="4">
        <v>0</v>
      </c>
      <c r="O338" s="4">
        <v>0</v>
      </c>
      <c r="P338" s="4">
        <v>0</v>
      </c>
      <c r="Q338" s="5" t="s">
        <v>1039</v>
      </c>
      <c r="Y338" t="s">
        <v>324</v>
      </c>
      <c r="Z338" s="2" t="s">
        <v>324</v>
      </c>
      <c r="AA338" t="s">
        <v>324</v>
      </c>
      <c r="AB338" t="s">
        <v>324</v>
      </c>
      <c r="AC338" t="s">
        <v>324</v>
      </c>
      <c r="AD338" t="s">
        <v>324</v>
      </c>
      <c r="AE338" t="s">
        <v>324</v>
      </c>
      <c r="AF338" t="s">
        <v>324</v>
      </c>
      <c r="AG338" s="2" t="s">
        <v>324</v>
      </c>
      <c r="AH338" t="s">
        <v>324</v>
      </c>
      <c r="AI338" t="s">
        <v>324</v>
      </c>
      <c r="AJ338" s="2" t="s">
        <v>324</v>
      </c>
      <c r="AK338" t="s">
        <v>324</v>
      </c>
      <c r="AL338" t="s">
        <v>324</v>
      </c>
      <c r="AM338" s="2" t="s">
        <v>324</v>
      </c>
      <c r="AN338" t="s">
        <v>324</v>
      </c>
      <c r="AO338" s="2" t="s">
        <v>324</v>
      </c>
      <c r="AP338" t="s">
        <v>324</v>
      </c>
      <c r="AQ338" s="2" t="s">
        <v>324</v>
      </c>
      <c r="AR338" t="s">
        <v>324</v>
      </c>
      <c r="AS338" s="2" t="s">
        <v>324</v>
      </c>
      <c r="AT338" t="s">
        <v>324</v>
      </c>
    </row>
    <row r="339" spans="1:46" ht="11.25">
      <c r="A339" t="str">
        <f>HYPERLINK("http://exon.niaid.nih.gov/transcriptome/Tx_amboinensis_sialome/Table_1/links/TX-contig_80.txt","TX-contig_80")</f>
        <v>TX-contig_80</v>
      </c>
      <c r="B339" t="str">
        <f>HYPERLINK("http://exon.niaid.nih.gov/transcriptome/Tx_amboinensis_sialome/Table_1/links/TX-5-90-90-asb-80.txt","Contig-80")</f>
        <v>Contig-80</v>
      </c>
      <c r="C339" t="str">
        <f>HYPERLINK("http://exon.niaid.nih.gov/transcriptome/Tx_amboinensis_sialome/Table_1/links/TX-5-90-90-80-CLU.txt","Contig80")</f>
        <v>Contig80</v>
      </c>
      <c r="D339" s="4">
        <v>1</v>
      </c>
      <c r="E339">
        <v>92</v>
      </c>
      <c r="F339" t="s">
        <v>322</v>
      </c>
      <c r="G339">
        <v>93.5</v>
      </c>
      <c r="H339">
        <v>64</v>
      </c>
      <c r="I339">
        <v>80</v>
      </c>
      <c r="J339" t="s">
        <v>398</v>
      </c>
      <c r="K339">
        <v>64</v>
      </c>
      <c r="L339" s="3" t="s">
        <v>1036</v>
      </c>
      <c r="M339" s="4">
        <v>0</v>
      </c>
      <c r="N339" s="4">
        <v>0</v>
      </c>
      <c r="O339" s="4">
        <v>0</v>
      </c>
      <c r="P339" s="4">
        <v>0</v>
      </c>
      <c r="Q339" s="5" t="s">
        <v>1039</v>
      </c>
      <c r="Y339" t="s">
        <v>324</v>
      </c>
      <c r="Z339" s="2" t="s">
        <v>324</v>
      </c>
      <c r="AA339" t="s">
        <v>324</v>
      </c>
      <c r="AB339" t="s">
        <v>324</v>
      </c>
      <c r="AC339" t="s">
        <v>324</v>
      </c>
      <c r="AD339" t="s">
        <v>324</v>
      </c>
      <c r="AE339" t="s">
        <v>324</v>
      </c>
      <c r="AF339" t="s">
        <v>324</v>
      </c>
      <c r="AG339" s="2" t="s">
        <v>324</v>
      </c>
      <c r="AH339" t="s">
        <v>324</v>
      </c>
      <c r="AI339" t="s">
        <v>324</v>
      </c>
      <c r="AJ339" s="2" t="s">
        <v>324</v>
      </c>
      <c r="AK339" t="s">
        <v>324</v>
      </c>
      <c r="AL339" t="s">
        <v>324</v>
      </c>
      <c r="AM339" s="2" t="s">
        <v>324</v>
      </c>
      <c r="AN339" t="s">
        <v>324</v>
      </c>
      <c r="AO339" s="2" t="s">
        <v>324</v>
      </c>
      <c r="AP339" t="s">
        <v>324</v>
      </c>
      <c r="AQ339" s="2" t="s">
        <v>324</v>
      </c>
      <c r="AR339" t="s">
        <v>324</v>
      </c>
      <c r="AS339" s="2" t="s">
        <v>324</v>
      </c>
      <c r="AT339" t="s">
        <v>324</v>
      </c>
    </row>
    <row r="340" spans="1:46" ht="11.25">
      <c r="A340" t="str">
        <f>HYPERLINK("http://exon.niaid.nih.gov/transcriptome/Tx_amboinensis_sialome/Table_1/links/TX-contig_86.txt","TX-contig_86")</f>
        <v>TX-contig_86</v>
      </c>
      <c r="B340" t="str">
        <f>HYPERLINK("http://exon.niaid.nih.gov/transcriptome/Tx_amboinensis_sialome/Table_1/links/TX-5-90-90-asb-86.txt","Contig-86")</f>
        <v>Contig-86</v>
      </c>
      <c r="C340" t="str">
        <f>HYPERLINK("http://exon.niaid.nih.gov/transcriptome/Tx_amboinensis_sialome/Table_1/links/TX-5-90-90-86-CLU.txt","Contig86")</f>
        <v>Contig86</v>
      </c>
      <c r="D340" s="4">
        <v>1</v>
      </c>
      <c r="E340">
        <v>94</v>
      </c>
      <c r="F340" t="s">
        <v>322</v>
      </c>
      <c r="G340">
        <v>78.7</v>
      </c>
      <c r="H340">
        <v>67</v>
      </c>
      <c r="I340">
        <v>86</v>
      </c>
      <c r="J340" t="s">
        <v>404</v>
      </c>
      <c r="K340">
        <v>67</v>
      </c>
      <c r="L340" s="3" t="s">
        <v>1036</v>
      </c>
      <c r="M340" s="4">
        <v>0</v>
      </c>
      <c r="N340" s="4">
        <v>0</v>
      </c>
      <c r="O340" s="4">
        <v>0</v>
      </c>
      <c r="P340" s="4">
        <v>0</v>
      </c>
      <c r="Q340" s="5" t="s">
        <v>1039</v>
      </c>
      <c r="Y340" t="s">
        <v>324</v>
      </c>
      <c r="Z340" s="2" t="s">
        <v>324</v>
      </c>
      <c r="AA340" t="s">
        <v>324</v>
      </c>
      <c r="AB340" t="s">
        <v>324</v>
      </c>
      <c r="AC340" t="s">
        <v>324</v>
      </c>
      <c r="AD340" t="s">
        <v>324</v>
      </c>
      <c r="AE340" t="s">
        <v>324</v>
      </c>
      <c r="AF340" t="s">
        <v>324</v>
      </c>
      <c r="AG340" s="2" t="s">
        <v>324</v>
      </c>
      <c r="AH340" t="s">
        <v>324</v>
      </c>
      <c r="AI340" t="s">
        <v>324</v>
      </c>
      <c r="AJ340" s="2" t="s">
        <v>324</v>
      </c>
      <c r="AK340" t="s">
        <v>324</v>
      </c>
      <c r="AL340" t="s">
        <v>324</v>
      </c>
      <c r="AM340" s="2" t="s">
        <v>324</v>
      </c>
      <c r="AN340" t="s">
        <v>324</v>
      </c>
      <c r="AO340" s="2" t="s">
        <v>324</v>
      </c>
      <c r="AP340" t="s">
        <v>324</v>
      </c>
      <c r="AQ340" s="2" t="s">
        <v>324</v>
      </c>
      <c r="AR340" t="s">
        <v>324</v>
      </c>
      <c r="AS340" s="2" t="s">
        <v>324</v>
      </c>
      <c r="AT340" t="s">
        <v>324</v>
      </c>
    </row>
    <row r="341" spans="1:46" ht="11.25">
      <c r="A341" t="str">
        <f>HYPERLINK("http://exon.niaid.nih.gov/transcriptome/Tx_amboinensis_sialome/Table_1/links/TX-contig_91.txt","TX-contig_91")</f>
        <v>TX-contig_91</v>
      </c>
      <c r="B341" t="str">
        <f>HYPERLINK("http://exon.niaid.nih.gov/transcriptome/Tx_amboinensis_sialome/Table_1/links/TX-5-90-90-asb-91.txt","Contig-91")</f>
        <v>Contig-91</v>
      </c>
      <c r="C341" t="str">
        <f>HYPERLINK("http://exon.niaid.nih.gov/transcriptome/Tx_amboinensis_sialome/Table_1/links/TX-5-90-90-91-CLU.txt","Contig91")</f>
        <v>Contig91</v>
      </c>
      <c r="D341" s="4">
        <v>1</v>
      </c>
      <c r="E341">
        <v>108</v>
      </c>
      <c r="F341" t="s">
        <v>322</v>
      </c>
      <c r="G341">
        <v>72.2</v>
      </c>
      <c r="H341">
        <v>79</v>
      </c>
      <c r="I341">
        <v>91</v>
      </c>
      <c r="J341" t="s">
        <v>409</v>
      </c>
      <c r="K341">
        <v>79</v>
      </c>
      <c r="L341" s="3" t="s">
        <v>1036</v>
      </c>
      <c r="M341" s="4">
        <v>0</v>
      </c>
      <c r="N341" s="4">
        <v>0</v>
      </c>
      <c r="O341" s="4">
        <v>0</v>
      </c>
      <c r="P341" s="4">
        <v>0</v>
      </c>
      <c r="Q341" s="5" t="s">
        <v>1039</v>
      </c>
      <c r="Y341" t="s">
        <v>324</v>
      </c>
      <c r="Z341" s="2" t="s">
        <v>324</v>
      </c>
      <c r="AA341" t="s">
        <v>324</v>
      </c>
      <c r="AB341" t="s">
        <v>324</v>
      </c>
      <c r="AC341" t="s">
        <v>324</v>
      </c>
      <c r="AD341" t="s">
        <v>324</v>
      </c>
      <c r="AE341" t="s">
        <v>324</v>
      </c>
      <c r="AF341" t="s">
        <v>324</v>
      </c>
      <c r="AG341" s="2" t="s">
        <v>324</v>
      </c>
      <c r="AH341" t="s">
        <v>324</v>
      </c>
      <c r="AI341" t="s">
        <v>324</v>
      </c>
      <c r="AJ341" s="2" t="s">
        <v>324</v>
      </c>
      <c r="AK341" t="s">
        <v>324</v>
      </c>
      <c r="AL341" t="s">
        <v>324</v>
      </c>
      <c r="AM341" s="2" t="s">
        <v>324</v>
      </c>
      <c r="AN341" t="s">
        <v>324</v>
      </c>
      <c r="AO341" s="2" t="s">
        <v>324</v>
      </c>
      <c r="AP341" t="s">
        <v>324</v>
      </c>
      <c r="AQ341" s="2" t="s">
        <v>324</v>
      </c>
      <c r="AR341" t="s">
        <v>324</v>
      </c>
      <c r="AS341" s="2" t="s">
        <v>324</v>
      </c>
      <c r="AT341" t="s">
        <v>324</v>
      </c>
    </row>
    <row r="342" spans="1:46" ht="11.25">
      <c r="A342" t="str">
        <f>HYPERLINK("http://exon.niaid.nih.gov/transcriptome/Tx_amboinensis_sialome/Table_1/links/TX-contig_93.txt","TX-contig_93")</f>
        <v>TX-contig_93</v>
      </c>
      <c r="B342" t="str">
        <f>HYPERLINK("http://exon.niaid.nih.gov/transcriptome/Tx_amboinensis_sialome/Table_1/links/TX-5-90-90-asb-93.txt","Contig-93")</f>
        <v>Contig-93</v>
      </c>
      <c r="C342" t="str">
        <f>HYPERLINK("http://exon.niaid.nih.gov/transcriptome/Tx_amboinensis_sialome/Table_1/links/TX-5-90-90-93-CLU.txt","Contig93")</f>
        <v>Contig93</v>
      </c>
      <c r="D342" s="4">
        <v>1</v>
      </c>
      <c r="E342">
        <v>156</v>
      </c>
      <c r="F342" t="s">
        <v>322</v>
      </c>
      <c r="G342">
        <v>52.6</v>
      </c>
      <c r="H342">
        <v>137</v>
      </c>
      <c r="I342">
        <v>93</v>
      </c>
      <c r="J342" t="s">
        <v>411</v>
      </c>
      <c r="K342">
        <v>137</v>
      </c>
      <c r="L342" s="3" t="s">
        <v>1036</v>
      </c>
      <c r="M342" s="4">
        <v>0</v>
      </c>
      <c r="N342" s="4">
        <v>0</v>
      </c>
      <c r="O342" s="4">
        <v>0</v>
      </c>
      <c r="P342" s="4">
        <v>0</v>
      </c>
      <c r="Q342" s="5" t="s">
        <v>1039</v>
      </c>
      <c r="R342" s="2" t="str">
        <f>HYPERLINK("http://exon.niaid.nih.gov/transcriptome/Tx_amboinensis_sialome/Table_1/links/NR\TX-contig_93-NR.txt","SecD/SecF/SecDF export membrane p")</f>
        <v>SecD/SecF/SecDF export membrane p</v>
      </c>
      <c r="S342" s="4" t="str">
        <f>HYPERLINK("http://www.ncbi.nlm.nih.gov/sutils/blink.cgi?pid=88931703","16")</f>
        <v>16</v>
      </c>
      <c r="T342" t="s">
        <v>197</v>
      </c>
      <c r="U342" s="4">
        <v>36</v>
      </c>
      <c r="V342" s="4">
        <v>11</v>
      </c>
      <c r="W342" t="s">
        <v>100</v>
      </c>
      <c r="X342" t="s">
        <v>198</v>
      </c>
      <c r="Y342" t="s">
        <v>324</v>
      </c>
      <c r="Z342" s="2" t="s">
        <v>324</v>
      </c>
      <c r="AA342" t="s">
        <v>324</v>
      </c>
      <c r="AB342" t="s">
        <v>324</v>
      </c>
      <c r="AC342" t="s">
        <v>324</v>
      </c>
      <c r="AD342" t="s">
        <v>324</v>
      </c>
      <c r="AE342" t="s">
        <v>324</v>
      </c>
      <c r="AF342" t="s">
        <v>324</v>
      </c>
      <c r="AG342" s="2" t="s">
        <v>324</v>
      </c>
      <c r="AH342" t="s">
        <v>324</v>
      </c>
      <c r="AI342" t="s">
        <v>324</v>
      </c>
      <c r="AJ342" s="2" t="s">
        <v>324</v>
      </c>
      <c r="AK342" t="s">
        <v>324</v>
      </c>
      <c r="AL342" t="s">
        <v>324</v>
      </c>
      <c r="AM342" s="2" t="s">
        <v>324</v>
      </c>
      <c r="AN342" t="s">
        <v>324</v>
      </c>
      <c r="AO342" s="2" t="str">
        <f>HYPERLINK("http://exon.niaid.nih.gov/transcriptome/Tx_amboinensis_sialome/Table_1/links/SMART\TX-contig_93-SMART.txt","RWD")</f>
        <v>RWD</v>
      </c>
      <c r="AP342" t="str">
        <f>HYPERLINK("http://smart.embl-heidelberg.de/smart/do_annotation.pl?DOMAIN=RWD&amp;BLAST=DUMMY","1.00")</f>
        <v>1.00</v>
      </c>
      <c r="AQ342" s="2" t="s">
        <v>324</v>
      </c>
      <c r="AR342" t="s">
        <v>324</v>
      </c>
      <c r="AS342" s="2" t="s">
        <v>324</v>
      </c>
      <c r="AT342" t="s">
        <v>324</v>
      </c>
    </row>
    <row r="343" spans="1:46" ht="11.25">
      <c r="A343" t="str">
        <f>HYPERLINK("http://exon.niaid.nih.gov/transcriptome/Tx_amboinensis_sialome/Table_1/links/TX-contig_98.txt","TX-contig_98")</f>
        <v>TX-contig_98</v>
      </c>
      <c r="B343" t="str">
        <f>HYPERLINK("http://exon.niaid.nih.gov/transcriptome/Tx_amboinensis_sialome/Table_1/links/TX-5-90-90-asb-98.txt","Contig-98")</f>
        <v>Contig-98</v>
      </c>
      <c r="C343" t="str">
        <f>HYPERLINK("http://exon.niaid.nih.gov/transcriptome/Tx_amboinensis_sialome/Table_1/links/TX-5-90-90-98-CLU.txt","Contig98")</f>
        <v>Contig98</v>
      </c>
      <c r="D343" s="4">
        <v>1</v>
      </c>
      <c r="E343">
        <v>131</v>
      </c>
      <c r="F343" t="s">
        <v>322</v>
      </c>
      <c r="G343">
        <v>76.3</v>
      </c>
      <c r="H343">
        <v>93</v>
      </c>
      <c r="I343">
        <v>98</v>
      </c>
      <c r="J343" t="s">
        <v>416</v>
      </c>
      <c r="K343">
        <v>93</v>
      </c>
      <c r="L343" s="3" t="s">
        <v>1036</v>
      </c>
      <c r="M343" s="4">
        <v>0</v>
      </c>
      <c r="N343" s="4">
        <v>0</v>
      </c>
      <c r="O343" s="4">
        <v>0</v>
      </c>
      <c r="P343" s="4">
        <v>0</v>
      </c>
      <c r="Q343" s="5" t="s">
        <v>1039</v>
      </c>
      <c r="Y343" t="s">
        <v>324</v>
      </c>
      <c r="Z343" s="2" t="s">
        <v>324</v>
      </c>
      <c r="AA343" t="s">
        <v>324</v>
      </c>
      <c r="AB343" t="s">
        <v>324</v>
      </c>
      <c r="AC343" t="s">
        <v>324</v>
      </c>
      <c r="AD343" t="s">
        <v>324</v>
      </c>
      <c r="AE343" t="s">
        <v>324</v>
      </c>
      <c r="AF343" t="s">
        <v>324</v>
      </c>
      <c r="AG343" s="2" t="s">
        <v>324</v>
      </c>
      <c r="AH343" t="s">
        <v>324</v>
      </c>
      <c r="AI343" t="s">
        <v>324</v>
      </c>
      <c r="AJ343" s="2" t="s">
        <v>324</v>
      </c>
      <c r="AK343" t="s">
        <v>324</v>
      </c>
      <c r="AL343" t="s">
        <v>324</v>
      </c>
      <c r="AM343" s="2" t="str">
        <f>HYPERLINK("http://exon.niaid.nih.gov/transcriptome/Tx_amboinensis_sialome/Table_1/links/PFAM\TX-contig_98-PFAM.txt","DUF613")</f>
        <v>DUF613</v>
      </c>
      <c r="AN343" t="str">
        <f>HYPERLINK("http://pfam.wustl.edu/cgi-bin/getdesc?acc=PF04764","0.69")</f>
        <v>0.69</v>
      </c>
      <c r="AO343" s="2" t="s">
        <v>324</v>
      </c>
      <c r="AP343" t="s">
        <v>324</v>
      </c>
      <c r="AQ343" s="2" t="s">
        <v>324</v>
      </c>
      <c r="AR343" t="s">
        <v>324</v>
      </c>
      <c r="AS343" s="2" t="s">
        <v>324</v>
      </c>
      <c r="AT343" t="s">
        <v>324</v>
      </c>
    </row>
    <row r="344" spans="1:46" ht="11.25">
      <c r="A344" t="str">
        <f>HYPERLINK("http://exon.niaid.nih.gov/transcriptome/Tx_amboinensis_sialome/Table_1/links/TX-contig_127.txt","TX-contig_127")</f>
        <v>TX-contig_127</v>
      </c>
      <c r="B344" t="str">
        <f>HYPERLINK("http://exon.niaid.nih.gov/transcriptome/Tx_amboinensis_sialome/Table_1/links/TX-5-90-90-asb-127.txt","Contig-127")</f>
        <v>Contig-127</v>
      </c>
      <c r="C344" t="str">
        <f>HYPERLINK("http://exon.niaid.nih.gov/transcriptome/Tx_amboinensis_sialome/Table_1/links/TX-5-90-90-127-CLU.txt","Contig127")</f>
        <v>Contig127</v>
      </c>
      <c r="D344" s="4">
        <v>1</v>
      </c>
      <c r="E344">
        <v>177</v>
      </c>
      <c r="F344">
        <v>1.1</v>
      </c>
      <c r="G344">
        <v>79.1</v>
      </c>
      <c r="H344">
        <v>63</v>
      </c>
      <c r="I344">
        <v>127</v>
      </c>
      <c r="J344" t="s">
        <v>443</v>
      </c>
      <c r="K344">
        <v>63</v>
      </c>
      <c r="L344" s="3" t="s">
        <v>1036</v>
      </c>
      <c r="M344" s="4">
        <v>0</v>
      </c>
      <c r="N344" s="4">
        <v>0</v>
      </c>
      <c r="O344" s="4">
        <v>0</v>
      </c>
      <c r="P344" s="4">
        <v>0</v>
      </c>
      <c r="Q344" s="5" t="s">
        <v>1039</v>
      </c>
      <c r="Y344" t="s">
        <v>324</v>
      </c>
      <c r="Z344" s="2" t="s">
        <v>324</v>
      </c>
      <c r="AA344" t="s">
        <v>324</v>
      </c>
      <c r="AB344" t="s">
        <v>324</v>
      </c>
      <c r="AC344" t="s">
        <v>324</v>
      </c>
      <c r="AD344" t="s">
        <v>324</v>
      </c>
      <c r="AE344" t="s">
        <v>324</v>
      </c>
      <c r="AF344" t="s">
        <v>324</v>
      </c>
      <c r="AG344" s="2" t="s">
        <v>324</v>
      </c>
      <c r="AH344" t="s">
        <v>324</v>
      </c>
      <c r="AI344" t="s">
        <v>324</v>
      </c>
      <c r="AJ344" s="2" t="s">
        <v>324</v>
      </c>
      <c r="AK344" t="s">
        <v>324</v>
      </c>
      <c r="AL344" t="s">
        <v>324</v>
      </c>
      <c r="AM344" s="2" t="s">
        <v>324</v>
      </c>
      <c r="AN344" t="s">
        <v>324</v>
      </c>
      <c r="AO344" s="2" t="s">
        <v>324</v>
      </c>
      <c r="AP344" t="s">
        <v>324</v>
      </c>
      <c r="AQ344" s="2" t="s">
        <v>324</v>
      </c>
      <c r="AR344" t="s">
        <v>324</v>
      </c>
      <c r="AS344" s="2" t="s">
        <v>324</v>
      </c>
      <c r="AT344" t="s">
        <v>324</v>
      </c>
    </row>
    <row r="345" spans="1:46" ht="11.25">
      <c r="A345" t="str">
        <f>HYPERLINK("http://exon.niaid.nih.gov/transcriptome/Tx_amboinensis_sialome/Table_1/links/TX-contig_136.txt","TX-contig_136")</f>
        <v>TX-contig_136</v>
      </c>
      <c r="B345" t="str">
        <f>HYPERLINK("http://exon.niaid.nih.gov/transcriptome/Tx_amboinensis_sialome/Table_1/links/TX-5-90-90-asb-136.txt","Contig-136")</f>
        <v>Contig-136</v>
      </c>
      <c r="C345" t="str">
        <f>HYPERLINK("http://exon.niaid.nih.gov/transcriptome/Tx_amboinensis_sialome/Table_1/links/TX-5-90-90-136-CLU.txt","Contig136")</f>
        <v>Contig136</v>
      </c>
      <c r="D345" s="4">
        <v>1</v>
      </c>
      <c r="E345">
        <v>162</v>
      </c>
      <c r="F345">
        <v>0.6</v>
      </c>
      <c r="G345">
        <v>59.9</v>
      </c>
      <c r="H345" t="s">
        <v>324</v>
      </c>
      <c r="I345">
        <v>136</v>
      </c>
      <c r="J345" t="s">
        <v>452</v>
      </c>
      <c r="K345" t="s">
        <v>324</v>
      </c>
      <c r="L345" s="3" t="s">
        <v>1036</v>
      </c>
      <c r="M345" s="4">
        <v>0</v>
      </c>
      <c r="N345" s="4">
        <v>0</v>
      </c>
      <c r="O345" s="4">
        <v>0</v>
      </c>
      <c r="P345" s="4">
        <v>0</v>
      </c>
      <c r="Q345" s="5" t="s">
        <v>1039</v>
      </c>
      <c r="Y345" t="s">
        <v>324</v>
      </c>
      <c r="Z345" s="2" t="s">
        <v>324</v>
      </c>
      <c r="AA345" t="s">
        <v>324</v>
      </c>
      <c r="AB345" t="s">
        <v>324</v>
      </c>
      <c r="AC345" t="s">
        <v>324</v>
      </c>
      <c r="AD345" t="s">
        <v>324</v>
      </c>
      <c r="AE345" t="s">
        <v>324</v>
      </c>
      <c r="AF345" t="s">
        <v>324</v>
      </c>
      <c r="AG345" s="2" t="s">
        <v>324</v>
      </c>
      <c r="AH345" t="s">
        <v>324</v>
      </c>
      <c r="AI345" t="s">
        <v>324</v>
      </c>
      <c r="AJ345" s="2" t="str">
        <f>HYPERLINK("http://exon.niaid.nih.gov/transcriptome/Tx_amboinensis_sialome/Table_1/links/CDD\TX-contig_136-CDD.txt","COG4906")</f>
        <v>COG4906</v>
      </c>
      <c r="AK345" t="str">
        <f>HYPERLINK("http://www.ncbi.nlm.nih.gov/Structure/cdd/cddsrv.cgi?uid=COG4906&amp;version=v4.0","0.57")</f>
        <v>0.57</v>
      </c>
      <c r="AL345" t="s">
        <v>1138</v>
      </c>
      <c r="AM345" s="2" t="s">
        <v>324</v>
      </c>
      <c r="AN345" t="s">
        <v>324</v>
      </c>
      <c r="AO345" s="2" t="str">
        <f>HYPERLINK("http://exon.niaid.nih.gov/transcriptome/Tx_amboinensis_sialome/Table_1/links/SMART\TX-contig_136-SMART.txt","POLBc")</f>
        <v>POLBc</v>
      </c>
      <c r="AP345" t="str">
        <f>HYPERLINK("http://smart.embl-heidelberg.de/smart/do_annotation.pl?DOMAIN=POLBc&amp;BLAST=DUMMY","0.076")</f>
        <v>0.076</v>
      </c>
      <c r="AQ345" s="2" t="s">
        <v>324</v>
      </c>
      <c r="AR345" t="s">
        <v>324</v>
      </c>
      <c r="AS345" s="2" t="s">
        <v>324</v>
      </c>
      <c r="AT345" t="s">
        <v>324</v>
      </c>
    </row>
    <row r="346" spans="1:46" ht="11.25">
      <c r="A346" t="str">
        <f>HYPERLINK("http://exon.niaid.nih.gov/transcriptome/Tx_amboinensis_sialome/Table_1/links/TX-contig_138.txt","TX-contig_138")</f>
        <v>TX-contig_138</v>
      </c>
      <c r="B346" t="str">
        <f>HYPERLINK("http://exon.niaid.nih.gov/transcriptome/Tx_amboinensis_sialome/Table_1/links/TX-5-90-90-asb-138.txt","Contig-138")</f>
        <v>Contig-138</v>
      </c>
      <c r="C346" t="str">
        <f>HYPERLINK("http://exon.niaid.nih.gov/transcriptome/Tx_amboinensis_sialome/Table_1/links/TX-5-90-90-138-CLU.txt","Contig138")</f>
        <v>Contig138</v>
      </c>
      <c r="D346" s="4">
        <v>1</v>
      </c>
      <c r="E346">
        <v>124</v>
      </c>
      <c r="F346">
        <v>2.4</v>
      </c>
      <c r="G346">
        <v>78.2</v>
      </c>
      <c r="H346">
        <v>30</v>
      </c>
      <c r="I346">
        <v>138</v>
      </c>
      <c r="J346" t="s">
        <v>454</v>
      </c>
      <c r="K346">
        <v>30</v>
      </c>
      <c r="L346" s="3" t="s">
        <v>1036</v>
      </c>
      <c r="M346" s="4">
        <v>0</v>
      </c>
      <c r="N346" s="4">
        <v>0</v>
      </c>
      <c r="O346" s="4">
        <v>0</v>
      </c>
      <c r="P346" s="4">
        <v>0</v>
      </c>
      <c r="Q346" s="5" t="s">
        <v>1039</v>
      </c>
      <c r="Y346" t="s">
        <v>324</v>
      </c>
      <c r="Z346" s="2" t="s">
        <v>324</v>
      </c>
      <c r="AA346" t="s">
        <v>324</v>
      </c>
      <c r="AB346" t="s">
        <v>324</v>
      </c>
      <c r="AC346" t="s">
        <v>324</v>
      </c>
      <c r="AD346" t="s">
        <v>324</v>
      </c>
      <c r="AE346" t="s">
        <v>324</v>
      </c>
      <c r="AF346" t="s">
        <v>324</v>
      </c>
      <c r="AG346" s="2" t="s">
        <v>324</v>
      </c>
      <c r="AH346" t="s">
        <v>324</v>
      </c>
      <c r="AI346" t="s">
        <v>324</v>
      </c>
      <c r="AJ346" s="2" t="s">
        <v>324</v>
      </c>
      <c r="AK346" t="s">
        <v>324</v>
      </c>
      <c r="AL346" t="s">
        <v>324</v>
      </c>
      <c r="AM346" s="2" t="s">
        <v>324</v>
      </c>
      <c r="AN346" t="s">
        <v>324</v>
      </c>
      <c r="AO346" s="2" t="s">
        <v>324</v>
      </c>
      <c r="AP346" t="s">
        <v>324</v>
      </c>
      <c r="AQ346" s="2" t="s">
        <v>324</v>
      </c>
      <c r="AR346" t="s">
        <v>324</v>
      </c>
      <c r="AS346" s="2" t="s">
        <v>324</v>
      </c>
      <c r="AT346" t="s">
        <v>324</v>
      </c>
    </row>
    <row r="347" spans="1:46" ht="11.25">
      <c r="A347" t="str">
        <f>HYPERLINK("http://exon.niaid.nih.gov/transcriptome/Tx_amboinensis_sialome/Table_1/links/TX-contig_141.txt","TX-contig_141")</f>
        <v>TX-contig_141</v>
      </c>
      <c r="B347" t="str">
        <f>HYPERLINK("http://exon.niaid.nih.gov/transcriptome/Tx_amboinensis_sialome/Table_1/links/TX-5-90-90-asb-141.txt","Contig-141")</f>
        <v>Contig-141</v>
      </c>
      <c r="C347" t="str">
        <f>HYPERLINK("http://exon.niaid.nih.gov/transcriptome/Tx_amboinensis_sialome/Table_1/links/TX-5-90-90-141-CLU.txt","Contig141")</f>
        <v>Contig141</v>
      </c>
      <c r="D347" s="4">
        <v>1</v>
      </c>
      <c r="E347">
        <v>104</v>
      </c>
      <c r="F347" t="s">
        <v>322</v>
      </c>
      <c r="G347">
        <v>94.2</v>
      </c>
      <c r="H347">
        <v>15</v>
      </c>
      <c r="I347">
        <v>141</v>
      </c>
      <c r="J347" t="s">
        <v>457</v>
      </c>
      <c r="K347">
        <v>15</v>
      </c>
      <c r="L347" s="3" t="s">
        <v>1036</v>
      </c>
      <c r="M347" s="4">
        <v>0</v>
      </c>
      <c r="N347" s="4">
        <v>0</v>
      </c>
      <c r="O347" s="4">
        <v>0</v>
      </c>
      <c r="P347" s="4">
        <v>0</v>
      </c>
      <c r="Q347" s="5" t="s">
        <v>1039</v>
      </c>
      <c r="Y347" t="s">
        <v>324</v>
      </c>
      <c r="Z347" s="2" t="s">
        <v>324</v>
      </c>
      <c r="AA347" t="s">
        <v>324</v>
      </c>
      <c r="AB347" t="s">
        <v>324</v>
      </c>
      <c r="AC347" t="s">
        <v>324</v>
      </c>
      <c r="AD347" t="s">
        <v>324</v>
      </c>
      <c r="AE347" t="s">
        <v>324</v>
      </c>
      <c r="AF347" t="s">
        <v>324</v>
      </c>
      <c r="AG347" s="2" t="s">
        <v>324</v>
      </c>
      <c r="AH347" t="s">
        <v>324</v>
      </c>
      <c r="AI347" t="s">
        <v>324</v>
      </c>
      <c r="AJ347" s="2" t="s">
        <v>324</v>
      </c>
      <c r="AK347" t="s">
        <v>324</v>
      </c>
      <c r="AL347" t="s">
        <v>324</v>
      </c>
      <c r="AM347" s="2" t="s">
        <v>324</v>
      </c>
      <c r="AN347" t="s">
        <v>324</v>
      </c>
      <c r="AO347" s="2" t="s">
        <v>324</v>
      </c>
      <c r="AP347" t="s">
        <v>324</v>
      </c>
      <c r="AQ347" s="2" t="s">
        <v>324</v>
      </c>
      <c r="AR347" t="s">
        <v>324</v>
      </c>
      <c r="AS347" s="2" t="s">
        <v>324</v>
      </c>
      <c r="AT347" t="s">
        <v>324</v>
      </c>
    </row>
    <row r="348" spans="1:46" ht="11.25">
      <c r="A348" t="str">
        <f>HYPERLINK("http://exon.niaid.nih.gov/transcriptome/Tx_amboinensis_sialome/Table_1/links/TX-contig_142.txt","TX-contig_142")</f>
        <v>TX-contig_142</v>
      </c>
      <c r="B348" t="str">
        <f>HYPERLINK("http://exon.niaid.nih.gov/transcriptome/Tx_amboinensis_sialome/Table_1/links/TX-5-90-90-asb-142.txt","Contig-142")</f>
        <v>Contig-142</v>
      </c>
      <c r="C348" t="str">
        <f>HYPERLINK("http://exon.niaid.nih.gov/transcriptome/Tx_amboinensis_sialome/Table_1/links/TX-5-90-90-142-CLU.txt","Contig142")</f>
        <v>Contig142</v>
      </c>
      <c r="D348" s="4">
        <v>1</v>
      </c>
      <c r="E348">
        <v>106</v>
      </c>
      <c r="F348">
        <v>1.9</v>
      </c>
      <c r="G348">
        <v>97.2</v>
      </c>
      <c r="H348">
        <v>4</v>
      </c>
      <c r="I348">
        <v>142</v>
      </c>
      <c r="J348" t="s">
        <v>458</v>
      </c>
      <c r="K348">
        <v>4</v>
      </c>
      <c r="L348" s="3" t="s">
        <v>1036</v>
      </c>
      <c r="M348" s="4">
        <v>0</v>
      </c>
      <c r="N348" s="4">
        <v>0</v>
      </c>
      <c r="O348" s="4">
        <v>0</v>
      </c>
      <c r="P348" s="4">
        <v>0</v>
      </c>
      <c r="Q348" s="5" t="s">
        <v>1039</v>
      </c>
      <c r="Y348" t="s">
        <v>324</v>
      </c>
      <c r="Z348" s="2" t="s">
        <v>324</v>
      </c>
      <c r="AA348" t="s">
        <v>324</v>
      </c>
      <c r="AB348" t="s">
        <v>324</v>
      </c>
      <c r="AC348" t="s">
        <v>324</v>
      </c>
      <c r="AD348" t="s">
        <v>324</v>
      </c>
      <c r="AE348" t="s">
        <v>324</v>
      </c>
      <c r="AF348" t="s">
        <v>324</v>
      </c>
      <c r="AG348" s="2" t="s">
        <v>324</v>
      </c>
      <c r="AH348" t="s">
        <v>324</v>
      </c>
      <c r="AI348" t="s">
        <v>324</v>
      </c>
      <c r="AJ348" s="2" t="s">
        <v>324</v>
      </c>
      <c r="AK348" t="s">
        <v>324</v>
      </c>
      <c r="AL348" t="s">
        <v>324</v>
      </c>
      <c r="AM348" s="2" t="s">
        <v>324</v>
      </c>
      <c r="AN348" t="s">
        <v>324</v>
      </c>
      <c r="AO348" s="2" t="s">
        <v>324</v>
      </c>
      <c r="AP348" t="s">
        <v>324</v>
      </c>
      <c r="AQ348" s="2" t="s">
        <v>324</v>
      </c>
      <c r="AR348" t="s">
        <v>324</v>
      </c>
      <c r="AS348" s="2" t="s">
        <v>324</v>
      </c>
      <c r="AT348" t="s">
        <v>324</v>
      </c>
    </row>
    <row r="349" spans="1:46" ht="11.25">
      <c r="A349" t="str">
        <f>HYPERLINK("http://exon.niaid.nih.gov/transcriptome/Tx_amboinensis_sialome/Table_1/links/TX-contig_145.txt","TX-contig_145")</f>
        <v>TX-contig_145</v>
      </c>
      <c r="B349" t="str">
        <f>HYPERLINK("http://exon.niaid.nih.gov/transcriptome/Tx_amboinensis_sialome/Table_1/links/TX-5-90-90-asb-145.txt","Contig-145")</f>
        <v>Contig-145</v>
      </c>
      <c r="C349" t="str">
        <f>HYPERLINK("http://exon.niaid.nih.gov/transcriptome/Tx_amboinensis_sialome/Table_1/links/TX-5-90-90-145-CLU.txt","Contig145")</f>
        <v>Contig145</v>
      </c>
      <c r="D349" s="4">
        <v>1</v>
      </c>
      <c r="E349">
        <v>144</v>
      </c>
      <c r="F349">
        <v>3.5</v>
      </c>
      <c r="G349">
        <v>57.6</v>
      </c>
      <c r="H349">
        <v>125</v>
      </c>
      <c r="I349">
        <v>145</v>
      </c>
      <c r="J349" t="s">
        <v>460</v>
      </c>
      <c r="K349">
        <v>125</v>
      </c>
      <c r="L349" s="3" t="s">
        <v>1036</v>
      </c>
      <c r="M349" s="4">
        <v>0</v>
      </c>
      <c r="N349" s="4">
        <v>0</v>
      </c>
      <c r="O349" s="4">
        <v>0</v>
      </c>
      <c r="P349" s="4">
        <v>0</v>
      </c>
      <c r="Q349" s="5" t="s">
        <v>1039</v>
      </c>
      <c r="Y349" t="s">
        <v>324</v>
      </c>
      <c r="Z349" s="2" t="s">
        <v>324</v>
      </c>
      <c r="AA349" t="s">
        <v>324</v>
      </c>
      <c r="AB349" t="s">
        <v>324</v>
      </c>
      <c r="AC349" t="s">
        <v>324</v>
      </c>
      <c r="AD349" t="s">
        <v>324</v>
      </c>
      <c r="AE349" t="s">
        <v>324</v>
      </c>
      <c r="AF349" t="s">
        <v>324</v>
      </c>
      <c r="AG349" s="2" t="s">
        <v>324</v>
      </c>
      <c r="AH349" t="s">
        <v>324</v>
      </c>
      <c r="AI349" t="s">
        <v>324</v>
      </c>
      <c r="AJ349" s="2" t="s">
        <v>324</v>
      </c>
      <c r="AK349" t="s">
        <v>324</v>
      </c>
      <c r="AL349" t="s">
        <v>324</v>
      </c>
      <c r="AM349" s="2" t="s">
        <v>324</v>
      </c>
      <c r="AN349" t="s">
        <v>324</v>
      </c>
      <c r="AO349" s="2" t="s">
        <v>324</v>
      </c>
      <c r="AP349" t="s">
        <v>324</v>
      </c>
      <c r="AQ349" s="2" t="s">
        <v>324</v>
      </c>
      <c r="AR349" t="s">
        <v>324</v>
      </c>
      <c r="AS349" s="2" t="s">
        <v>324</v>
      </c>
      <c r="AT349" t="s">
        <v>324</v>
      </c>
    </row>
    <row r="350" spans="1:46" ht="11.25">
      <c r="A350" t="str">
        <f>HYPERLINK("http://exon.niaid.nih.gov/transcriptome/Tx_amboinensis_sialome/Table_1/links/TX-contig_151.txt","TX-contig_151")</f>
        <v>TX-contig_151</v>
      </c>
      <c r="B350" t="str">
        <f>HYPERLINK("http://exon.niaid.nih.gov/transcriptome/Tx_amboinensis_sialome/Table_1/links/TX-5-90-90-asb-151.txt","Contig-151")</f>
        <v>Contig-151</v>
      </c>
      <c r="C350" t="str">
        <f>HYPERLINK("http://exon.niaid.nih.gov/transcriptome/Tx_amboinensis_sialome/Table_1/links/TX-5-90-90-151-CLU.txt","Contig151")</f>
        <v>Contig151</v>
      </c>
      <c r="D350" s="4">
        <v>1</v>
      </c>
      <c r="E350">
        <v>116</v>
      </c>
      <c r="F350" t="s">
        <v>322</v>
      </c>
      <c r="G350">
        <v>84.5</v>
      </c>
      <c r="H350">
        <v>53</v>
      </c>
      <c r="I350">
        <v>151</v>
      </c>
      <c r="J350" t="s">
        <v>465</v>
      </c>
      <c r="K350">
        <v>53</v>
      </c>
      <c r="L350" s="3" t="s">
        <v>1036</v>
      </c>
      <c r="M350" s="4">
        <v>0</v>
      </c>
      <c r="N350" s="4">
        <v>0</v>
      </c>
      <c r="O350" s="4">
        <v>0</v>
      </c>
      <c r="P350" s="4">
        <v>0</v>
      </c>
      <c r="Q350" s="5" t="s">
        <v>1039</v>
      </c>
      <c r="Y350" t="s">
        <v>324</v>
      </c>
      <c r="Z350" s="2" t="s">
        <v>324</v>
      </c>
      <c r="AA350" t="s">
        <v>324</v>
      </c>
      <c r="AB350" t="s">
        <v>324</v>
      </c>
      <c r="AC350" t="s">
        <v>324</v>
      </c>
      <c r="AD350" t="s">
        <v>324</v>
      </c>
      <c r="AE350" t="s">
        <v>324</v>
      </c>
      <c r="AF350" t="s">
        <v>324</v>
      </c>
      <c r="AG350" s="2" t="s">
        <v>324</v>
      </c>
      <c r="AH350" t="s">
        <v>324</v>
      </c>
      <c r="AI350" t="s">
        <v>324</v>
      </c>
      <c r="AJ350" s="2" t="s">
        <v>324</v>
      </c>
      <c r="AK350" t="s">
        <v>324</v>
      </c>
      <c r="AL350" t="s">
        <v>324</v>
      </c>
      <c r="AM350" s="2" t="s">
        <v>324</v>
      </c>
      <c r="AN350" t="s">
        <v>324</v>
      </c>
      <c r="AO350" s="2" t="s">
        <v>324</v>
      </c>
      <c r="AP350" t="s">
        <v>324</v>
      </c>
      <c r="AQ350" s="2" t="s">
        <v>324</v>
      </c>
      <c r="AR350" t="s">
        <v>324</v>
      </c>
      <c r="AS350" s="2" t="s">
        <v>324</v>
      </c>
      <c r="AT350" t="s">
        <v>324</v>
      </c>
    </row>
    <row r="351" spans="1:46" ht="11.25">
      <c r="A351" t="str">
        <f>HYPERLINK("http://exon.niaid.nih.gov/transcriptome/Tx_amboinensis_sialome/Table_1/links/TX-contig_154.txt","TX-contig_154")</f>
        <v>TX-contig_154</v>
      </c>
      <c r="B351" t="str">
        <f>HYPERLINK("http://exon.niaid.nih.gov/transcriptome/Tx_amboinensis_sialome/Table_1/links/TX-5-90-90-asb-154.txt","Contig-154")</f>
        <v>Contig-154</v>
      </c>
      <c r="C351" t="str">
        <f>HYPERLINK("http://exon.niaid.nih.gov/transcriptome/Tx_amboinensis_sialome/Table_1/links/TX-5-90-90-154-CLU.txt","Contig154")</f>
        <v>Contig154</v>
      </c>
      <c r="D351" s="4">
        <v>1</v>
      </c>
      <c r="E351">
        <v>101</v>
      </c>
      <c r="F351">
        <v>5</v>
      </c>
      <c r="G351">
        <v>62.4</v>
      </c>
      <c r="H351">
        <v>56</v>
      </c>
      <c r="I351">
        <v>154</v>
      </c>
      <c r="J351" t="s">
        <v>468</v>
      </c>
      <c r="K351">
        <v>56</v>
      </c>
      <c r="L351" s="3" t="s">
        <v>1036</v>
      </c>
      <c r="M351" s="4">
        <v>0</v>
      </c>
      <c r="N351" s="4">
        <v>0</v>
      </c>
      <c r="O351" s="4">
        <v>0</v>
      </c>
      <c r="P351" s="4">
        <v>0</v>
      </c>
      <c r="Q351" s="5" t="s">
        <v>1039</v>
      </c>
      <c r="Y351" t="s">
        <v>324</v>
      </c>
      <c r="Z351" s="2" t="s">
        <v>324</v>
      </c>
      <c r="AA351" t="s">
        <v>324</v>
      </c>
      <c r="AB351" t="s">
        <v>324</v>
      </c>
      <c r="AC351" t="s">
        <v>324</v>
      </c>
      <c r="AD351" t="s">
        <v>324</v>
      </c>
      <c r="AE351" t="s">
        <v>324</v>
      </c>
      <c r="AF351" t="s">
        <v>324</v>
      </c>
      <c r="AG351" s="2" t="s">
        <v>324</v>
      </c>
      <c r="AH351" t="s">
        <v>324</v>
      </c>
      <c r="AI351" t="s">
        <v>324</v>
      </c>
      <c r="AJ351" s="2" t="s">
        <v>324</v>
      </c>
      <c r="AK351" t="s">
        <v>324</v>
      </c>
      <c r="AL351" t="s">
        <v>324</v>
      </c>
      <c r="AM351" s="2" t="s">
        <v>324</v>
      </c>
      <c r="AN351" t="s">
        <v>324</v>
      </c>
      <c r="AO351" s="2" t="s">
        <v>324</v>
      </c>
      <c r="AP351" t="s">
        <v>324</v>
      </c>
      <c r="AQ351" s="2" t="s">
        <v>324</v>
      </c>
      <c r="AR351" t="s">
        <v>324</v>
      </c>
      <c r="AS351" s="2" t="s">
        <v>324</v>
      </c>
      <c r="AT351" t="s">
        <v>324</v>
      </c>
    </row>
    <row r="352" spans="1:46" ht="11.25">
      <c r="A352" t="str">
        <f>HYPERLINK("http://exon.niaid.nih.gov/transcriptome/Tx_amboinensis_sialome/Table_1/links/TX-contig_155.txt","TX-contig_155")</f>
        <v>TX-contig_155</v>
      </c>
      <c r="B352" t="str">
        <f>HYPERLINK("http://exon.niaid.nih.gov/transcriptome/Tx_amboinensis_sialome/Table_1/links/TX-5-90-90-asb-155.txt","Contig-155")</f>
        <v>Contig-155</v>
      </c>
      <c r="C352" t="str">
        <f>HYPERLINK("http://exon.niaid.nih.gov/transcriptome/Tx_amboinensis_sialome/Table_1/links/TX-5-90-90-155-CLU.txt","Contig155")</f>
        <v>Contig155</v>
      </c>
      <c r="D352" s="4">
        <v>1</v>
      </c>
      <c r="E352">
        <v>170</v>
      </c>
      <c r="F352">
        <v>2.4</v>
      </c>
      <c r="G352">
        <v>84.7</v>
      </c>
      <c r="H352">
        <v>45</v>
      </c>
      <c r="I352">
        <v>155</v>
      </c>
      <c r="J352" t="s">
        <v>469</v>
      </c>
      <c r="K352">
        <v>45</v>
      </c>
      <c r="L352" s="3" t="s">
        <v>1036</v>
      </c>
      <c r="M352" s="4">
        <v>0</v>
      </c>
      <c r="N352" s="4">
        <v>0</v>
      </c>
      <c r="O352" s="4">
        <v>0</v>
      </c>
      <c r="P352" s="4">
        <v>0</v>
      </c>
      <c r="Q352" s="5" t="s">
        <v>1039</v>
      </c>
      <c r="Y352" t="s">
        <v>324</v>
      </c>
      <c r="Z352" s="2" t="s">
        <v>324</v>
      </c>
      <c r="AA352" t="s">
        <v>324</v>
      </c>
      <c r="AB352" t="s">
        <v>324</v>
      </c>
      <c r="AC352" t="s">
        <v>324</v>
      </c>
      <c r="AD352" t="s">
        <v>324</v>
      </c>
      <c r="AE352" t="s">
        <v>324</v>
      </c>
      <c r="AF352" t="s">
        <v>324</v>
      </c>
      <c r="AG352" s="2" t="s">
        <v>324</v>
      </c>
      <c r="AH352" t="s">
        <v>324</v>
      </c>
      <c r="AI352" t="s">
        <v>324</v>
      </c>
      <c r="AJ352" s="2" t="s">
        <v>324</v>
      </c>
      <c r="AK352" t="s">
        <v>324</v>
      </c>
      <c r="AL352" t="s">
        <v>324</v>
      </c>
      <c r="AM352" s="2" t="s">
        <v>324</v>
      </c>
      <c r="AN352" t="s">
        <v>324</v>
      </c>
      <c r="AO352" s="2" t="s">
        <v>324</v>
      </c>
      <c r="AP352" t="s">
        <v>324</v>
      </c>
      <c r="AQ352" s="2" t="s">
        <v>324</v>
      </c>
      <c r="AR352" t="s">
        <v>324</v>
      </c>
      <c r="AS352" s="2" t="s">
        <v>324</v>
      </c>
      <c r="AT352" t="s">
        <v>324</v>
      </c>
    </row>
    <row r="353" spans="1:46" ht="11.25">
      <c r="A353" t="str">
        <f>HYPERLINK("http://exon.niaid.nih.gov/transcriptome/Tx_amboinensis_sialome/Table_1/links/TX-contig_156.txt","TX-contig_156")</f>
        <v>TX-contig_156</v>
      </c>
      <c r="B353" t="str">
        <f>HYPERLINK("http://exon.niaid.nih.gov/transcriptome/Tx_amboinensis_sialome/Table_1/links/TX-5-90-90-asb-156.txt","Contig-156")</f>
        <v>Contig-156</v>
      </c>
      <c r="C353" t="str">
        <f>HYPERLINK("http://exon.niaid.nih.gov/transcriptome/Tx_amboinensis_sialome/Table_1/links/TX-5-90-90-156-CLU.txt","Contig156")</f>
        <v>Contig156</v>
      </c>
      <c r="D353" s="4">
        <v>1</v>
      </c>
      <c r="E353">
        <v>126</v>
      </c>
      <c r="F353" t="s">
        <v>322</v>
      </c>
      <c r="G353">
        <v>81.7</v>
      </c>
      <c r="H353">
        <v>55</v>
      </c>
      <c r="I353">
        <v>156</v>
      </c>
      <c r="J353" t="s">
        <v>470</v>
      </c>
      <c r="K353">
        <v>55</v>
      </c>
      <c r="L353" s="3" t="s">
        <v>1036</v>
      </c>
      <c r="M353" s="4">
        <v>0</v>
      </c>
      <c r="N353" s="4">
        <v>0</v>
      </c>
      <c r="O353" s="4">
        <v>0</v>
      </c>
      <c r="P353" s="4">
        <v>0</v>
      </c>
      <c r="Q353" s="5" t="s">
        <v>1039</v>
      </c>
      <c r="Y353" t="s">
        <v>324</v>
      </c>
      <c r="Z353" s="2" t="s">
        <v>324</v>
      </c>
      <c r="AA353" t="s">
        <v>324</v>
      </c>
      <c r="AB353" t="s">
        <v>324</v>
      </c>
      <c r="AC353" t="s">
        <v>324</v>
      </c>
      <c r="AD353" t="s">
        <v>324</v>
      </c>
      <c r="AE353" t="s">
        <v>324</v>
      </c>
      <c r="AF353" t="s">
        <v>324</v>
      </c>
      <c r="AG353" s="2" t="s">
        <v>324</v>
      </c>
      <c r="AH353" t="s">
        <v>324</v>
      </c>
      <c r="AI353" t="s">
        <v>324</v>
      </c>
      <c r="AJ353" s="2" t="s">
        <v>324</v>
      </c>
      <c r="AK353" t="s">
        <v>324</v>
      </c>
      <c r="AL353" t="s">
        <v>324</v>
      </c>
      <c r="AM353" s="2" t="s">
        <v>324</v>
      </c>
      <c r="AN353" t="s">
        <v>324</v>
      </c>
      <c r="AO353" s="2" t="s">
        <v>324</v>
      </c>
      <c r="AP353" t="s">
        <v>324</v>
      </c>
      <c r="AQ353" s="2" t="s">
        <v>324</v>
      </c>
      <c r="AR353" t="s">
        <v>324</v>
      </c>
      <c r="AS353" s="2" t="s">
        <v>324</v>
      </c>
      <c r="AT353" t="s">
        <v>324</v>
      </c>
    </row>
    <row r="354" spans="1:46" ht="11.25">
      <c r="A354" t="str">
        <f>HYPERLINK("http://exon.niaid.nih.gov/transcriptome/Tx_amboinensis_sialome/Table_1/links/TX-contig_159.txt","TX-contig_159")</f>
        <v>TX-contig_159</v>
      </c>
      <c r="B354" t="str">
        <f>HYPERLINK("http://exon.niaid.nih.gov/transcriptome/Tx_amboinensis_sialome/Table_1/links/TX-5-90-90-asb-159.txt","Contig-159")</f>
        <v>Contig-159</v>
      </c>
      <c r="C354" t="str">
        <f>HYPERLINK("http://exon.niaid.nih.gov/transcriptome/Tx_amboinensis_sialome/Table_1/links/TX-5-90-90-159-CLU.txt","Contig159")</f>
        <v>Contig159</v>
      </c>
      <c r="D354" s="4">
        <v>1</v>
      </c>
      <c r="E354">
        <v>229</v>
      </c>
      <c r="F354">
        <v>3.5</v>
      </c>
      <c r="G354">
        <v>75.5</v>
      </c>
      <c r="H354">
        <v>85</v>
      </c>
      <c r="I354">
        <v>159</v>
      </c>
      <c r="J354" t="s">
        <v>473</v>
      </c>
      <c r="K354">
        <v>85</v>
      </c>
      <c r="L354" s="3" t="s">
        <v>1036</v>
      </c>
      <c r="M354" s="4">
        <v>0</v>
      </c>
      <c r="N354" s="4">
        <v>0</v>
      </c>
      <c r="O354" s="4">
        <v>0</v>
      </c>
      <c r="P354" s="4">
        <v>0</v>
      </c>
      <c r="Q354" s="5" t="s">
        <v>1039</v>
      </c>
      <c r="Y354" t="s">
        <v>324</v>
      </c>
      <c r="Z354" s="2" t="s">
        <v>324</v>
      </c>
      <c r="AA354" t="s">
        <v>324</v>
      </c>
      <c r="AB354" t="s">
        <v>324</v>
      </c>
      <c r="AC354" t="s">
        <v>324</v>
      </c>
      <c r="AD354" t="s">
        <v>324</v>
      </c>
      <c r="AE354" t="s">
        <v>324</v>
      </c>
      <c r="AF354" t="s">
        <v>324</v>
      </c>
      <c r="AG354" s="2" t="s">
        <v>324</v>
      </c>
      <c r="AH354" t="s">
        <v>324</v>
      </c>
      <c r="AI354" t="s">
        <v>324</v>
      </c>
      <c r="AJ354" s="2" t="s">
        <v>324</v>
      </c>
      <c r="AK354" t="s">
        <v>324</v>
      </c>
      <c r="AL354" t="s">
        <v>324</v>
      </c>
      <c r="AM354" s="2" t="s">
        <v>324</v>
      </c>
      <c r="AN354" t="s">
        <v>324</v>
      </c>
      <c r="AO354" s="2" t="str">
        <f>HYPERLINK("http://exon.niaid.nih.gov/transcriptome/Tx_amboinensis_sialome/Table_1/links/SMART\TX-contig_159-SMART.txt","MyTH4")</f>
        <v>MyTH4</v>
      </c>
      <c r="AP354" t="str">
        <f>HYPERLINK("http://smart.embl-heidelberg.de/smart/do_annotation.pl?DOMAIN=MyTH4&amp;BLAST=DUMMY","0.94")</f>
        <v>0.94</v>
      </c>
      <c r="AQ354" s="2" t="s">
        <v>324</v>
      </c>
      <c r="AR354" t="s">
        <v>324</v>
      </c>
      <c r="AS354" s="2" t="s">
        <v>324</v>
      </c>
      <c r="AT354" t="s">
        <v>324</v>
      </c>
    </row>
    <row r="355" spans="1:46" ht="11.25">
      <c r="A355" t="str">
        <f>HYPERLINK("http://exon.niaid.nih.gov/transcriptome/Tx_amboinensis_sialome/Table_1/links/TX-contig_164.txt","TX-contig_164")</f>
        <v>TX-contig_164</v>
      </c>
      <c r="B355" t="str">
        <f>HYPERLINK("http://exon.niaid.nih.gov/transcriptome/Tx_amboinensis_sialome/Table_1/links/TX-5-90-90-asb-164.txt","Contig-164")</f>
        <v>Contig-164</v>
      </c>
      <c r="C355" t="str">
        <f>HYPERLINK("http://exon.niaid.nih.gov/transcriptome/Tx_amboinensis_sialome/Table_1/links/TX-5-90-90-164-CLU.txt","Contig164")</f>
        <v>Contig164</v>
      </c>
      <c r="D355" s="4">
        <v>1</v>
      </c>
      <c r="E355">
        <v>106</v>
      </c>
      <c r="F355" t="s">
        <v>322</v>
      </c>
      <c r="G355">
        <v>92.5</v>
      </c>
      <c r="H355">
        <v>24</v>
      </c>
      <c r="I355">
        <v>164</v>
      </c>
      <c r="J355" t="s">
        <v>477</v>
      </c>
      <c r="K355">
        <v>24</v>
      </c>
      <c r="L355" s="3" t="s">
        <v>1036</v>
      </c>
      <c r="M355" s="4">
        <v>0</v>
      </c>
      <c r="N355" s="4">
        <v>0</v>
      </c>
      <c r="O355" s="4">
        <v>0</v>
      </c>
      <c r="P355" s="4">
        <v>0</v>
      </c>
      <c r="Q355" s="5" t="s">
        <v>1039</v>
      </c>
      <c r="Y355" t="s">
        <v>324</v>
      </c>
      <c r="Z355" s="2" t="s">
        <v>324</v>
      </c>
      <c r="AA355" t="s">
        <v>324</v>
      </c>
      <c r="AB355" t="s">
        <v>324</v>
      </c>
      <c r="AC355" t="s">
        <v>324</v>
      </c>
      <c r="AD355" t="s">
        <v>324</v>
      </c>
      <c r="AE355" t="s">
        <v>324</v>
      </c>
      <c r="AF355" t="s">
        <v>324</v>
      </c>
      <c r="AG355" s="2" t="s">
        <v>324</v>
      </c>
      <c r="AH355" t="s">
        <v>324</v>
      </c>
      <c r="AI355" t="s">
        <v>324</v>
      </c>
      <c r="AJ355" s="2" t="s">
        <v>324</v>
      </c>
      <c r="AK355" t="s">
        <v>324</v>
      </c>
      <c r="AL355" t="s">
        <v>324</v>
      </c>
      <c r="AM355" s="2" t="s">
        <v>324</v>
      </c>
      <c r="AN355" t="s">
        <v>324</v>
      </c>
      <c r="AO355" s="2" t="s">
        <v>324</v>
      </c>
      <c r="AP355" t="s">
        <v>324</v>
      </c>
      <c r="AQ355" s="2" t="s">
        <v>324</v>
      </c>
      <c r="AR355" t="s">
        <v>324</v>
      </c>
      <c r="AS355" s="2" t="s">
        <v>324</v>
      </c>
      <c r="AT355" t="s">
        <v>324</v>
      </c>
    </row>
    <row r="356" spans="1:46" ht="11.25">
      <c r="A356" t="str">
        <f>HYPERLINK("http://exon.niaid.nih.gov/transcriptome/Tx_amboinensis_sialome/Table_1/links/TX-contig_168.txt","TX-contig_168")</f>
        <v>TX-contig_168</v>
      </c>
      <c r="B356" t="str">
        <f>HYPERLINK("http://exon.niaid.nih.gov/transcriptome/Tx_amboinensis_sialome/Table_1/links/TX-5-90-90-asb-168.txt","Contig-168")</f>
        <v>Contig-168</v>
      </c>
      <c r="C356" t="str">
        <f>HYPERLINK("http://exon.niaid.nih.gov/transcriptome/Tx_amboinensis_sialome/Table_1/links/TX-5-90-90-168-CLU.txt","Contig168")</f>
        <v>Contig168</v>
      </c>
      <c r="D356" s="4">
        <v>1</v>
      </c>
      <c r="E356">
        <v>115</v>
      </c>
      <c r="F356">
        <v>3.5</v>
      </c>
      <c r="G356">
        <v>78.3</v>
      </c>
      <c r="H356">
        <v>32</v>
      </c>
      <c r="I356">
        <v>168</v>
      </c>
      <c r="J356" t="s">
        <v>481</v>
      </c>
      <c r="K356">
        <v>32</v>
      </c>
      <c r="L356" s="3" t="s">
        <v>1036</v>
      </c>
      <c r="M356" s="4">
        <v>0</v>
      </c>
      <c r="N356" s="4">
        <v>0</v>
      </c>
      <c r="O356" s="4">
        <v>0</v>
      </c>
      <c r="P356" s="4">
        <v>0</v>
      </c>
      <c r="Q356" s="5" t="s">
        <v>1039</v>
      </c>
      <c r="Y356" t="s">
        <v>324</v>
      </c>
      <c r="Z356" s="2" t="s">
        <v>324</v>
      </c>
      <c r="AA356" t="s">
        <v>324</v>
      </c>
      <c r="AB356" t="s">
        <v>324</v>
      </c>
      <c r="AC356" t="s">
        <v>324</v>
      </c>
      <c r="AD356" t="s">
        <v>324</v>
      </c>
      <c r="AE356" t="s">
        <v>324</v>
      </c>
      <c r="AF356" t="s">
        <v>324</v>
      </c>
      <c r="AG356" s="2" t="s">
        <v>324</v>
      </c>
      <c r="AH356" t="s">
        <v>324</v>
      </c>
      <c r="AI356" t="s">
        <v>324</v>
      </c>
      <c r="AJ356" s="2" t="s">
        <v>324</v>
      </c>
      <c r="AK356" t="s">
        <v>324</v>
      </c>
      <c r="AL356" t="s">
        <v>324</v>
      </c>
      <c r="AM356" s="2" t="s">
        <v>324</v>
      </c>
      <c r="AN356" t="s">
        <v>324</v>
      </c>
      <c r="AO356" s="2" t="s">
        <v>324</v>
      </c>
      <c r="AP356" t="s">
        <v>324</v>
      </c>
      <c r="AQ356" s="2" t="s">
        <v>324</v>
      </c>
      <c r="AR356" t="s">
        <v>324</v>
      </c>
      <c r="AS356" s="2" t="s">
        <v>324</v>
      </c>
      <c r="AT356" t="s">
        <v>324</v>
      </c>
    </row>
    <row r="357" spans="1:46" ht="11.25">
      <c r="A357" t="str">
        <f>HYPERLINK("http://exon.niaid.nih.gov/transcriptome/Tx_amboinensis_sialome/Table_1/links/TX-contig_169.txt","TX-contig_169")</f>
        <v>TX-contig_169</v>
      </c>
      <c r="B357" t="str">
        <f>HYPERLINK("http://exon.niaid.nih.gov/transcriptome/Tx_amboinensis_sialome/Table_1/links/TX-5-90-90-asb-169.txt","Contig-169")</f>
        <v>Contig-169</v>
      </c>
      <c r="C357" t="str">
        <f>HYPERLINK("http://exon.niaid.nih.gov/transcriptome/Tx_amboinensis_sialome/Table_1/links/TX-5-90-90-169-CLU.txt","Contig169")</f>
        <v>Contig169</v>
      </c>
      <c r="D357" s="4">
        <v>1</v>
      </c>
      <c r="E357">
        <v>92</v>
      </c>
      <c r="F357">
        <v>2.2</v>
      </c>
      <c r="G357">
        <v>87</v>
      </c>
      <c r="H357">
        <v>31</v>
      </c>
      <c r="I357">
        <v>169</v>
      </c>
      <c r="J357" t="s">
        <v>482</v>
      </c>
      <c r="K357">
        <v>31</v>
      </c>
      <c r="L357" s="3" t="s">
        <v>1036</v>
      </c>
      <c r="M357" s="4">
        <v>0</v>
      </c>
      <c r="N357" s="4">
        <v>0</v>
      </c>
      <c r="O357" s="4">
        <v>0</v>
      </c>
      <c r="P357" s="4">
        <v>0</v>
      </c>
      <c r="Q357" s="5" t="s">
        <v>1039</v>
      </c>
      <c r="Y357" t="s">
        <v>324</v>
      </c>
      <c r="Z357" s="2" t="s">
        <v>324</v>
      </c>
      <c r="AA357" t="s">
        <v>324</v>
      </c>
      <c r="AB357" t="s">
        <v>324</v>
      </c>
      <c r="AC357" t="s">
        <v>324</v>
      </c>
      <c r="AD357" t="s">
        <v>324</v>
      </c>
      <c r="AE357" t="s">
        <v>324</v>
      </c>
      <c r="AF357" t="s">
        <v>324</v>
      </c>
      <c r="AG357" s="2" t="s">
        <v>324</v>
      </c>
      <c r="AH357" t="s">
        <v>324</v>
      </c>
      <c r="AI357" t="s">
        <v>324</v>
      </c>
      <c r="AJ357" s="2" t="s">
        <v>324</v>
      </c>
      <c r="AK357" t="s">
        <v>324</v>
      </c>
      <c r="AL357" t="s">
        <v>324</v>
      </c>
      <c r="AM357" s="2" t="s">
        <v>324</v>
      </c>
      <c r="AN357" t="s">
        <v>324</v>
      </c>
      <c r="AO357" s="2" t="s">
        <v>324</v>
      </c>
      <c r="AP357" t="s">
        <v>324</v>
      </c>
      <c r="AQ357" s="2" t="s">
        <v>324</v>
      </c>
      <c r="AR357" t="s">
        <v>324</v>
      </c>
      <c r="AS357" s="2" t="s">
        <v>324</v>
      </c>
      <c r="AT357" t="s">
        <v>324</v>
      </c>
    </row>
    <row r="358" spans="1:46" ht="11.25">
      <c r="A358" t="str">
        <f>HYPERLINK("http://exon.niaid.nih.gov/transcriptome/Tx_amboinensis_sialome/Table_1/links/TX-contig_174.txt","TX-contig_174")</f>
        <v>TX-contig_174</v>
      </c>
      <c r="B358" t="str">
        <f>HYPERLINK("http://exon.niaid.nih.gov/transcriptome/Tx_amboinensis_sialome/Table_1/links/TX-5-90-90-asb-174.txt","Contig-174")</f>
        <v>Contig-174</v>
      </c>
      <c r="C358" t="str">
        <f>HYPERLINK("http://exon.niaid.nih.gov/transcriptome/Tx_amboinensis_sialome/Table_1/links/TX-5-90-90-174-CLU.txt","Contig174")</f>
        <v>Contig174</v>
      </c>
      <c r="D358" s="4">
        <v>1</v>
      </c>
      <c r="E358">
        <v>164</v>
      </c>
      <c r="F358">
        <v>2.4</v>
      </c>
      <c r="G358">
        <v>85.4</v>
      </c>
      <c r="H358">
        <v>34</v>
      </c>
      <c r="I358">
        <v>174</v>
      </c>
      <c r="J358" t="s">
        <v>487</v>
      </c>
      <c r="K358">
        <v>34</v>
      </c>
      <c r="L358" s="3" t="s">
        <v>1036</v>
      </c>
      <c r="M358" s="4">
        <v>0</v>
      </c>
      <c r="N358" s="4">
        <v>0</v>
      </c>
      <c r="O358" s="4">
        <v>0</v>
      </c>
      <c r="P358" s="4">
        <v>0</v>
      </c>
      <c r="Q358" s="5" t="s">
        <v>1039</v>
      </c>
      <c r="Y358" t="s">
        <v>324</v>
      </c>
      <c r="Z358" s="2" t="s">
        <v>324</v>
      </c>
      <c r="AA358" t="s">
        <v>324</v>
      </c>
      <c r="AB358" t="s">
        <v>324</v>
      </c>
      <c r="AC358" t="s">
        <v>324</v>
      </c>
      <c r="AD358" t="s">
        <v>324</v>
      </c>
      <c r="AE358" t="s">
        <v>324</v>
      </c>
      <c r="AF358" t="s">
        <v>324</v>
      </c>
      <c r="AG358" s="2" t="s">
        <v>324</v>
      </c>
      <c r="AH358" t="s">
        <v>324</v>
      </c>
      <c r="AI358" t="s">
        <v>324</v>
      </c>
      <c r="AJ358" s="2" t="s">
        <v>324</v>
      </c>
      <c r="AK358" t="s">
        <v>324</v>
      </c>
      <c r="AL358" t="s">
        <v>324</v>
      </c>
      <c r="AM358" s="2" t="s">
        <v>324</v>
      </c>
      <c r="AN358" t="s">
        <v>324</v>
      </c>
      <c r="AO358" s="2" t="s">
        <v>324</v>
      </c>
      <c r="AP358" t="s">
        <v>324</v>
      </c>
      <c r="AQ358" s="2" t="s">
        <v>324</v>
      </c>
      <c r="AR358" t="s">
        <v>324</v>
      </c>
      <c r="AS358" s="2" t="s">
        <v>324</v>
      </c>
      <c r="AT358" t="s">
        <v>324</v>
      </c>
    </row>
    <row r="359" spans="1:46" ht="11.25">
      <c r="A359" t="str">
        <f>HYPERLINK("http://exon.niaid.nih.gov/transcriptome/Tx_amboinensis_sialome/Table_1/links/TX-contig_175.txt","TX-contig_175")</f>
        <v>TX-contig_175</v>
      </c>
      <c r="B359" t="str">
        <f>HYPERLINK("http://exon.niaid.nih.gov/transcriptome/Tx_amboinensis_sialome/Table_1/links/TX-5-90-90-asb-175.txt","Contig-175")</f>
        <v>Contig-175</v>
      </c>
      <c r="C359" t="str">
        <f>HYPERLINK("http://exon.niaid.nih.gov/transcriptome/Tx_amboinensis_sialome/Table_1/links/TX-5-90-90-175-CLU.txt","Contig175")</f>
        <v>Contig175</v>
      </c>
      <c r="D359" s="4">
        <v>1</v>
      </c>
      <c r="E359">
        <v>144</v>
      </c>
      <c r="F359">
        <v>4.2</v>
      </c>
      <c r="G359">
        <v>81.9</v>
      </c>
      <c r="H359">
        <v>29</v>
      </c>
      <c r="I359">
        <v>175</v>
      </c>
      <c r="J359" t="s">
        <v>488</v>
      </c>
      <c r="K359">
        <v>29</v>
      </c>
      <c r="L359" s="3" t="s">
        <v>1036</v>
      </c>
      <c r="M359" s="4">
        <v>0</v>
      </c>
      <c r="N359" s="4">
        <v>0</v>
      </c>
      <c r="O359" s="4">
        <v>0</v>
      </c>
      <c r="P359" s="4">
        <v>0</v>
      </c>
      <c r="Q359" s="5" t="s">
        <v>1039</v>
      </c>
      <c r="Y359" t="s">
        <v>324</v>
      </c>
      <c r="Z359" s="2" t="s">
        <v>324</v>
      </c>
      <c r="AA359" t="s">
        <v>324</v>
      </c>
      <c r="AB359" t="s">
        <v>324</v>
      </c>
      <c r="AC359" t="s">
        <v>324</v>
      </c>
      <c r="AD359" t="s">
        <v>324</v>
      </c>
      <c r="AE359" t="s">
        <v>324</v>
      </c>
      <c r="AF359" t="s">
        <v>324</v>
      </c>
      <c r="AG359" s="2" t="s">
        <v>324</v>
      </c>
      <c r="AH359" t="s">
        <v>324</v>
      </c>
      <c r="AI359" t="s">
        <v>324</v>
      </c>
      <c r="AJ359" s="2" t="s">
        <v>324</v>
      </c>
      <c r="AK359" t="s">
        <v>324</v>
      </c>
      <c r="AL359" t="s">
        <v>324</v>
      </c>
      <c r="AM359" s="2" t="s">
        <v>324</v>
      </c>
      <c r="AN359" t="s">
        <v>324</v>
      </c>
      <c r="AO359" s="2" t="s">
        <v>324</v>
      </c>
      <c r="AP359" t="s">
        <v>324</v>
      </c>
      <c r="AQ359" s="2" t="s">
        <v>324</v>
      </c>
      <c r="AR359" t="s">
        <v>324</v>
      </c>
      <c r="AS359" s="2" t="s">
        <v>324</v>
      </c>
      <c r="AT359" t="s">
        <v>324</v>
      </c>
    </row>
    <row r="360" spans="1:46" ht="11.25">
      <c r="A360" t="str">
        <f>HYPERLINK("http://exon.niaid.nih.gov/transcriptome/Tx_amboinensis_sialome/Table_1/links/TX-contig_176.txt","TX-contig_176")</f>
        <v>TX-contig_176</v>
      </c>
      <c r="B360" t="str">
        <f>HYPERLINK("http://exon.niaid.nih.gov/transcriptome/Tx_amboinensis_sialome/Table_1/links/TX-5-90-90-asb-176.txt","Contig-176")</f>
        <v>Contig-176</v>
      </c>
      <c r="C360" t="str">
        <f>HYPERLINK("http://exon.niaid.nih.gov/transcriptome/Tx_amboinensis_sialome/Table_1/links/TX-5-90-90-176-CLU.txt","Contig176")</f>
        <v>Contig176</v>
      </c>
      <c r="D360" s="4">
        <v>1</v>
      </c>
      <c r="E360">
        <v>221</v>
      </c>
      <c r="F360" t="s">
        <v>322</v>
      </c>
      <c r="G360">
        <v>80.5</v>
      </c>
      <c r="H360">
        <v>97</v>
      </c>
      <c r="I360">
        <v>176</v>
      </c>
      <c r="J360" t="s">
        <v>489</v>
      </c>
      <c r="K360">
        <v>97</v>
      </c>
      <c r="L360" s="3" t="s">
        <v>1036</v>
      </c>
      <c r="M360" s="4">
        <v>0</v>
      </c>
      <c r="N360" s="4">
        <v>0</v>
      </c>
      <c r="O360" s="4">
        <v>0</v>
      </c>
      <c r="P360" s="4">
        <v>0</v>
      </c>
      <c r="Q360" s="5" t="s">
        <v>1039</v>
      </c>
      <c r="Y360" t="s">
        <v>324</v>
      </c>
      <c r="Z360" s="2" t="s">
        <v>324</v>
      </c>
      <c r="AA360" t="s">
        <v>324</v>
      </c>
      <c r="AB360" t="s">
        <v>324</v>
      </c>
      <c r="AC360" t="s">
        <v>324</v>
      </c>
      <c r="AD360" t="s">
        <v>324</v>
      </c>
      <c r="AE360" t="s">
        <v>324</v>
      </c>
      <c r="AF360" t="s">
        <v>324</v>
      </c>
      <c r="AG360" s="2" t="s">
        <v>324</v>
      </c>
      <c r="AH360" t="s">
        <v>324</v>
      </c>
      <c r="AI360" t="s">
        <v>324</v>
      </c>
      <c r="AJ360" s="2" t="s">
        <v>324</v>
      </c>
      <c r="AK360" t="s">
        <v>324</v>
      </c>
      <c r="AL360" t="s">
        <v>324</v>
      </c>
      <c r="AM360" s="2" t="s">
        <v>324</v>
      </c>
      <c r="AN360" t="s">
        <v>324</v>
      </c>
      <c r="AO360" s="2" t="str">
        <f>HYPERLINK("http://exon.niaid.nih.gov/transcriptome/Tx_amboinensis_sialome/Table_1/links/SMART\TX-contig_176-SMART.txt","PXA")</f>
        <v>PXA</v>
      </c>
      <c r="AP360" t="str">
        <f>HYPERLINK("http://smart.embl-heidelberg.de/smart/do_annotation.pl?DOMAIN=PXA&amp;BLAST=DUMMY","0.78")</f>
        <v>0.78</v>
      </c>
      <c r="AQ360" s="2" t="s">
        <v>324</v>
      </c>
      <c r="AR360" t="s">
        <v>324</v>
      </c>
      <c r="AS360" s="2" t="s">
        <v>324</v>
      </c>
      <c r="AT360" t="s">
        <v>324</v>
      </c>
    </row>
    <row r="361" spans="1:46" ht="11.25">
      <c r="A361" t="str">
        <f>HYPERLINK("http://exon.niaid.nih.gov/transcriptome/Tx_amboinensis_sialome/Table_1/links/TX-contig_179.txt","TX-contig_179")</f>
        <v>TX-contig_179</v>
      </c>
      <c r="B361" t="str">
        <f>HYPERLINK("http://exon.niaid.nih.gov/transcriptome/Tx_amboinensis_sialome/Table_1/links/TX-5-90-90-asb-179.txt","Contig-179")</f>
        <v>Contig-179</v>
      </c>
      <c r="C361" t="str">
        <f>HYPERLINK("http://exon.niaid.nih.gov/transcriptome/Tx_amboinensis_sialome/Table_1/links/TX-5-90-90-179-CLU.txt","Contig179")</f>
        <v>Contig179</v>
      </c>
      <c r="D361" s="4">
        <v>1</v>
      </c>
      <c r="E361">
        <v>115</v>
      </c>
      <c r="F361">
        <v>1.7</v>
      </c>
      <c r="G361">
        <v>97.4</v>
      </c>
      <c r="H361">
        <v>3</v>
      </c>
      <c r="I361">
        <v>179</v>
      </c>
      <c r="J361" t="s">
        <v>492</v>
      </c>
      <c r="K361">
        <v>3</v>
      </c>
      <c r="L361" s="3" t="s">
        <v>1036</v>
      </c>
      <c r="M361" s="4">
        <v>0</v>
      </c>
      <c r="N361" s="4">
        <v>0</v>
      </c>
      <c r="O361" s="4">
        <v>0</v>
      </c>
      <c r="P361" s="4">
        <v>0</v>
      </c>
      <c r="Q361" s="5" t="s">
        <v>1039</v>
      </c>
      <c r="Y361" t="s">
        <v>324</v>
      </c>
      <c r="Z361" s="2" t="s">
        <v>324</v>
      </c>
      <c r="AA361" t="s">
        <v>324</v>
      </c>
      <c r="AB361" t="s">
        <v>324</v>
      </c>
      <c r="AC361" t="s">
        <v>324</v>
      </c>
      <c r="AD361" t="s">
        <v>324</v>
      </c>
      <c r="AE361" t="s">
        <v>324</v>
      </c>
      <c r="AF361" t="s">
        <v>324</v>
      </c>
      <c r="AG361" s="2" t="s">
        <v>324</v>
      </c>
      <c r="AH361" t="s">
        <v>324</v>
      </c>
      <c r="AI361" t="s">
        <v>324</v>
      </c>
      <c r="AJ361" s="2" t="s">
        <v>324</v>
      </c>
      <c r="AK361" t="s">
        <v>324</v>
      </c>
      <c r="AL361" t="s">
        <v>324</v>
      </c>
      <c r="AM361" s="2" t="s">
        <v>324</v>
      </c>
      <c r="AN361" t="s">
        <v>324</v>
      </c>
      <c r="AO361" s="2" t="s">
        <v>324</v>
      </c>
      <c r="AP361" t="s">
        <v>324</v>
      </c>
      <c r="AQ361" s="2" t="s">
        <v>324</v>
      </c>
      <c r="AR361" t="s">
        <v>324</v>
      </c>
      <c r="AS361" s="2" t="s">
        <v>324</v>
      </c>
      <c r="AT361" t="s">
        <v>324</v>
      </c>
    </row>
    <row r="362" spans="1:46" ht="11.25">
      <c r="A362" t="str">
        <f>HYPERLINK("http://exon.niaid.nih.gov/transcriptome/Tx_amboinensis_sialome/Table_1/links/TX-contig_182.txt","TX-contig_182")</f>
        <v>TX-contig_182</v>
      </c>
      <c r="B362" t="str">
        <f>HYPERLINK("http://exon.niaid.nih.gov/transcriptome/Tx_amboinensis_sialome/Table_1/links/TX-5-90-90-asb-182.txt","Contig-182")</f>
        <v>Contig-182</v>
      </c>
      <c r="C362" t="str">
        <f>HYPERLINK("http://exon.niaid.nih.gov/transcriptome/Tx_amboinensis_sialome/Table_1/links/TX-5-90-90-182-CLU.txt","Contig182")</f>
        <v>Contig182</v>
      </c>
      <c r="D362" s="4">
        <v>1</v>
      </c>
      <c r="E362">
        <v>118</v>
      </c>
      <c r="F362" t="s">
        <v>322</v>
      </c>
      <c r="G362">
        <v>68.6</v>
      </c>
      <c r="H362">
        <v>99</v>
      </c>
      <c r="I362">
        <v>182</v>
      </c>
      <c r="J362" t="s">
        <v>495</v>
      </c>
      <c r="K362">
        <v>99</v>
      </c>
      <c r="L362" s="3" t="s">
        <v>1036</v>
      </c>
      <c r="M362" s="4">
        <v>0</v>
      </c>
      <c r="N362" s="4">
        <v>0</v>
      </c>
      <c r="O362" s="4">
        <v>0</v>
      </c>
      <c r="P362" s="4">
        <v>0</v>
      </c>
      <c r="Q362" s="5" t="s">
        <v>1039</v>
      </c>
      <c r="Y362" t="s">
        <v>324</v>
      </c>
      <c r="Z362" s="2" t="s">
        <v>324</v>
      </c>
      <c r="AA362" t="s">
        <v>324</v>
      </c>
      <c r="AB362" t="s">
        <v>324</v>
      </c>
      <c r="AC362" t="s">
        <v>324</v>
      </c>
      <c r="AD362" t="s">
        <v>324</v>
      </c>
      <c r="AE362" t="s">
        <v>324</v>
      </c>
      <c r="AF362" t="s">
        <v>324</v>
      </c>
      <c r="AG362" s="2" t="s">
        <v>324</v>
      </c>
      <c r="AH362" t="s">
        <v>324</v>
      </c>
      <c r="AI362" t="s">
        <v>324</v>
      </c>
      <c r="AJ362" s="2" t="s">
        <v>324</v>
      </c>
      <c r="AK362" t="s">
        <v>324</v>
      </c>
      <c r="AL362" t="s">
        <v>324</v>
      </c>
      <c r="AM362" s="2" t="s">
        <v>324</v>
      </c>
      <c r="AN362" t="s">
        <v>324</v>
      </c>
      <c r="AO362" s="2" t="str">
        <f>HYPERLINK("http://exon.niaid.nih.gov/transcriptome/Tx_amboinensis_sialome/Table_1/links/SMART\TX-contig_182-SMART.txt","TBOX")</f>
        <v>TBOX</v>
      </c>
      <c r="AP362" t="str">
        <f>HYPERLINK("http://smart.embl-heidelberg.de/smart/do_annotation.pl?DOMAIN=TBOX&amp;BLAST=DUMMY","0.085")</f>
        <v>0.085</v>
      </c>
      <c r="AQ362" s="2" t="s">
        <v>324</v>
      </c>
      <c r="AR362" t="s">
        <v>324</v>
      </c>
      <c r="AS362" s="2" t="s">
        <v>324</v>
      </c>
      <c r="AT362" t="s">
        <v>324</v>
      </c>
    </row>
    <row r="363" spans="1:46" ht="11.25">
      <c r="A363" t="str">
        <f>HYPERLINK("http://exon.niaid.nih.gov/transcriptome/Tx_amboinensis_sialome/Table_1/links/TX-contig_184.txt","TX-contig_184")</f>
        <v>TX-contig_184</v>
      </c>
      <c r="B363" t="str">
        <f>HYPERLINK("http://exon.niaid.nih.gov/transcriptome/Tx_amboinensis_sialome/Table_1/links/TX-5-90-90-asb-184.txt","Contig-184")</f>
        <v>Contig-184</v>
      </c>
      <c r="C363" t="str">
        <f>HYPERLINK("http://exon.niaid.nih.gov/transcriptome/Tx_amboinensis_sialome/Table_1/links/TX-5-90-90-184-CLU.txt","Contig184")</f>
        <v>Contig184</v>
      </c>
      <c r="D363" s="4">
        <v>1</v>
      </c>
      <c r="E363">
        <v>95</v>
      </c>
      <c r="F363">
        <v>4.2</v>
      </c>
      <c r="G363">
        <v>87.4</v>
      </c>
      <c r="H363">
        <v>12</v>
      </c>
      <c r="I363">
        <v>184</v>
      </c>
      <c r="J363" t="s">
        <v>497</v>
      </c>
      <c r="K363">
        <v>12</v>
      </c>
      <c r="L363" s="3" t="s">
        <v>1036</v>
      </c>
      <c r="M363" s="4">
        <v>0</v>
      </c>
      <c r="N363" s="4">
        <v>0</v>
      </c>
      <c r="O363" s="4">
        <v>0</v>
      </c>
      <c r="P363" s="4">
        <v>0</v>
      </c>
      <c r="Q363" s="5" t="s">
        <v>1039</v>
      </c>
      <c r="Y363" t="s">
        <v>324</v>
      </c>
      <c r="Z363" s="2" t="s">
        <v>324</v>
      </c>
      <c r="AA363" t="s">
        <v>324</v>
      </c>
      <c r="AB363" t="s">
        <v>324</v>
      </c>
      <c r="AC363" t="s">
        <v>324</v>
      </c>
      <c r="AD363" t="s">
        <v>324</v>
      </c>
      <c r="AE363" t="s">
        <v>324</v>
      </c>
      <c r="AF363" t="s">
        <v>324</v>
      </c>
      <c r="AG363" s="2" t="s">
        <v>324</v>
      </c>
      <c r="AH363" t="s">
        <v>324</v>
      </c>
      <c r="AI363" t="s">
        <v>324</v>
      </c>
      <c r="AJ363" s="2" t="s">
        <v>324</v>
      </c>
      <c r="AK363" t="s">
        <v>324</v>
      </c>
      <c r="AL363" t="s">
        <v>324</v>
      </c>
      <c r="AM363" s="2" t="s">
        <v>324</v>
      </c>
      <c r="AN363" t="s">
        <v>324</v>
      </c>
      <c r="AO363" s="2" t="s">
        <v>324</v>
      </c>
      <c r="AP363" t="s">
        <v>324</v>
      </c>
      <c r="AQ363" s="2" t="s">
        <v>324</v>
      </c>
      <c r="AR363" t="s">
        <v>324</v>
      </c>
      <c r="AS363" s="2" t="s">
        <v>324</v>
      </c>
      <c r="AT363" t="s">
        <v>324</v>
      </c>
    </row>
    <row r="364" spans="1:46" ht="11.25">
      <c r="A364" t="str">
        <f>HYPERLINK("http://exon.niaid.nih.gov/transcriptome/Tx_amboinensis_sialome/Table_1/links/TX-contig_185.txt","TX-contig_185")</f>
        <v>TX-contig_185</v>
      </c>
      <c r="B364" t="str">
        <f>HYPERLINK("http://exon.niaid.nih.gov/transcriptome/Tx_amboinensis_sialome/Table_1/links/TX-5-90-90-asb-185.txt","Contig-185")</f>
        <v>Contig-185</v>
      </c>
      <c r="C364" t="str">
        <f>HYPERLINK("http://exon.niaid.nih.gov/transcriptome/Tx_amboinensis_sialome/Table_1/links/TX-5-90-90-185-CLU.txt","Contig185")</f>
        <v>Contig185</v>
      </c>
      <c r="D364" s="4">
        <v>1</v>
      </c>
      <c r="E364">
        <v>148</v>
      </c>
      <c r="F364">
        <v>0.7</v>
      </c>
      <c r="G364">
        <v>67.6</v>
      </c>
      <c r="H364">
        <v>129</v>
      </c>
      <c r="I364">
        <v>185</v>
      </c>
      <c r="J364" t="s">
        <v>498</v>
      </c>
      <c r="K364">
        <v>129</v>
      </c>
      <c r="L364" s="3" t="s">
        <v>1036</v>
      </c>
      <c r="M364" s="4">
        <v>0</v>
      </c>
      <c r="N364" s="4">
        <v>0</v>
      </c>
      <c r="O364" s="4">
        <v>0</v>
      </c>
      <c r="P364" s="4">
        <v>0</v>
      </c>
      <c r="Q364" s="5" t="s">
        <v>1039</v>
      </c>
      <c r="R364" s="2" t="str">
        <f>HYPERLINK("http://exon.niaid.nih.gov/transcriptome/Tx_amboinensis_sialome/Table_1/links/NR\TX-contig_185-NR.txt","putative radical-forming protein [M")</f>
        <v>putative radical-forming protein [M</v>
      </c>
      <c r="S364" s="4" t="str">
        <f>HYPERLINK("http://www.ncbi.nlm.nih.gov/sutils/blink.cgi?pid=21226710","16")</f>
        <v>16</v>
      </c>
      <c r="T364" t="s">
        <v>199</v>
      </c>
      <c r="U364" s="4">
        <v>50</v>
      </c>
      <c r="V364" s="4">
        <v>8</v>
      </c>
      <c r="W364" t="s">
        <v>200</v>
      </c>
      <c r="X364" t="s">
        <v>201</v>
      </c>
      <c r="Y364" t="s">
        <v>324</v>
      </c>
      <c r="Z364" s="2" t="s">
        <v>324</v>
      </c>
      <c r="AA364" t="s">
        <v>324</v>
      </c>
      <c r="AB364" t="s">
        <v>324</v>
      </c>
      <c r="AC364" t="s">
        <v>324</v>
      </c>
      <c r="AD364" t="s">
        <v>324</v>
      </c>
      <c r="AE364" t="s">
        <v>324</v>
      </c>
      <c r="AF364" t="s">
        <v>324</v>
      </c>
      <c r="AG364" s="2" t="s">
        <v>324</v>
      </c>
      <c r="AH364" t="s">
        <v>324</v>
      </c>
      <c r="AI364" t="s">
        <v>324</v>
      </c>
      <c r="AJ364" s="2" t="s">
        <v>324</v>
      </c>
      <c r="AK364" t="s">
        <v>324</v>
      </c>
      <c r="AL364" t="s">
        <v>324</v>
      </c>
      <c r="AM364" s="2" t="s">
        <v>324</v>
      </c>
      <c r="AN364" t="s">
        <v>324</v>
      </c>
      <c r="AO364" s="2" t="str">
        <f>HYPERLINK("http://exon.niaid.nih.gov/transcriptome/Tx_amboinensis_sialome/Table_1/links/SMART\TX-contig_185-SMART.txt","DEXDc2")</f>
        <v>DEXDc2</v>
      </c>
      <c r="AP364" t="str">
        <f>HYPERLINK("http://smart.embl-heidelberg.de/smart/do_annotation.pl?DOMAIN=DEXDc2&amp;BLAST=DUMMY","0.089")</f>
        <v>0.089</v>
      </c>
      <c r="AQ364" s="2" t="s">
        <v>324</v>
      </c>
      <c r="AR364" t="s">
        <v>324</v>
      </c>
      <c r="AS364" s="2" t="s">
        <v>324</v>
      </c>
      <c r="AT364" t="s">
        <v>324</v>
      </c>
    </row>
    <row r="365" spans="1:46" ht="11.25">
      <c r="A365" t="str">
        <f>HYPERLINK("http://exon.niaid.nih.gov/transcriptome/Tx_amboinensis_sialome/Table_1/links/TX-contig_188.txt","TX-contig_188")</f>
        <v>TX-contig_188</v>
      </c>
      <c r="B365" t="str">
        <f>HYPERLINK("http://exon.niaid.nih.gov/transcriptome/Tx_amboinensis_sialome/Table_1/links/TX-5-90-90-asb-188.txt","Contig-188")</f>
        <v>Contig-188</v>
      </c>
      <c r="C365" t="str">
        <f>HYPERLINK("http://exon.niaid.nih.gov/transcriptome/Tx_amboinensis_sialome/Table_1/links/TX-5-90-90-188-CLU.txt","Contig188")</f>
        <v>Contig188</v>
      </c>
      <c r="D365" s="4">
        <v>1</v>
      </c>
      <c r="E365">
        <v>104</v>
      </c>
      <c r="F365" t="s">
        <v>322</v>
      </c>
      <c r="G365">
        <v>73.1</v>
      </c>
      <c r="H365">
        <v>77</v>
      </c>
      <c r="I365">
        <v>188</v>
      </c>
      <c r="J365" t="s">
        <v>501</v>
      </c>
      <c r="K365">
        <v>77</v>
      </c>
      <c r="L365" s="3" t="s">
        <v>1036</v>
      </c>
      <c r="M365" s="4">
        <v>0</v>
      </c>
      <c r="N365" s="4">
        <v>0</v>
      </c>
      <c r="O365" s="4">
        <v>0</v>
      </c>
      <c r="P365" s="4">
        <v>0</v>
      </c>
      <c r="Q365" s="5" t="s">
        <v>1039</v>
      </c>
      <c r="Y365" t="s">
        <v>324</v>
      </c>
      <c r="Z365" s="2" t="s">
        <v>324</v>
      </c>
      <c r="AA365" t="s">
        <v>324</v>
      </c>
      <c r="AB365" t="s">
        <v>324</v>
      </c>
      <c r="AC365" t="s">
        <v>324</v>
      </c>
      <c r="AD365" t="s">
        <v>324</v>
      </c>
      <c r="AE365" t="s">
        <v>324</v>
      </c>
      <c r="AF365" t="s">
        <v>324</v>
      </c>
      <c r="AG365" s="2" t="s">
        <v>324</v>
      </c>
      <c r="AH365" t="s">
        <v>324</v>
      </c>
      <c r="AI365" t="s">
        <v>324</v>
      </c>
      <c r="AJ365" s="2" t="s">
        <v>324</v>
      </c>
      <c r="AK365" t="s">
        <v>324</v>
      </c>
      <c r="AL365" t="s">
        <v>324</v>
      </c>
      <c r="AM365" s="2" t="s">
        <v>324</v>
      </c>
      <c r="AN365" t="s">
        <v>324</v>
      </c>
      <c r="AO365" s="2" t="str">
        <f>HYPERLINK("http://exon.niaid.nih.gov/transcriptome/Tx_amboinensis_sialome/Table_1/links/SMART\TX-contig_188-SMART.txt","PTPc")</f>
        <v>PTPc</v>
      </c>
      <c r="AP365" t="str">
        <f>HYPERLINK("http://smart.embl-heidelberg.de/smart/do_annotation.pl?DOMAIN=PTPc&amp;BLAST=DUMMY","0.58")</f>
        <v>0.58</v>
      </c>
      <c r="AQ365" s="2" t="s">
        <v>324</v>
      </c>
      <c r="AR365" t="s">
        <v>324</v>
      </c>
      <c r="AS365" s="2" t="s">
        <v>324</v>
      </c>
      <c r="AT365" t="s">
        <v>324</v>
      </c>
    </row>
    <row r="366" spans="1:46" ht="11.25">
      <c r="A366" t="str">
        <f>HYPERLINK("http://exon.niaid.nih.gov/transcriptome/Tx_amboinensis_sialome/Table_1/links/TX-contig_189.txt","TX-contig_189")</f>
        <v>TX-contig_189</v>
      </c>
      <c r="B366" t="str">
        <f>HYPERLINK("http://exon.niaid.nih.gov/transcriptome/Tx_amboinensis_sialome/Table_1/links/TX-5-90-90-asb-189.txt","Contig-189")</f>
        <v>Contig-189</v>
      </c>
      <c r="C366" t="str">
        <f>HYPERLINK("http://exon.niaid.nih.gov/transcriptome/Tx_amboinensis_sialome/Table_1/links/TX-5-90-90-189-CLU.txt","Contig189")</f>
        <v>Contig189</v>
      </c>
      <c r="D366" s="4">
        <v>1</v>
      </c>
      <c r="E366">
        <v>97</v>
      </c>
      <c r="F366" t="s">
        <v>322</v>
      </c>
      <c r="G366">
        <v>83.5</v>
      </c>
      <c r="H366">
        <v>69</v>
      </c>
      <c r="I366">
        <v>189</v>
      </c>
      <c r="J366" t="s">
        <v>502</v>
      </c>
      <c r="K366">
        <v>69</v>
      </c>
      <c r="L366" s="3" t="s">
        <v>1036</v>
      </c>
      <c r="M366" s="4">
        <v>0</v>
      </c>
      <c r="N366" s="4">
        <v>0</v>
      </c>
      <c r="O366" s="4">
        <v>0</v>
      </c>
      <c r="P366" s="4">
        <v>0</v>
      </c>
      <c r="Q366" s="5" t="s">
        <v>1039</v>
      </c>
      <c r="Y366" t="s">
        <v>324</v>
      </c>
      <c r="Z366" s="2" t="s">
        <v>324</v>
      </c>
      <c r="AA366" t="s">
        <v>324</v>
      </c>
      <c r="AB366" t="s">
        <v>324</v>
      </c>
      <c r="AC366" t="s">
        <v>324</v>
      </c>
      <c r="AD366" t="s">
        <v>324</v>
      </c>
      <c r="AE366" t="s">
        <v>324</v>
      </c>
      <c r="AF366" t="s">
        <v>324</v>
      </c>
      <c r="AG366" s="2" t="s">
        <v>324</v>
      </c>
      <c r="AH366" t="s">
        <v>324</v>
      </c>
      <c r="AI366" t="s">
        <v>324</v>
      </c>
      <c r="AJ366" s="2" t="s">
        <v>324</v>
      </c>
      <c r="AK366" t="s">
        <v>324</v>
      </c>
      <c r="AL366" t="s">
        <v>324</v>
      </c>
      <c r="AM366" s="2" t="s">
        <v>324</v>
      </c>
      <c r="AN366" t="s">
        <v>324</v>
      </c>
      <c r="AO366" s="2" t="s">
        <v>324</v>
      </c>
      <c r="AP366" t="s">
        <v>324</v>
      </c>
      <c r="AQ366" s="2" t="s">
        <v>324</v>
      </c>
      <c r="AR366" t="s">
        <v>324</v>
      </c>
      <c r="AS366" s="2" t="s">
        <v>324</v>
      </c>
      <c r="AT366" t="s">
        <v>324</v>
      </c>
    </row>
    <row r="367" spans="1:46" ht="11.25">
      <c r="A367" t="str">
        <f>HYPERLINK("http://exon.niaid.nih.gov/transcriptome/Tx_amboinensis_sialome/Table_1/links/TX-contig_190.txt","TX-contig_190")</f>
        <v>TX-contig_190</v>
      </c>
      <c r="B367" t="str">
        <f>HYPERLINK("http://exon.niaid.nih.gov/transcriptome/Tx_amboinensis_sialome/Table_1/links/TX-5-90-90-asb-190.txt","Contig-190")</f>
        <v>Contig-190</v>
      </c>
      <c r="C367" t="str">
        <f>HYPERLINK("http://exon.niaid.nih.gov/transcriptome/Tx_amboinensis_sialome/Table_1/links/TX-5-90-90-190-CLU.txt","Contig190")</f>
        <v>Contig190</v>
      </c>
      <c r="D367" s="4">
        <v>1</v>
      </c>
      <c r="E367">
        <v>149</v>
      </c>
      <c r="F367">
        <v>2</v>
      </c>
      <c r="G367">
        <v>77.9</v>
      </c>
      <c r="H367">
        <v>58</v>
      </c>
      <c r="I367">
        <v>190</v>
      </c>
      <c r="J367" t="s">
        <v>503</v>
      </c>
      <c r="K367">
        <v>58</v>
      </c>
      <c r="L367" s="3" t="s">
        <v>1036</v>
      </c>
      <c r="M367" s="4">
        <v>0</v>
      </c>
      <c r="N367" s="4">
        <v>0</v>
      </c>
      <c r="O367" s="4">
        <v>0</v>
      </c>
      <c r="P367" s="4">
        <v>0</v>
      </c>
      <c r="Q367" s="5" t="s">
        <v>1039</v>
      </c>
      <c r="Y367" t="s">
        <v>324</v>
      </c>
      <c r="Z367" s="2" t="s">
        <v>324</v>
      </c>
      <c r="AA367" t="s">
        <v>324</v>
      </c>
      <c r="AB367" t="s">
        <v>324</v>
      </c>
      <c r="AC367" t="s">
        <v>324</v>
      </c>
      <c r="AD367" t="s">
        <v>324</v>
      </c>
      <c r="AE367" t="s">
        <v>324</v>
      </c>
      <c r="AF367" t="s">
        <v>324</v>
      </c>
      <c r="AG367" s="2" t="s">
        <v>324</v>
      </c>
      <c r="AH367" t="s">
        <v>324</v>
      </c>
      <c r="AI367" t="s">
        <v>324</v>
      </c>
      <c r="AJ367" s="2" t="s">
        <v>324</v>
      </c>
      <c r="AK367" t="s">
        <v>324</v>
      </c>
      <c r="AL367" t="s">
        <v>324</v>
      </c>
      <c r="AM367" s="2" t="s">
        <v>324</v>
      </c>
      <c r="AN367" t="s">
        <v>324</v>
      </c>
      <c r="AO367" s="2" t="s">
        <v>324</v>
      </c>
      <c r="AP367" t="s">
        <v>324</v>
      </c>
      <c r="AQ367" s="2" t="s">
        <v>324</v>
      </c>
      <c r="AR367" t="s">
        <v>324</v>
      </c>
      <c r="AS367" s="2" t="s">
        <v>324</v>
      </c>
      <c r="AT367" t="s">
        <v>324</v>
      </c>
    </row>
    <row r="368" spans="1:46" ht="11.25">
      <c r="A368" t="str">
        <f>HYPERLINK("http://exon.niaid.nih.gov/transcriptome/Tx_amboinensis_sialome/Table_1/links/TX-contig_191.txt","TX-contig_191")</f>
        <v>TX-contig_191</v>
      </c>
      <c r="B368" t="str">
        <f>HYPERLINK("http://exon.niaid.nih.gov/transcriptome/Tx_amboinensis_sialome/Table_1/links/TX-5-90-90-asb-191.txt","Contig-191")</f>
        <v>Contig-191</v>
      </c>
      <c r="C368" t="str">
        <f>HYPERLINK("http://exon.niaid.nih.gov/transcriptome/Tx_amboinensis_sialome/Table_1/links/TX-5-90-90-191-CLU.txt","Contig191")</f>
        <v>Contig191</v>
      </c>
      <c r="D368" s="4">
        <v>1</v>
      </c>
      <c r="E368">
        <v>156</v>
      </c>
      <c r="F368">
        <v>1.3</v>
      </c>
      <c r="G368">
        <v>69.9</v>
      </c>
      <c r="H368">
        <v>111</v>
      </c>
      <c r="I368">
        <v>191</v>
      </c>
      <c r="J368" t="s">
        <v>504</v>
      </c>
      <c r="K368">
        <v>111</v>
      </c>
      <c r="L368" s="3" t="s">
        <v>1036</v>
      </c>
      <c r="M368" s="4">
        <v>0</v>
      </c>
      <c r="N368" s="4">
        <v>0</v>
      </c>
      <c r="O368" s="4">
        <v>0</v>
      </c>
      <c r="P368" s="4">
        <v>0</v>
      </c>
      <c r="Q368" s="5" t="s">
        <v>1039</v>
      </c>
      <c r="Y368" t="s">
        <v>324</v>
      </c>
      <c r="Z368" s="2" t="s">
        <v>324</v>
      </c>
      <c r="AA368" t="s">
        <v>324</v>
      </c>
      <c r="AB368" t="s">
        <v>324</v>
      </c>
      <c r="AC368" t="s">
        <v>324</v>
      </c>
      <c r="AD368" t="s">
        <v>324</v>
      </c>
      <c r="AE368" t="s">
        <v>324</v>
      </c>
      <c r="AF368" t="s">
        <v>324</v>
      </c>
      <c r="AG368" s="2" t="s">
        <v>324</v>
      </c>
      <c r="AH368" t="s">
        <v>324</v>
      </c>
      <c r="AI368" t="s">
        <v>324</v>
      </c>
      <c r="AJ368" s="2" t="s">
        <v>324</v>
      </c>
      <c r="AK368" t="s">
        <v>324</v>
      </c>
      <c r="AL368" t="s">
        <v>324</v>
      </c>
      <c r="AM368" s="2" t="s">
        <v>324</v>
      </c>
      <c r="AN368" t="s">
        <v>324</v>
      </c>
      <c r="AO368" s="2" t="str">
        <f>HYPERLINK("http://exon.niaid.nih.gov/transcriptome/Tx_amboinensis_sialome/Table_1/links/SMART\TX-contig_191-SMART.txt","XPGN")</f>
        <v>XPGN</v>
      </c>
      <c r="AP368" t="str">
        <f>HYPERLINK("http://smart.embl-heidelberg.de/smart/do_annotation.pl?DOMAIN=XPGN&amp;BLAST=DUMMY","0.71")</f>
        <v>0.71</v>
      </c>
      <c r="AQ368" s="2" t="s">
        <v>324</v>
      </c>
      <c r="AR368" t="s">
        <v>324</v>
      </c>
      <c r="AS368" s="2" t="s">
        <v>324</v>
      </c>
      <c r="AT368" t="s">
        <v>324</v>
      </c>
    </row>
    <row r="369" spans="1:46" ht="11.25">
      <c r="A369" t="str">
        <f>HYPERLINK("http://exon.niaid.nih.gov/transcriptome/Tx_amboinensis_sialome/Table_1/links/TX-contig_194.txt","TX-contig_194")</f>
        <v>TX-contig_194</v>
      </c>
      <c r="B369" t="str">
        <f>HYPERLINK("http://exon.niaid.nih.gov/transcriptome/Tx_amboinensis_sialome/Table_1/links/TX-5-90-90-asb-194.txt","Contig-194")</f>
        <v>Contig-194</v>
      </c>
      <c r="C369" t="str">
        <f>HYPERLINK("http://exon.niaid.nih.gov/transcriptome/Tx_amboinensis_sialome/Table_1/links/TX-5-90-90-194-CLU.txt","Contig194")</f>
        <v>Contig194</v>
      </c>
      <c r="D369" s="4">
        <v>1</v>
      </c>
      <c r="E369">
        <v>114</v>
      </c>
      <c r="F369">
        <v>0.9</v>
      </c>
      <c r="G369">
        <v>64</v>
      </c>
      <c r="H369">
        <v>95</v>
      </c>
      <c r="I369">
        <v>194</v>
      </c>
      <c r="J369" t="s">
        <v>507</v>
      </c>
      <c r="K369">
        <v>95</v>
      </c>
      <c r="L369" s="3" t="s">
        <v>1036</v>
      </c>
      <c r="M369" s="4">
        <v>0</v>
      </c>
      <c r="N369" s="4">
        <v>0</v>
      </c>
      <c r="O369" s="4">
        <v>0</v>
      </c>
      <c r="P369" s="4">
        <v>0</v>
      </c>
      <c r="Q369" s="5" t="s">
        <v>1039</v>
      </c>
      <c r="Y369" t="s">
        <v>324</v>
      </c>
      <c r="Z369" s="2" t="s">
        <v>324</v>
      </c>
      <c r="AA369" t="s">
        <v>324</v>
      </c>
      <c r="AB369" t="s">
        <v>324</v>
      </c>
      <c r="AC369" t="s">
        <v>324</v>
      </c>
      <c r="AD369" t="s">
        <v>324</v>
      </c>
      <c r="AE369" t="s">
        <v>324</v>
      </c>
      <c r="AF369" t="s">
        <v>324</v>
      </c>
      <c r="AG369" s="2" t="s">
        <v>324</v>
      </c>
      <c r="AH369" t="s">
        <v>324</v>
      </c>
      <c r="AI369" t="s">
        <v>324</v>
      </c>
      <c r="AJ369" s="2" t="s">
        <v>324</v>
      </c>
      <c r="AK369" t="s">
        <v>324</v>
      </c>
      <c r="AL369" t="s">
        <v>324</v>
      </c>
      <c r="AM369" s="2" t="s">
        <v>324</v>
      </c>
      <c r="AN369" t="s">
        <v>324</v>
      </c>
      <c r="AO369" s="2" t="str">
        <f>HYPERLINK("http://exon.niaid.nih.gov/transcriptome/Tx_amboinensis_sialome/Table_1/links/SMART\TX-contig_194-SMART.txt","UBX")</f>
        <v>UBX</v>
      </c>
      <c r="AP369" t="str">
        <f>HYPERLINK("http://smart.embl-heidelberg.de/smart/do_annotation.pl?DOMAIN=UBX&amp;BLAST=DUMMY","0.43")</f>
        <v>0.43</v>
      </c>
      <c r="AQ369" s="2" t="s">
        <v>324</v>
      </c>
      <c r="AR369" t="s">
        <v>324</v>
      </c>
      <c r="AS369" s="2" t="s">
        <v>324</v>
      </c>
      <c r="AT369" t="s">
        <v>324</v>
      </c>
    </row>
    <row r="370" spans="1:46" ht="11.25">
      <c r="A370" t="str">
        <f>HYPERLINK("http://exon.niaid.nih.gov/transcriptome/Tx_amboinensis_sialome/Table_1/links/TX-contig_195.txt","TX-contig_195")</f>
        <v>TX-contig_195</v>
      </c>
      <c r="B370" t="str">
        <f>HYPERLINK("http://exon.niaid.nih.gov/transcriptome/Tx_amboinensis_sialome/Table_1/links/TX-5-90-90-asb-195.txt","Contig-195")</f>
        <v>Contig-195</v>
      </c>
      <c r="C370" t="str">
        <f>HYPERLINK("http://exon.niaid.nih.gov/transcriptome/Tx_amboinensis_sialome/Table_1/links/TX-5-90-90-195-CLU.txt","Contig195")</f>
        <v>Contig195</v>
      </c>
      <c r="D370" s="4">
        <v>1</v>
      </c>
      <c r="E370">
        <v>117</v>
      </c>
      <c r="F370">
        <v>3.4</v>
      </c>
      <c r="G370">
        <v>95.7</v>
      </c>
      <c r="H370">
        <v>1</v>
      </c>
      <c r="I370">
        <v>195</v>
      </c>
      <c r="J370" t="s">
        <v>508</v>
      </c>
      <c r="K370">
        <v>1</v>
      </c>
      <c r="L370" s="3" t="s">
        <v>1036</v>
      </c>
      <c r="M370" s="4">
        <v>0</v>
      </c>
      <c r="N370" s="4">
        <v>0</v>
      </c>
      <c r="O370" s="4">
        <v>0</v>
      </c>
      <c r="P370" s="4">
        <v>0</v>
      </c>
      <c r="Q370" s="5" t="s">
        <v>1039</v>
      </c>
      <c r="Y370" t="s">
        <v>324</v>
      </c>
      <c r="Z370" s="2" t="s">
        <v>324</v>
      </c>
      <c r="AA370" t="s">
        <v>324</v>
      </c>
      <c r="AB370" t="s">
        <v>324</v>
      </c>
      <c r="AC370" t="s">
        <v>324</v>
      </c>
      <c r="AD370" t="s">
        <v>324</v>
      </c>
      <c r="AE370" t="s">
        <v>324</v>
      </c>
      <c r="AF370" t="s">
        <v>324</v>
      </c>
      <c r="AG370" s="2" t="s">
        <v>324</v>
      </c>
      <c r="AH370" t="s">
        <v>324</v>
      </c>
      <c r="AI370" t="s">
        <v>324</v>
      </c>
      <c r="AJ370" s="2" t="s">
        <v>324</v>
      </c>
      <c r="AK370" t="s">
        <v>324</v>
      </c>
      <c r="AL370" t="s">
        <v>324</v>
      </c>
      <c r="AM370" s="2" t="s">
        <v>324</v>
      </c>
      <c r="AN370" t="s">
        <v>324</v>
      </c>
      <c r="AO370" s="2" t="s">
        <v>324</v>
      </c>
      <c r="AP370" t="s">
        <v>324</v>
      </c>
      <c r="AQ370" s="2" t="s">
        <v>324</v>
      </c>
      <c r="AR370" t="s">
        <v>324</v>
      </c>
      <c r="AS370" s="2" t="s">
        <v>324</v>
      </c>
      <c r="AT370" t="s">
        <v>324</v>
      </c>
    </row>
    <row r="371" spans="1:46" ht="11.25">
      <c r="A371" t="str">
        <f>HYPERLINK("http://exon.niaid.nih.gov/transcriptome/Tx_amboinensis_sialome/Table_1/links/TX-contig_200.txt","TX-contig_200")</f>
        <v>TX-contig_200</v>
      </c>
      <c r="B371" t="str">
        <f>HYPERLINK("http://exon.niaid.nih.gov/transcriptome/Tx_amboinensis_sialome/Table_1/links/TX-5-90-90-asb-200.txt","Contig-200")</f>
        <v>Contig-200</v>
      </c>
      <c r="C371" t="str">
        <f>HYPERLINK("http://exon.niaid.nih.gov/transcriptome/Tx_amboinensis_sialome/Table_1/links/TX-5-90-90-200-CLU.txt","Contig200")</f>
        <v>Contig200</v>
      </c>
      <c r="D371" s="4">
        <v>1</v>
      </c>
      <c r="E371">
        <v>96</v>
      </c>
      <c r="F371" t="s">
        <v>322</v>
      </c>
      <c r="G371">
        <v>84.4</v>
      </c>
      <c r="H371">
        <v>56</v>
      </c>
      <c r="I371">
        <v>200</v>
      </c>
      <c r="J371" t="s">
        <v>513</v>
      </c>
      <c r="K371">
        <v>56</v>
      </c>
      <c r="L371" s="3" t="s">
        <v>1036</v>
      </c>
      <c r="M371" s="4">
        <v>0</v>
      </c>
      <c r="N371" s="4">
        <v>0</v>
      </c>
      <c r="O371" s="4">
        <v>0</v>
      </c>
      <c r="P371" s="4">
        <v>0</v>
      </c>
      <c r="Q371" s="5" t="s">
        <v>1039</v>
      </c>
      <c r="Y371" t="s">
        <v>324</v>
      </c>
      <c r="Z371" s="2" t="s">
        <v>324</v>
      </c>
      <c r="AA371" t="s">
        <v>324</v>
      </c>
      <c r="AB371" t="s">
        <v>324</v>
      </c>
      <c r="AC371" t="s">
        <v>324</v>
      </c>
      <c r="AD371" t="s">
        <v>324</v>
      </c>
      <c r="AE371" t="s">
        <v>324</v>
      </c>
      <c r="AF371" t="s">
        <v>324</v>
      </c>
      <c r="AG371" s="2" t="s">
        <v>324</v>
      </c>
      <c r="AH371" t="s">
        <v>324</v>
      </c>
      <c r="AI371" t="s">
        <v>324</v>
      </c>
      <c r="AJ371" s="2" t="str">
        <f>HYPERLINK("http://exon.niaid.nih.gov/transcriptome/Tx_amboinensis_sialome/Table_1/links/CDD\TX-contig_200-CDD.txt","Cyt_c_Oxidase_I")</f>
        <v>Cyt_c_Oxidase_I</v>
      </c>
      <c r="AK371" t="str">
        <f>HYPERLINK("http://www.ncbi.nlm.nih.gov/Structure/cdd/cddsrv.cgi?uid=cd01663&amp;version=v4.0","0.76")</f>
        <v>0.76</v>
      </c>
      <c r="AL371" t="s">
        <v>878</v>
      </c>
      <c r="AM371" s="2" t="s">
        <v>324</v>
      </c>
      <c r="AN371" t="s">
        <v>324</v>
      </c>
      <c r="AO371" s="2" t="s">
        <v>324</v>
      </c>
      <c r="AP371" t="s">
        <v>324</v>
      </c>
      <c r="AQ371" s="2" t="s">
        <v>324</v>
      </c>
      <c r="AR371" t="s">
        <v>324</v>
      </c>
      <c r="AS371" s="2" t="s">
        <v>324</v>
      </c>
      <c r="AT371" t="s">
        <v>324</v>
      </c>
    </row>
    <row r="372" spans="1:46" ht="11.25">
      <c r="A372" t="str">
        <f>HYPERLINK("http://exon.niaid.nih.gov/transcriptome/Tx_amboinensis_sialome/Table_1/links/TX-contig_203.txt","TX-contig_203")</f>
        <v>TX-contig_203</v>
      </c>
      <c r="B372" t="str">
        <f>HYPERLINK("http://exon.niaid.nih.gov/transcriptome/Tx_amboinensis_sialome/Table_1/links/TX-5-90-90-asb-203.txt","Contig-203")</f>
        <v>Contig-203</v>
      </c>
      <c r="C372" t="str">
        <f>HYPERLINK("http://exon.niaid.nih.gov/transcriptome/Tx_amboinensis_sialome/Table_1/links/TX-5-90-90-203-CLU.txt","Contig203")</f>
        <v>Contig203</v>
      </c>
      <c r="D372" s="4">
        <v>1</v>
      </c>
      <c r="E372">
        <v>113</v>
      </c>
      <c r="F372">
        <v>2.7</v>
      </c>
      <c r="G372">
        <v>92.9</v>
      </c>
      <c r="H372">
        <v>11</v>
      </c>
      <c r="I372">
        <v>203</v>
      </c>
      <c r="J372" t="s">
        <v>516</v>
      </c>
      <c r="K372">
        <v>11</v>
      </c>
      <c r="L372" s="3" t="s">
        <v>1036</v>
      </c>
      <c r="M372" s="4">
        <v>0</v>
      </c>
      <c r="N372" s="4">
        <v>0</v>
      </c>
      <c r="O372" s="4">
        <v>0</v>
      </c>
      <c r="P372" s="4">
        <v>0</v>
      </c>
      <c r="Q372" s="5" t="s">
        <v>1039</v>
      </c>
      <c r="Y372" t="s">
        <v>324</v>
      </c>
      <c r="Z372" s="2" t="s">
        <v>324</v>
      </c>
      <c r="AA372" t="s">
        <v>324</v>
      </c>
      <c r="AB372" t="s">
        <v>324</v>
      </c>
      <c r="AC372" t="s">
        <v>324</v>
      </c>
      <c r="AD372" t="s">
        <v>324</v>
      </c>
      <c r="AE372" t="s">
        <v>324</v>
      </c>
      <c r="AF372" t="s">
        <v>324</v>
      </c>
      <c r="AG372" s="2" t="s">
        <v>324</v>
      </c>
      <c r="AH372" t="s">
        <v>324</v>
      </c>
      <c r="AI372" t="s">
        <v>324</v>
      </c>
      <c r="AJ372" s="2" t="s">
        <v>324</v>
      </c>
      <c r="AK372" t="s">
        <v>324</v>
      </c>
      <c r="AL372" t="s">
        <v>324</v>
      </c>
      <c r="AM372" s="2" t="s">
        <v>324</v>
      </c>
      <c r="AN372" t="s">
        <v>324</v>
      </c>
      <c r="AO372" s="2" t="s">
        <v>324</v>
      </c>
      <c r="AP372" t="s">
        <v>324</v>
      </c>
      <c r="AQ372" s="2" t="s">
        <v>324</v>
      </c>
      <c r="AR372" t="s">
        <v>324</v>
      </c>
      <c r="AS372" s="2" t="s">
        <v>324</v>
      </c>
      <c r="AT372" t="s">
        <v>324</v>
      </c>
    </row>
    <row r="373" spans="1:46" ht="11.25">
      <c r="A373" t="str">
        <f>HYPERLINK("http://exon.niaid.nih.gov/transcriptome/Tx_amboinensis_sialome/Table_1/links/TX-contig_206.txt","TX-contig_206")</f>
        <v>TX-contig_206</v>
      </c>
      <c r="B373" t="str">
        <f>HYPERLINK("http://exon.niaid.nih.gov/transcriptome/Tx_amboinensis_sialome/Table_1/links/TX-5-90-90-asb-206.txt","Contig-206")</f>
        <v>Contig-206</v>
      </c>
      <c r="C373" t="str">
        <f>HYPERLINK("http://exon.niaid.nih.gov/transcriptome/Tx_amboinensis_sialome/Table_1/links/TX-5-90-90-206-CLU.txt","Contig206")</f>
        <v>Contig206</v>
      </c>
      <c r="D373" s="4">
        <v>1</v>
      </c>
      <c r="E373">
        <v>140</v>
      </c>
      <c r="F373">
        <v>0.7</v>
      </c>
      <c r="G373">
        <v>69.3</v>
      </c>
      <c r="H373">
        <v>121</v>
      </c>
      <c r="I373">
        <v>206</v>
      </c>
      <c r="J373" t="s">
        <v>519</v>
      </c>
      <c r="K373">
        <v>121</v>
      </c>
      <c r="L373" s="3" t="s">
        <v>1036</v>
      </c>
      <c r="M373" s="4">
        <v>0</v>
      </c>
      <c r="N373" s="4">
        <v>0</v>
      </c>
      <c r="O373" s="4">
        <v>0</v>
      </c>
      <c r="P373" s="4">
        <v>0</v>
      </c>
      <c r="Q373" s="5" t="s">
        <v>1039</v>
      </c>
      <c r="Y373" t="s">
        <v>324</v>
      </c>
      <c r="Z373" s="2" t="s">
        <v>324</v>
      </c>
      <c r="AA373" t="s">
        <v>324</v>
      </c>
      <c r="AB373" t="s">
        <v>324</v>
      </c>
      <c r="AC373" t="s">
        <v>324</v>
      </c>
      <c r="AD373" t="s">
        <v>324</v>
      </c>
      <c r="AE373" t="s">
        <v>324</v>
      </c>
      <c r="AF373" t="s">
        <v>324</v>
      </c>
      <c r="AG373" s="2" t="s">
        <v>324</v>
      </c>
      <c r="AH373" t="s">
        <v>324</v>
      </c>
      <c r="AI373" t="s">
        <v>324</v>
      </c>
      <c r="AJ373" s="2" t="s">
        <v>324</v>
      </c>
      <c r="AK373" t="s">
        <v>324</v>
      </c>
      <c r="AL373" t="s">
        <v>324</v>
      </c>
      <c r="AM373" s="2" t="s">
        <v>324</v>
      </c>
      <c r="AN373" t="s">
        <v>324</v>
      </c>
      <c r="AO373" s="2" t="str">
        <f>HYPERLINK("http://exon.niaid.nih.gov/transcriptome/Tx_amboinensis_sialome/Table_1/links/SMART\TX-contig_206-SMART.txt","STE")</f>
        <v>STE</v>
      </c>
      <c r="AP373" t="str">
        <f>HYPERLINK("http://smart.embl-heidelberg.de/smart/do_annotation.pl?DOMAIN=STE&amp;BLAST=DUMMY","0.79")</f>
        <v>0.79</v>
      </c>
      <c r="AQ373" s="2" t="s">
        <v>324</v>
      </c>
      <c r="AR373" t="s">
        <v>324</v>
      </c>
      <c r="AS373" s="2" t="s">
        <v>324</v>
      </c>
      <c r="AT373" t="s">
        <v>324</v>
      </c>
    </row>
    <row r="374" spans="1:46" ht="11.25">
      <c r="A374" t="str">
        <f>HYPERLINK("http://exon.niaid.nih.gov/transcriptome/Tx_amboinensis_sialome/Table_1/links/TX-contig_207.txt","TX-contig_207")</f>
        <v>TX-contig_207</v>
      </c>
      <c r="B374" t="str">
        <f>HYPERLINK("http://exon.niaid.nih.gov/transcriptome/Tx_amboinensis_sialome/Table_1/links/TX-5-90-90-asb-207.txt","Contig-207")</f>
        <v>Contig-207</v>
      </c>
      <c r="C374" t="str">
        <f>HYPERLINK("http://exon.niaid.nih.gov/transcriptome/Tx_amboinensis_sialome/Table_1/links/TX-5-90-90-207-CLU.txt","Contig207")</f>
        <v>Contig207</v>
      </c>
      <c r="D374" s="4">
        <v>1</v>
      </c>
      <c r="E374">
        <v>126</v>
      </c>
      <c r="F374" t="s">
        <v>322</v>
      </c>
      <c r="G374">
        <v>65.9</v>
      </c>
      <c r="H374">
        <v>107</v>
      </c>
      <c r="I374">
        <v>207</v>
      </c>
      <c r="J374" t="s">
        <v>520</v>
      </c>
      <c r="K374">
        <v>107</v>
      </c>
      <c r="L374" s="3" t="s">
        <v>1036</v>
      </c>
      <c r="M374" s="4">
        <v>0</v>
      </c>
      <c r="N374" s="4">
        <v>0</v>
      </c>
      <c r="O374" s="4">
        <v>0</v>
      </c>
      <c r="P374" s="4">
        <v>0</v>
      </c>
      <c r="Q374" s="5" t="s">
        <v>1039</v>
      </c>
      <c r="Y374" t="s">
        <v>324</v>
      </c>
      <c r="Z374" s="2" t="s">
        <v>324</v>
      </c>
      <c r="AA374" t="s">
        <v>324</v>
      </c>
      <c r="AB374" t="s">
        <v>324</v>
      </c>
      <c r="AC374" t="s">
        <v>324</v>
      </c>
      <c r="AD374" t="s">
        <v>324</v>
      </c>
      <c r="AE374" t="s">
        <v>324</v>
      </c>
      <c r="AF374" t="s">
        <v>324</v>
      </c>
      <c r="AG374" s="2" t="s">
        <v>324</v>
      </c>
      <c r="AH374" t="s">
        <v>324</v>
      </c>
      <c r="AI374" t="s">
        <v>324</v>
      </c>
      <c r="AJ374" s="2" t="s">
        <v>324</v>
      </c>
      <c r="AK374" t="s">
        <v>324</v>
      </c>
      <c r="AL374" t="s">
        <v>324</v>
      </c>
      <c r="AM374" s="2" t="s">
        <v>324</v>
      </c>
      <c r="AN374" t="s">
        <v>324</v>
      </c>
      <c r="AO374" s="2" t="s">
        <v>324</v>
      </c>
      <c r="AP374" t="s">
        <v>324</v>
      </c>
      <c r="AQ374" s="2" t="s">
        <v>324</v>
      </c>
      <c r="AR374" t="s">
        <v>324</v>
      </c>
      <c r="AS374" s="2" t="s">
        <v>324</v>
      </c>
      <c r="AT374" t="s">
        <v>324</v>
      </c>
    </row>
    <row r="375" spans="1:46" ht="11.25">
      <c r="A375" t="str">
        <f>HYPERLINK("http://exon.niaid.nih.gov/transcriptome/Tx_amboinensis_sialome/Table_1/links/TX-contig_208.txt","TX-contig_208")</f>
        <v>TX-contig_208</v>
      </c>
      <c r="B375" t="str">
        <f>HYPERLINK("http://exon.niaid.nih.gov/transcriptome/Tx_amboinensis_sialome/Table_1/links/TX-5-90-90-asb-208.txt","Contig-208")</f>
        <v>Contig-208</v>
      </c>
      <c r="C375" t="str">
        <f>HYPERLINK("http://exon.niaid.nih.gov/transcriptome/Tx_amboinensis_sialome/Table_1/links/TX-5-90-90-208-CLU.txt","Contig208")</f>
        <v>Contig208</v>
      </c>
      <c r="D375" s="4">
        <v>1</v>
      </c>
      <c r="E375">
        <v>91</v>
      </c>
      <c r="F375" t="s">
        <v>322</v>
      </c>
      <c r="G375">
        <v>76.9</v>
      </c>
      <c r="H375">
        <v>64</v>
      </c>
      <c r="I375">
        <v>208</v>
      </c>
      <c r="J375" t="s">
        <v>521</v>
      </c>
      <c r="K375">
        <v>64</v>
      </c>
      <c r="L375" s="3" t="s">
        <v>1036</v>
      </c>
      <c r="M375" s="4">
        <v>0</v>
      </c>
      <c r="N375" s="4">
        <v>0</v>
      </c>
      <c r="O375" s="4">
        <v>0</v>
      </c>
      <c r="P375" s="4">
        <v>0</v>
      </c>
      <c r="Q375" s="5" t="s">
        <v>1039</v>
      </c>
      <c r="Y375" t="s">
        <v>324</v>
      </c>
      <c r="Z375" s="2" t="s">
        <v>324</v>
      </c>
      <c r="AA375" t="s">
        <v>324</v>
      </c>
      <c r="AB375" t="s">
        <v>324</v>
      </c>
      <c r="AC375" t="s">
        <v>324</v>
      </c>
      <c r="AD375" t="s">
        <v>324</v>
      </c>
      <c r="AE375" t="s">
        <v>324</v>
      </c>
      <c r="AF375" t="s">
        <v>324</v>
      </c>
      <c r="AG375" s="2" t="s">
        <v>324</v>
      </c>
      <c r="AH375" t="s">
        <v>324</v>
      </c>
      <c r="AI375" t="s">
        <v>324</v>
      </c>
      <c r="AJ375" s="2" t="s">
        <v>324</v>
      </c>
      <c r="AK375" t="s">
        <v>324</v>
      </c>
      <c r="AL375" t="s">
        <v>324</v>
      </c>
      <c r="AM375" s="2" t="s">
        <v>324</v>
      </c>
      <c r="AN375" t="s">
        <v>324</v>
      </c>
      <c r="AO375" s="2" t="s">
        <v>324</v>
      </c>
      <c r="AP375" t="s">
        <v>324</v>
      </c>
      <c r="AQ375" s="2" t="s">
        <v>324</v>
      </c>
      <c r="AR375" t="s">
        <v>324</v>
      </c>
      <c r="AS375" s="2" t="s">
        <v>324</v>
      </c>
      <c r="AT375" t="s">
        <v>324</v>
      </c>
    </row>
    <row r="376" spans="1:46" ht="11.25">
      <c r="A376" t="str">
        <f>HYPERLINK("http://exon.niaid.nih.gov/transcriptome/Tx_amboinensis_sialome/Table_1/links/TX-contig_212.txt","TX-contig_212")</f>
        <v>TX-contig_212</v>
      </c>
      <c r="B376" t="str">
        <f>HYPERLINK("http://exon.niaid.nih.gov/transcriptome/Tx_amboinensis_sialome/Table_1/links/TX-5-90-90-asb-212.txt","Contig-212")</f>
        <v>Contig-212</v>
      </c>
      <c r="C376" t="str">
        <f>HYPERLINK("http://exon.niaid.nih.gov/transcriptome/Tx_amboinensis_sialome/Table_1/links/TX-5-90-90-212-CLU.txt","Contig212")</f>
        <v>Contig212</v>
      </c>
      <c r="D376" s="4">
        <v>1</v>
      </c>
      <c r="E376">
        <v>98</v>
      </c>
      <c r="F376" t="s">
        <v>322</v>
      </c>
      <c r="G376">
        <v>88.8</v>
      </c>
      <c r="H376">
        <v>40</v>
      </c>
      <c r="I376">
        <v>212</v>
      </c>
      <c r="J376" t="s">
        <v>525</v>
      </c>
      <c r="K376">
        <v>40</v>
      </c>
      <c r="L376" s="3" t="s">
        <v>1036</v>
      </c>
      <c r="M376" s="4">
        <v>0</v>
      </c>
      <c r="N376" s="4">
        <v>0</v>
      </c>
      <c r="O376" s="4">
        <v>0</v>
      </c>
      <c r="P376" s="4">
        <v>0</v>
      </c>
      <c r="Q376" s="5" t="s">
        <v>1039</v>
      </c>
      <c r="Y376" t="s">
        <v>324</v>
      </c>
      <c r="Z376" s="2" t="s">
        <v>324</v>
      </c>
      <c r="AA376" t="s">
        <v>324</v>
      </c>
      <c r="AB376" t="s">
        <v>324</v>
      </c>
      <c r="AC376" t="s">
        <v>324</v>
      </c>
      <c r="AD376" t="s">
        <v>324</v>
      </c>
      <c r="AE376" t="s">
        <v>324</v>
      </c>
      <c r="AF376" t="s">
        <v>324</v>
      </c>
      <c r="AG376" s="2" t="s">
        <v>324</v>
      </c>
      <c r="AH376" t="s">
        <v>324</v>
      </c>
      <c r="AI376" t="s">
        <v>324</v>
      </c>
      <c r="AJ376" s="2" t="s">
        <v>324</v>
      </c>
      <c r="AK376" t="s">
        <v>324</v>
      </c>
      <c r="AL376" t="s">
        <v>324</v>
      </c>
      <c r="AM376" s="2" t="s">
        <v>324</v>
      </c>
      <c r="AN376" t="s">
        <v>324</v>
      </c>
      <c r="AO376" s="2" t="s">
        <v>324</v>
      </c>
      <c r="AP376" t="s">
        <v>324</v>
      </c>
      <c r="AQ376" s="2" t="s">
        <v>324</v>
      </c>
      <c r="AR376" t="s">
        <v>324</v>
      </c>
      <c r="AS376" s="2" t="s">
        <v>324</v>
      </c>
      <c r="AT376" t="s">
        <v>324</v>
      </c>
    </row>
    <row r="377" spans="1:46" ht="11.25">
      <c r="A377" t="str">
        <f>HYPERLINK("http://exon.niaid.nih.gov/transcriptome/Tx_amboinensis_sialome/Table_1/links/TX-contig_213.txt","TX-contig_213")</f>
        <v>TX-contig_213</v>
      </c>
      <c r="B377" t="str">
        <f>HYPERLINK("http://exon.niaid.nih.gov/transcriptome/Tx_amboinensis_sialome/Table_1/links/TX-5-90-90-asb-213.txt","Contig-213")</f>
        <v>Contig-213</v>
      </c>
      <c r="C377" t="str">
        <f>HYPERLINK("http://exon.niaid.nih.gov/transcriptome/Tx_amboinensis_sialome/Table_1/links/TX-5-90-90-213-CLU.txt","Contig213")</f>
        <v>Contig213</v>
      </c>
      <c r="D377" s="4">
        <v>1</v>
      </c>
      <c r="E377">
        <v>136</v>
      </c>
      <c r="F377">
        <v>2.2</v>
      </c>
      <c r="G377">
        <v>77.9</v>
      </c>
      <c r="H377">
        <v>47</v>
      </c>
      <c r="I377">
        <v>213</v>
      </c>
      <c r="J377" t="s">
        <v>526</v>
      </c>
      <c r="K377">
        <v>47</v>
      </c>
      <c r="L377" s="3" t="s">
        <v>1036</v>
      </c>
      <c r="M377" s="4">
        <v>0</v>
      </c>
      <c r="N377" s="4">
        <v>0</v>
      </c>
      <c r="O377" s="4">
        <v>0</v>
      </c>
      <c r="P377" s="4">
        <v>0</v>
      </c>
      <c r="Q377" s="5" t="s">
        <v>1039</v>
      </c>
      <c r="Y377" t="s">
        <v>324</v>
      </c>
      <c r="Z377" s="2" t="s">
        <v>324</v>
      </c>
      <c r="AA377" t="s">
        <v>324</v>
      </c>
      <c r="AB377" t="s">
        <v>324</v>
      </c>
      <c r="AC377" t="s">
        <v>324</v>
      </c>
      <c r="AD377" t="s">
        <v>324</v>
      </c>
      <c r="AE377" t="s">
        <v>324</v>
      </c>
      <c r="AF377" t="s">
        <v>324</v>
      </c>
      <c r="AG377" s="2" t="s">
        <v>324</v>
      </c>
      <c r="AH377" t="s">
        <v>324</v>
      </c>
      <c r="AI377" t="s">
        <v>324</v>
      </c>
      <c r="AJ377" s="2" t="s">
        <v>324</v>
      </c>
      <c r="AK377" t="s">
        <v>324</v>
      </c>
      <c r="AL377" t="s">
        <v>324</v>
      </c>
      <c r="AM377" s="2" t="s">
        <v>324</v>
      </c>
      <c r="AN377" t="s">
        <v>324</v>
      </c>
      <c r="AO377" s="2" t="s">
        <v>324</v>
      </c>
      <c r="AP377" t="s">
        <v>324</v>
      </c>
      <c r="AQ377" s="2" t="s">
        <v>324</v>
      </c>
      <c r="AR377" t="s">
        <v>324</v>
      </c>
      <c r="AS377" s="2" t="s">
        <v>324</v>
      </c>
      <c r="AT377" t="s">
        <v>324</v>
      </c>
    </row>
    <row r="378" spans="1:46" ht="11.25">
      <c r="A378" t="str">
        <f>HYPERLINK("http://exon.niaid.nih.gov/transcriptome/Tx_amboinensis_sialome/Table_1/links/TX-contig_214.txt","TX-contig_214")</f>
        <v>TX-contig_214</v>
      </c>
      <c r="B378" t="str">
        <f>HYPERLINK("http://exon.niaid.nih.gov/transcriptome/Tx_amboinensis_sialome/Table_1/links/TX-5-90-90-asb-214.txt","Contig-214")</f>
        <v>Contig-214</v>
      </c>
      <c r="C378" t="str">
        <f>HYPERLINK("http://exon.niaid.nih.gov/transcriptome/Tx_amboinensis_sialome/Table_1/links/TX-5-90-90-214-CLU.txt","Contig214")</f>
        <v>Contig214</v>
      </c>
      <c r="D378" s="4">
        <v>1</v>
      </c>
      <c r="E378">
        <v>187</v>
      </c>
      <c r="F378">
        <v>1.6</v>
      </c>
      <c r="G378">
        <v>82.4</v>
      </c>
      <c r="H378">
        <v>52</v>
      </c>
      <c r="I378">
        <v>214</v>
      </c>
      <c r="J378" t="s">
        <v>527</v>
      </c>
      <c r="K378">
        <v>52</v>
      </c>
      <c r="L378" s="3" t="s">
        <v>1036</v>
      </c>
      <c r="M378" s="4">
        <v>0</v>
      </c>
      <c r="N378" s="4">
        <v>0</v>
      </c>
      <c r="O378" s="4">
        <v>0</v>
      </c>
      <c r="P378" s="4">
        <v>0</v>
      </c>
      <c r="Q378" s="5" t="s">
        <v>1039</v>
      </c>
      <c r="Y378" t="s">
        <v>324</v>
      </c>
      <c r="Z378" s="2" t="s">
        <v>324</v>
      </c>
      <c r="AA378" t="s">
        <v>324</v>
      </c>
      <c r="AB378" t="s">
        <v>324</v>
      </c>
      <c r="AC378" t="s">
        <v>324</v>
      </c>
      <c r="AD378" t="s">
        <v>324</v>
      </c>
      <c r="AE378" t="s">
        <v>324</v>
      </c>
      <c r="AF378" t="s">
        <v>324</v>
      </c>
      <c r="AG378" s="2" t="s">
        <v>324</v>
      </c>
      <c r="AH378" t="s">
        <v>324</v>
      </c>
      <c r="AI378" t="s">
        <v>324</v>
      </c>
      <c r="AJ378" s="2" t="s">
        <v>324</v>
      </c>
      <c r="AK378" t="s">
        <v>324</v>
      </c>
      <c r="AL378" t="s">
        <v>324</v>
      </c>
      <c r="AM378" s="2" t="s">
        <v>324</v>
      </c>
      <c r="AN378" t="s">
        <v>324</v>
      </c>
      <c r="AO378" s="2" t="s">
        <v>324</v>
      </c>
      <c r="AP378" t="s">
        <v>324</v>
      </c>
      <c r="AQ378" s="2" t="s">
        <v>324</v>
      </c>
      <c r="AR378" t="s">
        <v>324</v>
      </c>
      <c r="AS378" s="2" t="s">
        <v>324</v>
      </c>
      <c r="AT378" t="s">
        <v>324</v>
      </c>
    </row>
    <row r="379" spans="1:46" ht="11.25">
      <c r="A379" t="str">
        <f>HYPERLINK("http://exon.niaid.nih.gov/transcriptome/Tx_amboinensis_sialome/Table_1/links/TX-contig_218.txt","TX-contig_218")</f>
        <v>TX-contig_218</v>
      </c>
      <c r="B379" t="str">
        <f>HYPERLINK("http://exon.niaid.nih.gov/transcriptome/Tx_amboinensis_sialome/Table_1/links/TX-5-90-90-asb-218.txt","Contig-218")</f>
        <v>Contig-218</v>
      </c>
      <c r="C379" t="str">
        <f>HYPERLINK("http://exon.niaid.nih.gov/transcriptome/Tx_amboinensis_sialome/Table_1/links/TX-5-90-90-218-CLU.txt","Contig218")</f>
        <v>Contig218</v>
      </c>
      <c r="D379" s="4">
        <v>1</v>
      </c>
      <c r="E379">
        <v>106</v>
      </c>
      <c r="F379">
        <v>0.9</v>
      </c>
      <c r="G379">
        <v>67.9</v>
      </c>
      <c r="H379">
        <v>79</v>
      </c>
      <c r="I379">
        <v>218</v>
      </c>
      <c r="J379" t="s">
        <v>531</v>
      </c>
      <c r="K379">
        <v>79</v>
      </c>
      <c r="L379" s="3" t="s">
        <v>1036</v>
      </c>
      <c r="M379" s="4">
        <v>0</v>
      </c>
      <c r="N379" s="4">
        <v>0</v>
      </c>
      <c r="O379" s="4">
        <v>0</v>
      </c>
      <c r="P379" s="4">
        <v>0</v>
      </c>
      <c r="Q379" s="5" t="s">
        <v>1039</v>
      </c>
      <c r="Y379" t="s">
        <v>324</v>
      </c>
      <c r="Z379" s="2" t="s">
        <v>324</v>
      </c>
      <c r="AA379" t="s">
        <v>324</v>
      </c>
      <c r="AB379" t="s">
        <v>324</v>
      </c>
      <c r="AC379" t="s">
        <v>324</v>
      </c>
      <c r="AD379" t="s">
        <v>324</v>
      </c>
      <c r="AE379" t="s">
        <v>324</v>
      </c>
      <c r="AF379" t="s">
        <v>324</v>
      </c>
      <c r="AG379" s="2" t="s">
        <v>324</v>
      </c>
      <c r="AH379" t="s">
        <v>324</v>
      </c>
      <c r="AI379" t="s">
        <v>324</v>
      </c>
      <c r="AJ379" s="2" t="s">
        <v>324</v>
      </c>
      <c r="AK379" t="s">
        <v>324</v>
      </c>
      <c r="AL379" t="s">
        <v>324</v>
      </c>
      <c r="AM379" s="2" t="s">
        <v>324</v>
      </c>
      <c r="AN379" t="s">
        <v>324</v>
      </c>
      <c r="AO379" s="2" t="s">
        <v>324</v>
      </c>
      <c r="AP379" t="s">
        <v>324</v>
      </c>
      <c r="AQ379" s="2" t="s">
        <v>324</v>
      </c>
      <c r="AR379" t="s">
        <v>324</v>
      </c>
      <c r="AS379" s="2" t="s">
        <v>324</v>
      </c>
      <c r="AT379" t="s">
        <v>324</v>
      </c>
    </row>
    <row r="380" spans="1:46" ht="11.25">
      <c r="A380" t="str">
        <f>HYPERLINK("http://exon.niaid.nih.gov/transcriptome/Tx_amboinensis_sialome/Table_1/links/TX-contig_223.txt","TX-contig_223")</f>
        <v>TX-contig_223</v>
      </c>
      <c r="B380" t="str">
        <f>HYPERLINK("http://exon.niaid.nih.gov/transcriptome/Tx_amboinensis_sialome/Table_1/links/TX-5-90-90-asb-223.txt","Contig-223")</f>
        <v>Contig-223</v>
      </c>
      <c r="C380" t="str">
        <f>HYPERLINK("http://exon.niaid.nih.gov/transcriptome/Tx_amboinensis_sialome/Table_1/links/TX-5-90-90-223-CLU.txt","Contig223")</f>
        <v>Contig223</v>
      </c>
      <c r="D380" s="4">
        <v>1</v>
      </c>
      <c r="E380">
        <v>101</v>
      </c>
      <c r="F380" t="s">
        <v>322</v>
      </c>
      <c r="G380">
        <v>69.3</v>
      </c>
      <c r="H380">
        <v>74</v>
      </c>
      <c r="I380">
        <v>223</v>
      </c>
      <c r="J380" t="s">
        <v>536</v>
      </c>
      <c r="K380">
        <v>74</v>
      </c>
      <c r="L380" s="3" t="s">
        <v>1036</v>
      </c>
      <c r="M380" s="4">
        <v>0</v>
      </c>
      <c r="N380" s="4">
        <v>0</v>
      </c>
      <c r="O380" s="4">
        <v>0</v>
      </c>
      <c r="P380" s="4">
        <v>0</v>
      </c>
      <c r="Q380" s="5" t="s">
        <v>1039</v>
      </c>
      <c r="Y380" t="s">
        <v>324</v>
      </c>
      <c r="Z380" s="2" t="s">
        <v>324</v>
      </c>
      <c r="AA380" t="s">
        <v>324</v>
      </c>
      <c r="AB380" t="s">
        <v>324</v>
      </c>
      <c r="AC380" t="s">
        <v>324</v>
      </c>
      <c r="AD380" t="s">
        <v>324</v>
      </c>
      <c r="AE380" t="s">
        <v>324</v>
      </c>
      <c r="AF380" t="s">
        <v>324</v>
      </c>
      <c r="AG380" s="2" t="s">
        <v>324</v>
      </c>
      <c r="AH380" t="s">
        <v>324</v>
      </c>
      <c r="AI380" t="s">
        <v>324</v>
      </c>
      <c r="AJ380" s="2" t="s">
        <v>324</v>
      </c>
      <c r="AK380" t="s">
        <v>324</v>
      </c>
      <c r="AL380" t="s">
        <v>324</v>
      </c>
      <c r="AM380" s="2" t="s">
        <v>324</v>
      </c>
      <c r="AN380" t="s">
        <v>324</v>
      </c>
      <c r="AO380" s="2" t="str">
        <f>HYPERLINK("http://exon.niaid.nih.gov/transcriptome/Tx_amboinensis_sialome/Table_1/links/SMART\TX-contig_223-SMART.txt","SO")</f>
        <v>SO</v>
      </c>
      <c r="AP380" t="str">
        <f>HYPERLINK("http://smart.embl-heidelberg.de/smart/do_annotation.pl?DOMAIN=SO&amp;BLAST=DUMMY","0.34")</f>
        <v>0.34</v>
      </c>
      <c r="AQ380" s="2" t="s">
        <v>324</v>
      </c>
      <c r="AR380" t="s">
        <v>324</v>
      </c>
      <c r="AS380" s="2" t="s">
        <v>324</v>
      </c>
      <c r="AT380" t="s">
        <v>324</v>
      </c>
    </row>
    <row r="381" spans="1:46" ht="11.25">
      <c r="A381" t="str">
        <f>HYPERLINK("http://exon.niaid.nih.gov/transcriptome/Tx_amboinensis_sialome/Table_1/links/TX-contig_225.txt","TX-contig_225")</f>
        <v>TX-contig_225</v>
      </c>
      <c r="B381" t="str">
        <f>HYPERLINK("http://exon.niaid.nih.gov/transcriptome/Tx_amboinensis_sialome/Table_1/links/TX-5-90-90-asb-225.txt","Contig-225")</f>
        <v>Contig-225</v>
      </c>
      <c r="C381" t="str">
        <f>HYPERLINK("http://exon.niaid.nih.gov/transcriptome/Tx_amboinensis_sialome/Table_1/links/TX-5-90-90-225-CLU.txt","Contig225")</f>
        <v>Contig225</v>
      </c>
      <c r="D381" s="4">
        <v>1</v>
      </c>
      <c r="E381">
        <v>95</v>
      </c>
      <c r="F381">
        <v>1.1</v>
      </c>
      <c r="G381">
        <v>75.8</v>
      </c>
      <c r="H381">
        <v>71</v>
      </c>
      <c r="I381">
        <v>225</v>
      </c>
      <c r="J381" t="s">
        <v>538</v>
      </c>
      <c r="K381">
        <v>71</v>
      </c>
      <c r="L381" s="3" t="s">
        <v>1036</v>
      </c>
      <c r="M381" s="4">
        <v>0</v>
      </c>
      <c r="N381" s="4">
        <v>0</v>
      </c>
      <c r="O381" s="4">
        <v>0</v>
      </c>
      <c r="P381" s="4">
        <v>0</v>
      </c>
      <c r="Q381" s="5" t="s">
        <v>1039</v>
      </c>
      <c r="Y381" t="s">
        <v>324</v>
      </c>
      <c r="Z381" s="2" t="s">
        <v>324</v>
      </c>
      <c r="AA381" t="s">
        <v>324</v>
      </c>
      <c r="AB381" t="s">
        <v>324</v>
      </c>
      <c r="AC381" t="s">
        <v>324</v>
      </c>
      <c r="AD381" t="s">
        <v>324</v>
      </c>
      <c r="AE381" t="s">
        <v>324</v>
      </c>
      <c r="AF381" t="s">
        <v>324</v>
      </c>
      <c r="AG381" s="2" t="s">
        <v>324</v>
      </c>
      <c r="AH381" t="s">
        <v>324</v>
      </c>
      <c r="AI381" t="s">
        <v>324</v>
      </c>
      <c r="AJ381" s="2" t="s">
        <v>324</v>
      </c>
      <c r="AK381" t="s">
        <v>324</v>
      </c>
      <c r="AL381" t="s">
        <v>324</v>
      </c>
      <c r="AM381" s="2" t="s">
        <v>324</v>
      </c>
      <c r="AN381" t="s">
        <v>324</v>
      </c>
      <c r="AO381" s="2" t="str">
        <f>HYPERLINK("http://exon.niaid.nih.gov/transcriptome/Tx_amboinensis_sialome/Table_1/links/SMART\TX-contig_225-SMART.txt","B561")</f>
        <v>B561</v>
      </c>
      <c r="AP381" t="str">
        <f>HYPERLINK("http://smart.embl-heidelberg.de/smart/do_annotation.pl?DOMAIN=B561&amp;BLAST=DUMMY","0.14")</f>
        <v>0.14</v>
      </c>
      <c r="AQ381" s="2" t="s">
        <v>324</v>
      </c>
      <c r="AR381" t="s">
        <v>324</v>
      </c>
      <c r="AS381" s="2" t="s">
        <v>324</v>
      </c>
      <c r="AT381" t="s">
        <v>324</v>
      </c>
    </row>
    <row r="382" spans="1:46" ht="11.25">
      <c r="A382" t="str">
        <f>HYPERLINK("http://exon.niaid.nih.gov/transcriptome/Tx_amboinensis_sialome/Table_1/links/TX-contig_226.txt","TX-contig_226")</f>
        <v>TX-contig_226</v>
      </c>
      <c r="B382" t="str">
        <f>HYPERLINK("http://exon.niaid.nih.gov/transcriptome/Tx_amboinensis_sialome/Table_1/links/TX-5-90-90-asb-226.txt","Contig-226")</f>
        <v>Contig-226</v>
      </c>
      <c r="C382" t="str">
        <f>HYPERLINK("http://exon.niaid.nih.gov/transcriptome/Tx_amboinensis_sialome/Table_1/links/TX-5-90-90-226-CLU.txt","Contig226")</f>
        <v>Contig226</v>
      </c>
      <c r="D382" s="4">
        <v>1</v>
      </c>
      <c r="E382">
        <v>141</v>
      </c>
      <c r="F382" t="s">
        <v>322</v>
      </c>
      <c r="G382">
        <v>95</v>
      </c>
      <c r="H382">
        <v>25</v>
      </c>
      <c r="I382">
        <v>226</v>
      </c>
      <c r="J382" t="s">
        <v>539</v>
      </c>
      <c r="K382">
        <v>25</v>
      </c>
      <c r="L382" s="3" t="s">
        <v>1036</v>
      </c>
      <c r="M382" s="4">
        <v>0</v>
      </c>
      <c r="N382" s="4">
        <v>0</v>
      </c>
      <c r="O382" s="4">
        <v>0</v>
      </c>
      <c r="P382" s="4">
        <v>0</v>
      </c>
      <c r="Q382" s="5" t="s">
        <v>1039</v>
      </c>
      <c r="Y382" t="s">
        <v>324</v>
      </c>
      <c r="Z382" s="2" t="s">
        <v>324</v>
      </c>
      <c r="AA382" t="s">
        <v>324</v>
      </c>
      <c r="AB382" t="s">
        <v>324</v>
      </c>
      <c r="AC382" t="s">
        <v>324</v>
      </c>
      <c r="AD382" t="s">
        <v>324</v>
      </c>
      <c r="AE382" t="s">
        <v>324</v>
      </c>
      <c r="AF382" t="s">
        <v>324</v>
      </c>
      <c r="AG382" s="2" t="s">
        <v>324</v>
      </c>
      <c r="AH382" t="s">
        <v>324</v>
      </c>
      <c r="AI382" t="s">
        <v>324</v>
      </c>
      <c r="AJ382" s="2" t="s">
        <v>324</v>
      </c>
      <c r="AK382" t="s">
        <v>324</v>
      </c>
      <c r="AL382" t="s">
        <v>324</v>
      </c>
      <c r="AM382" s="2" t="s">
        <v>324</v>
      </c>
      <c r="AN382" t="s">
        <v>324</v>
      </c>
      <c r="AO382" s="2" t="s">
        <v>324</v>
      </c>
      <c r="AP382" t="s">
        <v>324</v>
      </c>
      <c r="AQ382" s="2" t="s">
        <v>324</v>
      </c>
      <c r="AR382" t="s">
        <v>324</v>
      </c>
      <c r="AS382" s="2" t="s">
        <v>324</v>
      </c>
      <c r="AT382" t="s">
        <v>324</v>
      </c>
    </row>
    <row r="383" spans="1:46" ht="11.25">
      <c r="A383" t="str">
        <f>HYPERLINK("http://exon.niaid.nih.gov/transcriptome/Tx_amboinensis_sialome/Table_1/links/TX-contig_228.txt","TX-contig_228")</f>
        <v>TX-contig_228</v>
      </c>
      <c r="B383" t="str">
        <f>HYPERLINK("http://exon.niaid.nih.gov/transcriptome/Tx_amboinensis_sialome/Table_1/links/TX-5-90-90-asb-228.txt","Contig-228")</f>
        <v>Contig-228</v>
      </c>
      <c r="C383" t="str">
        <f>HYPERLINK("http://exon.niaid.nih.gov/transcriptome/Tx_amboinensis_sialome/Table_1/links/TX-5-90-90-228-CLU.txt","Contig228")</f>
        <v>Contig228</v>
      </c>
      <c r="D383" s="4">
        <v>1</v>
      </c>
      <c r="E383">
        <v>135</v>
      </c>
      <c r="F383">
        <v>3</v>
      </c>
      <c r="G383">
        <v>82.2</v>
      </c>
      <c r="H383">
        <v>28</v>
      </c>
      <c r="I383">
        <v>228</v>
      </c>
      <c r="J383" t="s">
        <v>541</v>
      </c>
      <c r="K383">
        <v>28</v>
      </c>
      <c r="L383" s="3" t="s">
        <v>1036</v>
      </c>
      <c r="M383" s="4">
        <v>0</v>
      </c>
      <c r="N383" s="4">
        <v>0</v>
      </c>
      <c r="O383" s="4">
        <v>0</v>
      </c>
      <c r="P383" s="4">
        <v>0</v>
      </c>
      <c r="Q383" s="5" t="s">
        <v>1039</v>
      </c>
      <c r="Y383" t="s">
        <v>324</v>
      </c>
      <c r="Z383" s="2" t="s">
        <v>324</v>
      </c>
      <c r="AA383" t="s">
        <v>324</v>
      </c>
      <c r="AB383" t="s">
        <v>324</v>
      </c>
      <c r="AC383" t="s">
        <v>324</v>
      </c>
      <c r="AD383" t="s">
        <v>324</v>
      </c>
      <c r="AE383" t="s">
        <v>324</v>
      </c>
      <c r="AF383" t="s">
        <v>324</v>
      </c>
      <c r="AG383" s="2" t="s">
        <v>324</v>
      </c>
      <c r="AH383" t="s">
        <v>324</v>
      </c>
      <c r="AI383" t="s">
        <v>324</v>
      </c>
      <c r="AJ383" s="2" t="s">
        <v>324</v>
      </c>
      <c r="AK383" t="s">
        <v>324</v>
      </c>
      <c r="AL383" t="s">
        <v>324</v>
      </c>
      <c r="AM383" s="2" t="s">
        <v>324</v>
      </c>
      <c r="AN383" t="s">
        <v>324</v>
      </c>
      <c r="AO383" s="2" t="s">
        <v>324</v>
      </c>
      <c r="AP383" t="s">
        <v>324</v>
      </c>
      <c r="AQ383" s="2" t="s">
        <v>324</v>
      </c>
      <c r="AR383" t="s">
        <v>324</v>
      </c>
      <c r="AS383" s="2" t="s">
        <v>324</v>
      </c>
      <c r="AT383" t="s">
        <v>324</v>
      </c>
    </row>
    <row r="384" spans="1:46" ht="11.25">
      <c r="A384" t="str">
        <f>HYPERLINK("http://exon.niaid.nih.gov/transcriptome/Tx_amboinensis_sialome/Table_1/links/TX-contig_233.txt","TX-contig_233")</f>
        <v>TX-contig_233</v>
      </c>
      <c r="B384" t="str">
        <f>HYPERLINK("http://exon.niaid.nih.gov/transcriptome/Tx_amboinensis_sialome/Table_1/links/TX-5-90-90-asb-233.txt","Contig-233")</f>
        <v>Contig-233</v>
      </c>
      <c r="C384" t="str">
        <f>HYPERLINK("http://exon.niaid.nih.gov/transcriptome/Tx_amboinensis_sialome/Table_1/links/TX-5-90-90-233-CLU.txt","Contig233")</f>
        <v>Contig233</v>
      </c>
      <c r="D384" s="4">
        <v>1</v>
      </c>
      <c r="E384">
        <v>131</v>
      </c>
      <c r="F384">
        <v>2.3</v>
      </c>
      <c r="G384">
        <v>83.2</v>
      </c>
      <c r="H384">
        <v>27</v>
      </c>
      <c r="I384">
        <v>233</v>
      </c>
      <c r="J384" t="s">
        <v>546</v>
      </c>
      <c r="K384">
        <v>27</v>
      </c>
      <c r="L384" s="3" t="s">
        <v>1036</v>
      </c>
      <c r="M384" s="4">
        <v>0</v>
      </c>
      <c r="N384" s="4">
        <v>0</v>
      </c>
      <c r="O384" s="4">
        <v>0</v>
      </c>
      <c r="P384" s="4">
        <v>0</v>
      </c>
      <c r="Q384" s="5" t="s">
        <v>1039</v>
      </c>
      <c r="Y384" t="s">
        <v>324</v>
      </c>
      <c r="Z384" s="2" t="s">
        <v>324</v>
      </c>
      <c r="AA384" t="s">
        <v>324</v>
      </c>
      <c r="AB384" t="s">
        <v>324</v>
      </c>
      <c r="AC384" t="s">
        <v>324</v>
      </c>
      <c r="AD384" t="s">
        <v>324</v>
      </c>
      <c r="AE384" t="s">
        <v>324</v>
      </c>
      <c r="AF384" t="s">
        <v>324</v>
      </c>
      <c r="AG384" s="2" t="s">
        <v>324</v>
      </c>
      <c r="AH384" t="s">
        <v>324</v>
      </c>
      <c r="AI384" t="s">
        <v>324</v>
      </c>
      <c r="AJ384" s="2" t="s">
        <v>324</v>
      </c>
      <c r="AK384" t="s">
        <v>324</v>
      </c>
      <c r="AL384" t="s">
        <v>324</v>
      </c>
      <c r="AM384" s="2" t="s">
        <v>324</v>
      </c>
      <c r="AN384" t="s">
        <v>324</v>
      </c>
      <c r="AO384" s="2" t="s">
        <v>324</v>
      </c>
      <c r="AP384" t="s">
        <v>324</v>
      </c>
      <c r="AQ384" s="2" t="s">
        <v>324</v>
      </c>
      <c r="AR384" t="s">
        <v>324</v>
      </c>
      <c r="AS384" s="2" t="s">
        <v>324</v>
      </c>
      <c r="AT384" t="s">
        <v>324</v>
      </c>
    </row>
    <row r="385" spans="1:46" ht="11.25">
      <c r="A385" t="str">
        <f>HYPERLINK("http://exon.niaid.nih.gov/transcriptome/Tx_amboinensis_sialome/Table_1/links/TX-contig_236.txt","TX-contig_236")</f>
        <v>TX-contig_236</v>
      </c>
      <c r="B385" t="str">
        <f>HYPERLINK("http://exon.niaid.nih.gov/transcriptome/Tx_amboinensis_sialome/Table_1/links/TX-5-90-90-asb-236.txt","Contig-236")</f>
        <v>Contig-236</v>
      </c>
      <c r="C385" t="str">
        <f>HYPERLINK("http://exon.niaid.nih.gov/transcriptome/Tx_amboinensis_sialome/Table_1/links/TX-5-90-90-236-CLU.txt","Contig236")</f>
        <v>Contig236</v>
      </c>
      <c r="D385" s="4">
        <v>1</v>
      </c>
      <c r="E385">
        <v>110</v>
      </c>
      <c r="F385" t="s">
        <v>322</v>
      </c>
      <c r="G385">
        <v>77.3</v>
      </c>
      <c r="H385">
        <v>91</v>
      </c>
      <c r="I385">
        <v>236</v>
      </c>
      <c r="J385" t="s">
        <v>549</v>
      </c>
      <c r="K385">
        <v>91</v>
      </c>
      <c r="L385" s="3" t="s">
        <v>1036</v>
      </c>
      <c r="M385" s="4">
        <v>0</v>
      </c>
      <c r="N385" s="4">
        <v>0</v>
      </c>
      <c r="O385" s="4">
        <v>0</v>
      </c>
      <c r="P385" s="4">
        <v>0</v>
      </c>
      <c r="Q385" s="5" t="s">
        <v>1039</v>
      </c>
      <c r="Y385" t="s">
        <v>324</v>
      </c>
      <c r="Z385" s="2" t="s">
        <v>324</v>
      </c>
      <c r="AA385" t="s">
        <v>324</v>
      </c>
      <c r="AB385" t="s">
        <v>324</v>
      </c>
      <c r="AC385" t="s">
        <v>324</v>
      </c>
      <c r="AD385" t="s">
        <v>324</v>
      </c>
      <c r="AE385" t="s">
        <v>324</v>
      </c>
      <c r="AF385" t="s">
        <v>324</v>
      </c>
      <c r="AG385" s="2" t="s">
        <v>324</v>
      </c>
      <c r="AH385" t="s">
        <v>324</v>
      </c>
      <c r="AI385" t="s">
        <v>324</v>
      </c>
      <c r="AJ385" s="2" t="s">
        <v>324</v>
      </c>
      <c r="AK385" t="s">
        <v>324</v>
      </c>
      <c r="AL385" t="s">
        <v>324</v>
      </c>
      <c r="AM385" s="2" t="s">
        <v>324</v>
      </c>
      <c r="AN385" t="s">
        <v>324</v>
      </c>
      <c r="AO385" s="2" t="s">
        <v>324</v>
      </c>
      <c r="AP385" t="s">
        <v>324</v>
      </c>
      <c r="AQ385" s="2" t="s">
        <v>324</v>
      </c>
      <c r="AR385" t="s">
        <v>324</v>
      </c>
      <c r="AS385" s="2" t="s">
        <v>324</v>
      </c>
      <c r="AT385" t="s">
        <v>324</v>
      </c>
    </row>
    <row r="386" spans="1:46" ht="11.25">
      <c r="A386" t="str">
        <f>HYPERLINK("http://exon.niaid.nih.gov/transcriptome/Tx_amboinensis_sialome/Table_1/links/TX-contig_242.txt","TX-contig_242")</f>
        <v>TX-contig_242</v>
      </c>
      <c r="B386" t="str">
        <f>HYPERLINK("http://exon.niaid.nih.gov/transcriptome/Tx_amboinensis_sialome/Table_1/links/TX-5-90-90-asb-242.txt","Contig-242")</f>
        <v>Contig-242</v>
      </c>
      <c r="C386" t="str">
        <f>HYPERLINK("http://exon.niaid.nih.gov/transcriptome/Tx_amboinensis_sialome/Table_1/links/TX-5-90-90-242-CLU.txt","Contig242")</f>
        <v>Contig242</v>
      </c>
      <c r="D386" s="4">
        <v>1</v>
      </c>
      <c r="E386">
        <v>138</v>
      </c>
      <c r="F386">
        <v>2.2</v>
      </c>
      <c r="G386">
        <v>73.9</v>
      </c>
      <c r="H386">
        <v>68</v>
      </c>
      <c r="I386">
        <v>242</v>
      </c>
      <c r="J386" t="s">
        <v>555</v>
      </c>
      <c r="K386">
        <v>68</v>
      </c>
      <c r="L386" s="3" t="s">
        <v>1036</v>
      </c>
      <c r="M386" s="4">
        <v>0</v>
      </c>
      <c r="N386" s="4">
        <v>0</v>
      </c>
      <c r="O386" s="4">
        <v>0</v>
      </c>
      <c r="P386" s="4">
        <v>0</v>
      </c>
      <c r="Q386" s="5" t="s">
        <v>1039</v>
      </c>
      <c r="Y386" t="s">
        <v>324</v>
      </c>
      <c r="Z386" s="2" t="s">
        <v>324</v>
      </c>
      <c r="AA386" t="s">
        <v>324</v>
      </c>
      <c r="AB386" t="s">
        <v>324</v>
      </c>
      <c r="AC386" t="s">
        <v>324</v>
      </c>
      <c r="AD386" t="s">
        <v>324</v>
      </c>
      <c r="AE386" t="s">
        <v>324</v>
      </c>
      <c r="AF386" t="s">
        <v>324</v>
      </c>
      <c r="AG386" s="2" t="s">
        <v>324</v>
      </c>
      <c r="AH386" t="s">
        <v>324</v>
      </c>
      <c r="AI386" t="s">
        <v>324</v>
      </c>
      <c r="AJ386" s="2" t="s">
        <v>324</v>
      </c>
      <c r="AK386" t="s">
        <v>324</v>
      </c>
      <c r="AL386" t="s">
        <v>324</v>
      </c>
      <c r="AM386" s="2" t="s">
        <v>324</v>
      </c>
      <c r="AN386" t="s">
        <v>324</v>
      </c>
      <c r="AO386" s="2" t="s">
        <v>324</v>
      </c>
      <c r="AP386" t="s">
        <v>324</v>
      </c>
      <c r="AQ386" s="2" t="s">
        <v>324</v>
      </c>
      <c r="AR386" t="s">
        <v>324</v>
      </c>
      <c r="AS386" s="2" t="s">
        <v>324</v>
      </c>
      <c r="AT386" t="s">
        <v>324</v>
      </c>
    </row>
    <row r="387" spans="1:46" ht="11.25">
      <c r="A387" t="str">
        <f>HYPERLINK("http://exon.niaid.nih.gov/transcriptome/Tx_amboinensis_sialome/Table_1/links/TX-contig_243.txt","TX-contig_243")</f>
        <v>TX-contig_243</v>
      </c>
      <c r="B387" t="str">
        <f>HYPERLINK("http://exon.niaid.nih.gov/transcriptome/Tx_amboinensis_sialome/Table_1/links/TX-5-90-90-asb-243.txt","Contig-243")</f>
        <v>Contig-243</v>
      </c>
      <c r="C387" t="str">
        <f>HYPERLINK("http://exon.niaid.nih.gov/transcriptome/Tx_amboinensis_sialome/Table_1/links/TX-5-90-90-243-CLU.txt","Contig243")</f>
        <v>Contig243</v>
      </c>
      <c r="D387" s="4">
        <v>1</v>
      </c>
      <c r="E387">
        <v>122</v>
      </c>
      <c r="F387">
        <v>3.3</v>
      </c>
      <c r="G387">
        <v>93.4</v>
      </c>
      <c r="H387">
        <v>11</v>
      </c>
      <c r="I387">
        <v>243</v>
      </c>
      <c r="J387" t="s">
        <v>556</v>
      </c>
      <c r="K387">
        <v>11</v>
      </c>
      <c r="L387" s="3" t="s">
        <v>1036</v>
      </c>
      <c r="M387" s="4">
        <v>0</v>
      </c>
      <c r="N387" s="4">
        <v>0</v>
      </c>
      <c r="O387" s="4">
        <v>0</v>
      </c>
      <c r="P387" s="4">
        <v>0</v>
      </c>
      <c r="Q387" s="5" t="s">
        <v>1039</v>
      </c>
      <c r="Y387" t="s">
        <v>324</v>
      </c>
      <c r="Z387" s="2" t="s">
        <v>324</v>
      </c>
      <c r="AA387" t="s">
        <v>324</v>
      </c>
      <c r="AB387" t="s">
        <v>324</v>
      </c>
      <c r="AC387" t="s">
        <v>324</v>
      </c>
      <c r="AD387" t="s">
        <v>324</v>
      </c>
      <c r="AE387" t="s">
        <v>324</v>
      </c>
      <c r="AF387" t="s">
        <v>324</v>
      </c>
      <c r="AG387" s="2" t="s">
        <v>324</v>
      </c>
      <c r="AH387" t="s">
        <v>324</v>
      </c>
      <c r="AI387" t="s">
        <v>324</v>
      </c>
      <c r="AJ387" s="2" t="s">
        <v>324</v>
      </c>
      <c r="AK387" t="s">
        <v>324</v>
      </c>
      <c r="AL387" t="s">
        <v>324</v>
      </c>
      <c r="AM387" s="2" t="s">
        <v>324</v>
      </c>
      <c r="AN387" t="s">
        <v>324</v>
      </c>
      <c r="AO387" s="2" t="s">
        <v>324</v>
      </c>
      <c r="AP387" t="s">
        <v>324</v>
      </c>
      <c r="AQ387" s="2" t="s">
        <v>324</v>
      </c>
      <c r="AR387" t="s">
        <v>324</v>
      </c>
      <c r="AS387" s="2" t="s">
        <v>324</v>
      </c>
      <c r="AT387" t="s">
        <v>324</v>
      </c>
    </row>
    <row r="388" spans="1:46" ht="11.25">
      <c r="A388" t="str">
        <f>HYPERLINK("http://exon.niaid.nih.gov/transcriptome/Tx_amboinensis_sialome/Table_1/links/TX-contig_244.txt","TX-contig_244")</f>
        <v>TX-contig_244</v>
      </c>
      <c r="B388" t="str">
        <f>HYPERLINK("http://exon.niaid.nih.gov/transcriptome/Tx_amboinensis_sialome/Table_1/links/TX-5-90-90-asb-244.txt","Contig-244")</f>
        <v>Contig-244</v>
      </c>
      <c r="C388" t="str">
        <f>HYPERLINK("http://exon.niaid.nih.gov/transcriptome/Tx_amboinensis_sialome/Table_1/links/TX-5-90-90-244-CLU.txt","Contig244")</f>
        <v>Contig244</v>
      </c>
      <c r="D388" s="4">
        <v>1</v>
      </c>
      <c r="E388">
        <v>103</v>
      </c>
      <c r="F388" t="s">
        <v>322</v>
      </c>
      <c r="G388">
        <v>68</v>
      </c>
      <c r="H388">
        <v>75</v>
      </c>
      <c r="I388">
        <v>244</v>
      </c>
      <c r="J388" t="s">
        <v>557</v>
      </c>
      <c r="K388">
        <v>75</v>
      </c>
      <c r="L388" s="3" t="s">
        <v>1036</v>
      </c>
      <c r="M388" s="4">
        <v>0</v>
      </c>
      <c r="N388" s="4">
        <v>0</v>
      </c>
      <c r="O388" s="4">
        <v>0</v>
      </c>
      <c r="P388" s="4">
        <v>0</v>
      </c>
      <c r="Q388" s="5" t="s">
        <v>1039</v>
      </c>
      <c r="Y388" t="s">
        <v>324</v>
      </c>
      <c r="Z388" s="2" t="s">
        <v>324</v>
      </c>
      <c r="AA388" t="s">
        <v>324</v>
      </c>
      <c r="AB388" t="s">
        <v>324</v>
      </c>
      <c r="AC388" t="s">
        <v>324</v>
      </c>
      <c r="AD388" t="s">
        <v>324</v>
      </c>
      <c r="AE388" t="s">
        <v>324</v>
      </c>
      <c r="AF388" t="s">
        <v>324</v>
      </c>
      <c r="AG388" s="2" t="s">
        <v>324</v>
      </c>
      <c r="AH388" t="s">
        <v>324</v>
      </c>
      <c r="AI388" t="s">
        <v>324</v>
      </c>
      <c r="AJ388" s="2" t="s">
        <v>324</v>
      </c>
      <c r="AK388" t="s">
        <v>324</v>
      </c>
      <c r="AL388" t="s">
        <v>324</v>
      </c>
      <c r="AM388" s="2" t="s">
        <v>324</v>
      </c>
      <c r="AN388" t="s">
        <v>324</v>
      </c>
      <c r="AO388" s="2" t="str">
        <f>HYPERLINK("http://exon.niaid.nih.gov/transcriptome/Tx_amboinensis_sialome/Table_1/links/SMART\TX-contig_244-SMART.txt","SO")</f>
        <v>SO</v>
      </c>
      <c r="AP388" t="str">
        <f>HYPERLINK("http://smart.embl-heidelberg.de/smart/do_annotation.pl?DOMAIN=SO&amp;BLAST=DUMMY","0.36")</f>
        <v>0.36</v>
      </c>
      <c r="AQ388" s="2" t="s">
        <v>324</v>
      </c>
      <c r="AR388" t="s">
        <v>324</v>
      </c>
      <c r="AS388" s="2" t="s">
        <v>324</v>
      </c>
      <c r="AT388" t="s">
        <v>324</v>
      </c>
    </row>
    <row r="389" spans="1:46" ht="11.25">
      <c r="A389" t="str">
        <f>HYPERLINK("http://exon.niaid.nih.gov/transcriptome/Tx_amboinensis_sialome/Table_1/links/TX-contig_247.txt","TX-contig_247")</f>
        <v>TX-contig_247</v>
      </c>
      <c r="B389" t="str">
        <f>HYPERLINK("http://exon.niaid.nih.gov/transcriptome/Tx_amboinensis_sialome/Table_1/links/TX-5-90-90-asb-247.txt","Contig-247")</f>
        <v>Contig-247</v>
      </c>
      <c r="C389" t="str">
        <f>HYPERLINK("http://exon.niaid.nih.gov/transcriptome/Tx_amboinensis_sialome/Table_1/links/TX-5-90-90-247-CLU.txt","Contig247")</f>
        <v>Contig247</v>
      </c>
      <c r="D389" s="4">
        <v>1</v>
      </c>
      <c r="E389">
        <v>105</v>
      </c>
      <c r="F389" t="s">
        <v>322</v>
      </c>
      <c r="G389">
        <v>73.3</v>
      </c>
      <c r="H389">
        <v>77</v>
      </c>
      <c r="I389">
        <v>247</v>
      </c>
      <c r="J389" t="s">
        <v>560</v>
      </c>
      <c r="K389">
        <v>77</v>
      </c>
      <c r="L389" s="3" t="s">
        <v>1036</v>
      </c>
      <c r="M389" s="4">
        <v>0</v>
      </c>
      <c r="N389" s="4">
        <v>0</v>
      </c>
      <c r="O389" s="4">
        <v>0</v>
      </c>
      <c r="P389" s="4">
        <v>0</v>
      </c>
      <c r="Q389" s="5" t="s">
        <v>1039</v>
      </c>
      <c r="Y389" t="s">
        <v>324</v>
      </c>
      <c r="Z389" s="2" t="s">
        <v>324</v>
      </c>
      <c r="AA389" t="s">
        <v>324</v>
      </c>
      <c r="AB389" t="s">
        <v>324</v>
      </c>
      <c r="AC389" t="s">
        <v>324</v>
      </c>
      <c r="AD389" t="s">
        <v>324</v>
      </c>
      <c r="AE389" t="s">
        <v>324</v>
      </c>
      <c r="AF389" t="s">
        <v>324</v>
      </c>
      <c r="AG389" s="2" t="s">
        <v>324</v>
      </c>
      <c r="AH389" t="s">
        <v>324</v>
      </c>
      <c r="AI389" t="s">
        <v>324</v>
      </c>
      <c r="AJ389" s="2" t="s">
        <v>324</v>
      </c>
      <c r="AK389" t="s">
        <v>324</v>
      </c>
      <c r="AL389" t="s">
        <v>324</v>
      </c>
      <c r="AM389" s="2" t="s">
        <v>324</v>
      </c>
      <c r="AN389" t="s">
        <v>324</v>
      </c>
      <c r="AO389" s="2" t="s">
        <v>324</v>
      </c>
      <c r="AP389" t="s">
        <v>324</v>
      </c>
      <c r="AQ389" s="2" t="s">
        <v>324</v>
      </c>
      <c r="AR389" t="s">
        <v>324</v>
      </c>
      <c r="AS389" s="2" t="s">
        <v>324</v>
      </c>
      <c r="AT389" t="s">
        <v>324</v>
      </c>
    </row>
    <row r="390" spans="1:46" ht="11.25">
      <c r="A390" t="str">
        <f>HYPERLINK("http://exon.niaid.nih.gov/transcriptome/Tx_amboinensis_sialome/Table_1/links/TX-contig_249.txt","TX-contig_249")</f>
        <v>TX-contig_249</v>
      </c>
      <c r="B390" t="str">
        <f>HYPERLINK("http://exon.niaid.nih.gov/transcriptome/Tx_amboinensis_sialome/Table_1/links/TX-5-90-90-asb-249.txt","Contig-249")</f>
        <v>Contig-249</v>
      </c>
      <c r="C390" t="str">
        <f>HYPERLINK("http://exon.niaid.nih.gov/transcriptome/Tx_amboinensis_sialome/Table_1/links/TX-5-90-90-249-CLU.txt","Contig249")</f>
        <v>Contig249</v>
      </c>
      <c r="D390" s="4">
        <v>1</v>
      </c>
      <c r="E390">
        <v>102</v>
      </c>
      <c r="F390">
        <v>1</v>
      </c>
      <c r="G390">
        <v>77.5</v>
      </c>
      <c r="H390">
        <v>74</v>
      </c>
      <c r="I390">
        <v>249</v>
      </c>
      <c r="J390" t="s">
        <v>562</v>
      </c>
      <c r="K390">
        <v>74</v>
      </c>
      <c r="L390" s="3" t="s">
        <v>1036</v>
      </c>
      <c r="M390" s="4">
        <v>0</v>
      </c>
      <c r="N390" s="4">
        <v>0</v>
      </c>
      <c r="O390" s="4">
        <v>0</v>
      </c>
      <c r="P390" s="4">
        <v>0</v>
      </c>
      <c r="Q390" s="5" t="s">
        <v>1039</v>
      </c>
      <c r="Y390" t="s">
        <v>324</v>
      </c>
      <c r="Z390" s="2" t="s">
        <v>324</v>
      </c>
      <c r="AA390" t="s">
        <v>324</v>
      </c>
      <c r="AB390" t="s">
        <v>324</v>
      </c>
      <c r="AC390" t="s">
        <v>324</v>
      </c>
      <c r="AD390" t="s">
        <v>324</v>
      </c>
      <c r="AE390" t="s">
        <v>324</v>
      </c>
      <c r="AF390" t="s">
        <v>324</v>
      </c>
      <c r="AG390" s="2" t="s">
        <v>324</v>
      </c>
      <c r="AH390" t="s">
        <v>324</v>
      </c>
      <c r="AI390" t="s">
        <v>324</v>
      </c>
      <c r="AJ390" s="2" t="s">
        <v>324</v>
      </c>
      <c r="AK390" t="s">
        <v>324</v>
      </c>
      <c r="AL390" t="s">
        <v>324</v>
      </c>
      <c r="AM390" s="2" t="s">
        <v>324</v>
      </c>
      <c r="AN390" t="s">
        <v>324</v>
      </c>
      <c r="AO390" s="2" t="s">
        <v>324</v>
      </c>
      <c r="AP390" t="s">
        <v>324</v>
      </c>
      <c r="AQ390" s="2" t="s">
        <v>324</v>
      </c>
      <c r="AR390" t="s">
        <v>324</v>
      </c>
      <c r="AS390" s="2" t="s">
        <v>324</v>
      </c>
      <c r="AT390" t="s">
        <v>324</v>
      </c>
    </row>
    <row r="391" spans="1:46" ht="11.25">
      <c r="A391" t="str">
        <f>HYPERLINK("http://exon.niaid.nih.gov/transcriptome/Tx_amboinensis_sialome/Table_1/links/TX-contig_251.txt","TX-contig_251")</f>
        <v>TX-contig_251</v>
      </c>
      <c r="B391" t="str">
        <f>HYPERLINK("http://exon.niaid.nih.gov/transcriptome/Tx_amboinensis_sialome/Table_1/links/TX-5-90-90-asb-251.txt","Contig-251")</f>
        <v>Contig-251</v>
      </c>
      <c r="C391" t="str">
        <f>HYPERLINK("http://exon.niaid.nih.gov/transcriptome/Tx_amboinensis_sialome/Table_1/links/TX-5-90-90-251-CLU.txt","Contig251")</f>
        <v>Contig251</v>
      </c>
      <c r="D391" s="4">
        <v>1</v>
      </c>
      <c r="E391">
        <v>130</v>
      </c>
      <c r="F391">
        <v>1.5</v>
      </c>
      <c r="G391">
        <v>93.1</v>
      </c>
      <c r="H391">
        <v>23</v>
      </c>
      <c r="I391">
        <v>251</v>
      </c>
      <c r="J391" t="s">
        <v>564</v>
      </c>
      <c r="K391">
        <v>23</v>
      </c>
      <c r="L391" s="3" t="s">
        <v>1036</v>
      </c>
      <c r="M391" s="4">
        <v>0</v>
      </c>
      <c r="N391" s="4">
        <v>0</v>
      </c>
      <c r="O391" s="4">
        <v>0</v>
      </c>
      <c r="P391" s="4">
        <v>0</v>
      </c>
      <c r="Q391" s="5" t="s">
        <v>1039</v>
      </c>
      <c r="Y391" t="s">
        <v>324</v>
      </c>
      <c r="Z391" s="2" t="s">
        <v>324</v>
      </c>
      <c r="AA391" t="s">
        <v>324</v>
      </c>
      <c r="AB391" t="s">
        <v>324</v>
      </c>
      <c r="AC391" t="s">
        <v>324</v>
      </c>
      <c r="AD391" t="s">
        <v>324</v>
      </c>
      <c r="AE391" t="s">
        <v>324</v>
      </c>
      <c r="AF391" t="s">
        <v>324</v>
      </c>
      <c r="AG391" s="2" t="s">
        <v>324</v>
      </c>
      <c r="AH391" t="s">
        <v>324</v>
      </c>
      <c r="AI391" t="s">
        <v>324</v>
      </c>
      <c r="AJ391" s="2" t="s">
        <v>324</v>
      </c>
      <c r="AK391" t="s">
        <v>324</v>
      </c>
      <c r="AL391" t="s">
        <v>324</v>
      </c>
      <c r="AM391" s="2" t="s">
        <v>324</v>
      </c>
      <c r="AN391" t="s">
        <v>324</v>
      </c>
      <c r="AO391" s="2" t="s">
        <v>324</v>
      </c>
      <c r="AP391" t="s">
        <v>324</v>
      </c>
      <c r="AQ391" s="2" t="s">
        <v>324</v>
      </c>
      <c r="AR391" t="s">
        <v>324</v>
      </c>
      <c r="AS391" s="2" t="s">
        <v>324</v>
      </c>
      <c r="AT391" t="s">
        <v>324</v>
      </c>
    </row>
    <row r="392" spans="1:46" ht="11.25">
      <c r="A392" t="str">
        <f>HYPERLINK("http://exon.niaid.nih.gov/transcriptome/Tx_amboinensis_sialome/Table_1/links/TX-contig_252.txt","TX-contig_252")</f>
        <v>TX-contig_252</v>
      </c>
      <c r="B392" t="str">
        <f>HYPERLINK("http://exon.niaid.nih.gov/transcriptome/Tx_amboinensis_sialome/Table_1/links/TX-5-90-90-asb-252.txt","Contig-252")</f>
        <v>Contig-252</v>
      </c>
      <c r="C392" t="str">
        <f>HYPERLINK("http://exon.niaid.nih.gov/transcriptome/Tx_amboinensis_sialome/Table_1/links/TX-5-90-90-252-CLU.txt","Contig252")</f>
        <v>Contig252</v>
      </c>
      <c r="D392" s="4">
        <v>1</v>
      </c>
      <c r="E392">
        <v>108</v>
      </c>
      <c r="F392">
        <v>0.9</v>
      </c>
      <c r="G392">
        <v>70.4</v>
      </c>
      <c r="H392">
        <v>81</v>
      </c>
      <c r="I392">
        <v>252</v>
      </c>
      <c r="J392" t="s">
        <v>565</v>
      </c>
      <c r="K392">
        <v>81</v>
      </c>
      <c r="L392" s="3" t="s">
        <v>1036</v>
      </c>
      <c r="M392" s="4">
        <v>0</v>
      </c>
      <c r="N392" s="4">
        <v>0</v>
      </c>
      <c r="O392" s="4">
        <v>0</v>
      </c>
      <c r="P392" s="4">
        <v>0</v>
      </c>
      <c r="Q392" s="5" t="s">
        <v>1039</v>
      </c>
      <c r="Y392" t="s">
        <v>324</v>
      </c>
      <c r="Z392" s="2" t="s">
        <v>324</v>
      </c>
      <c r="AA392" t="s">
        <v>324</v>
      </c>
      <c r="AB392" t="s">
        <v>324</v>
      </c>
      <c r="AC392" t="s">
        <v>324</v>
      </c>
      <c r="AD392" t="s">
        <v>324</v>
      </c>
      <c r="AE392" t="s">
        <v>324</v>
      </c>
      <c r="AF392" t="s">
        <v>324</v>
      </c>
      <c r="AG392" s="2" t="s">
        <v>324</v>
      </c>
      <c r="AH392" t="s">
        <v>324</v>
      </c>
      <c r="AI392" t="s">
        <v>324</v>
      </c>
      <c r="AJ392" s="2" t="s">
        <v>324</v>
      </c>
      <c r="AK392" t="s">
        <v>324</v>
      </c>
      <c r="AL392" t="s">
        <v>324</v>
      </c>
      <c r="AM392" s="2" t="s">
        <v>324</v>
      </c>
      <c r="AN392" t="s">
        <v>324</v>
      </c>
      <c r="AO392" s="2" t="s">
        <v>324</v>
      </c>
      <c r="AP392" t="s">
        <v>324</v>
      </c>
      <c r="AQ392" s="2" t="s">
        <v>324</v>
      </c>
      <c r="AR392" t="s">
        <v>324</v>
      </c>
      <c r="AS392" s="2" t="s">
        <v>324</v>
      </c>
      <c r="AT392" t="s">
        <v>324</v>
      </c>
    </row>
    <row r="393" spans="1:46" ht="11.25">
      <c r="A393" t="str">
        <f>HYPERLINK("http://exon.niaid.nih.gov/transcriptome/Tx_amboinensis_sialome/Table_1/links/TX-contig_255.txt","TX-contig_255")</f>
        <v>TX-contig_255</v>
      </c>
      <c r="B393" t="str">
        <f>HYPERLINK("http://exon.niaid.nih.gov/transcriptome/Tx_amboinensis_sialome/Table_1/links/TX-5-90-90-asb-255.txt","Contig-255")</f>
        <v>Contig-255</v>
      </c>
      <c r="C393" t="str">
        <f>HYPERLINK("http://exon.niaid.nih.gov/transcriptome/Tx_amboinensis_sialome/Table_1/links/TX-5-90-90-255-CLU.txt","Contig255")</f>
        <v>Contig255</v>
      </c>
      <c r="D393" s="4">
        <v>1</v>
      </c>
      <c r="E393">
        <v>128</v>
      </c>
      <c r="F393" t="s">
        <v>322</v>
      </c>
      <c r="G393">
        <v>100</v>
      </c>
      <c r="H393">
        <v>1</v>
      </c>
      <c r="I393">
        <v>255</v>
      </c>
      <c r="J393" t="s">
        <v>568</v>
      </c>
      <c r="K393">
        <v>1</v>
      </c>
      <c r="L393" s="3" t="s">
        <v>1036</v>
      </c>
      <c r="M393" s="4">
        <v>0</v>
      </c>
      <c r="N393" s="4">
        <v>0</v>
      </c>
      <c r="O393" s="4">
        <v>0</v>
      </c>
      <c r="P393" s="4">
        <v>0</v>
      </c>
      <c r="Q393" s="5" t="s">
        <v>1039</v>
      </c>
      <c r="Y393" t="s">
        <v>324</v>
      </c>
      <c r="Z393" s="2" t="s">
        <v>324</v>
      </c>
      <c r="AA393" t="s">
        <v>324</v>
      </c>
      <c r="AB393" t="s">
        <v>324</v>
      </c>
      <c r="AC393" t="s">
        <v>324</v>
      </c>
      <c r="AD393" t="s">
        <v>324</v>
      </c>
      <c r="AE393" t="s">
        <v>324</v>
      </c>
      <c r="AF393" t="s">
        <v>324</v>
      </c>
      <c r="AG393" s="2" t="s">
        <v>324</v>
      </c>
      <c r="AH393" t="s">
        <v>324</v>
      </c>
      <c r="AI393" t="s">
        <v>324</v>
      </c>
      <c r="AJ393" s="2" t="s">
        <v>324</v>
      </c>
      <c r="AK393" t="s">
        <v>324</v>
      </c>
      <c r="AL393" t="s">
        <v>324</v>
      </c>
      <c r="AM393" s="2" t="s">
        <v>324</v>
      </c>
      <c r="AN393" t="s">
        <v>324</v>
      </c>
      <c r="AO393" s="2" t="s">
        <v>324</v>
      </c>
      <c r="AP393" t="s">
        <v>324</v>
      </c>
      <c r="AQ393" s="2" t="s">
        <v>324</v>
      </c>
      <c r="AR393" t="s">
        <v>324</v>
      </c>
      <c r="AS393" s="2" t="s">
        <v>324</v>
      </c>
      <c r="AT393" t="s">
        <v>324</v>
      </c>
    </row>
    <row r="394" spans="1:46" ht="11.25">
      <c r="A394" t="str">
        <f>HYPERLINK("http://exon.niaid.nih.gov/transcriptome/Tx_amboinensis_sialome/Table_1/links/TX-contig_257.txt","TX-contig_257")</f>
        <v>TX-contig_257</v>
      </c>
      <c r="B394" t="str">
        <f>HYPERLINK("http://exon.niaid.nih.gov/transcriptome/Tx_amboinensis_sialome/Table_1/links/TX-5-90-90-asb-257.txt","Contig-257")</f>
        <v>Contig-257</v>
      </c>
      <c r="C394" t="str">
        <f>HYPERLINK("http://exon.niaid.nih.gov/transcriptome/Tx_amboinensis_sialome/Table_1/links/TX-5-90-90-257-CLU.txt","Contig257")</f>
        <v>Contig257</v>
      </c>
      <c r="D394" s="4">
        <v>1</v>
      </c>
      <c r="E394">
        <v>100</v>
      </c>
      <c r="F394">
        <v>2</v>
      </c>
      <c r="G394">
        <v>73</v>
      </c>
      <c r="H394">
        <v>74</v>
      </c>
      <c r="I394">
        <v>257</v>
      </c>
      <c r="J394" t="s">
        <v>570</v>
      </c>
      <c r="K394">
        <v>74</v>
      </c>
      <c r="L394" s="3" t="s">
        <v>1036</v>
      </c>
      <c r="M394" s="4">
        <v>0</v>
      </c>
      <c r="N394" s="4">
        <v>0</v>
      </c>
      <c r="O394" s="4">
        <v>0</v>
      </c>
      <c r="P394" s="4">
        <v>0</v>
      </c>
      <c r="Q394" s="5" t="s">
        <v>1039</v>
      </c>
      <c r="R394" s="2" t="str">
        <f>HYPERLINK("http://exon.niaid.nih.gov/transcriptome/Tx_amboinensis_sialome/Table_1/links/NR\TX-contig_257-NR.txt","LOC561190 protein [Danio rerio]             31      15")</f>
        <v>LOC561190 protein [Danio rerio]             31      15</v>
      </c>
      <c r="S394" s="4" t="str">
        <f>HYPERLINK("http://www.ncbi.nlm.nih.gov/sutils/blink.cgi?pid=66911281","15")</f>
        <v>15</v>
      </c>
      <c r="T394" t="s">
        <v>202</v>
      </c>
      <c r="U394" s="4">
        <v>42</v>
      </c>
      <c r="V394" s="4">
        <v>9</v>
      </c>
      <c r="W394" t="s">
        <v>1020</v>
      </c>
      <c r="X394" t="s">
        <v>203</v>
      </c>
      <c r="Y394" t="s">
        <v>324</v>
      </c>
      <c r="Z394" s="2" t="s">
        <v>324</v>
      </c>
      <c r="AA394" t="s">
        <v>324</v>
      </c>
      <c r="AB394" t="s">
        <v>324</v>
      </c>
      <c r="AC394" t="s">
        <v>324</v>
      </c>
      <c r="AD394" t="s">
        <v>324</v>
      </c>
      <c r="AE394" t="s">
        <v>324</v>
      </c>
      <c r="AF394" t="s">
        <v>324</v>
      </c>
      <c r="AG394" s="2" t="s">
        <v>324</v>
      </c>
      <c r="AH394" t="s">
        <v>324</v>
      </c>
      <c r="AI394" t="s">
        <v>324</v>
      </c>
      <c r="AJ394" s="2" t="s">
        <v>324</v>
      </c>
      <c r="AK394" t="s">
        <v>324</v>
      </c>
      <c r="AL394" t="s">
        <v>324</v>
      </c>
      <c r="AM394" s="2" t="s">
        <v>324</v>
      </c>
      <c r="AN394" t="s">
        <v>324</v>
      </c>
      <c r="AO394" s="2" t="s">
        <v>324</v>
      </c>
      <c r="AP394" t="s">
        <v>324</v>
      </c>
      <c r="AQ394" s="2" t="s">
        <v>324</v>
      </c>
      <c r="AR394" t="s">
        <v>324</v>
      </c>
      <c r="AS394" s="2" t="s">
        <v>324</v>
      </c>
      <c r="AT394" t="s">
        <v>324</v>
      </c>
    </row>
    <row r="395" spans="1:46" ht="11.25">
      <c r="A395" t="str">
        <f>HYPERLINK("http://exon.niaid.nih.gov/transcriptome/Tx_amboinensis_sialome/Table_1/links/TX-contig_262.txt","TX-contig_262")</f>
        <v>TX-contig_262</v>
      </c>
      <c r="B395" t="str">
        <f>HYPERLINK("http://exon.niaid.nih.gov/transcriptome/Tx_amboinensis_sialome/Table_1/links/TX-5-90-90-asb-262.txt","Contig-262")</f>
        <v>Contig-262</v>
      </c>
      <c r="C395" t="str">
        <f>HYPERLINK("http://exon.niaid.nih.gov/transcriptome/Tx_amboinensis_sialome/Table_1/links/TX-5-90-90-262-CLU.txt","Contig262")</f>
        <v>Contig262</v>
      </c>
      <c r="D395" s="4">
        <v>1</v>
      </c>
      <c r="E395">
        <v>133</v>
      </c>
      <c r="F395" t="s">
        <v>322</v>
      </c>
      <c r="G395">
        <v>57.9</v>
      </c>
      <c r="H395">
        <v>114</v>
      </c>
      <c r="I395">
        <v>262</v>
      </c>
      <c r="J395" t="s">
        <v>575</v>
      </c>
      <c r="K395">
        <v>114</v>
      </c>
      <c r="L395" s="3" t="s">
        <v>1036</v>
      </c>
      <c r="M395" s="4">
        <v>0</v>
      </c>
      <c r="N395" s="4">
        <v>0</v>
      </c>
      <c r="O395" s="4">
        <v>0</v>
      </c>
      <c r="P395" s="4">
        <v>0</v>
      </c>
      <c r="Q395" s="5" t="s">
        <v>1039</v>
      </c>
      <c r="Y395" t="s">
        <v>324</v>
      </c>
      <c r="Z395" s="2" t="s">
        <v>324</v>
      </c>
      <c r="AA395" t="s">
        <v>324</v>
      </c>
      <c r="AB395" t="s">
        <v>324</v>
      </c>
      <c r="AC395" t="s">
        <v>324</v>
      </c>
      <c r="AD395" t="s">
        <v>324</v>
      </c>
      <c r="AE395" t="s">
        <v>324</v>
      </c>
      <c r="AF395" t="s">
        <v>324</v>
      </c>
      <c r="AG395" s="2" t="s">
        <v>324</v>
      </c>
      <c r="AH395" t="s">
        <v>324</v>
      </c>
      <c r="AI395" t="s">
        <v>324</v>
      </c>
      <c r="AJ395" s="2" t="s">
        <v>324</v>
      </c>
      <c r="AK395" t="s">
        <v>324</v>
      </c>
      <c r="AL395" t="s">
        <v>324</v>
      </c>
      <c r="AM395" s="2" t="s">
        <v>324</v>
      </c>
      <c r="AN395" t="s">
        <v>324</v>
      </c>
      <c r="AO395" s="2" t="str">
        <f>HYPERLINK("http://exon.niaid.nih.gov/transcriptome/Tx_amboinensis_sialome/Table_1/links/SMART\TX-contig_262-SMART.txt","IFabd")</f>
        <v>IFabd</v>
      </c>
      <c r="AP395" t="str">
        <f>HYPERLINK("http://smart.embl-heidelberg.de/smart/do_annotation.pl?DOMAIN=IFabd&amp;BLAST=DUMMY","0.15")</f>
        <v>0.15</v>
      </c>
      <c r="AQ395" s="2" t="s">
        <v>324</v>
      </c>
      <c r="AR395" t="s">
        <v>324</v>
      </c>
      <c r="AS395" s="2" t="s">
        <v>324</v>
      </c>
      <c r="AT395" t="s">
        <v>324</v>
      </c>
    </row>
    <row r="396" spans="1:46" ht="11.25">
      <c r="A396" t="str">
        <f>HYPERLINK("http://exon.niaid.nih.gov/transcriptome/Tx_amboinensis_sialome/Table_1/links/TX-contig_264.txt","TX-contig_264")</f>
        <v>TX-contig_264</v>
      </c>
      <c r="B396" t="str">
        <f>HYPERLINK("http://exon.niaid.nih.gov/transcriptome/Tx_amboinensis_sialome/Table_1/links/TX-5-90-90-asb-264.txt","Contig-264")</f>
        <v>Contig-264</v>
      </c>
      <c r="C396" t="str">
        <f>HYPERLINK("http://exon.niaid.nih.gov/transcriptome/Tx_amboinensis_sialome/Table_1/links/TX-5-90-90-264-CLU.txt","Contig264")</f>
        <v>Contig264</v>
      </c>
      <c r="D396" s="4">
        <v>1</v>
      </c>
      <c r="E396">
        <v>118</v>
      </c>
      <c r="F396" t="s">
        <v>322</v>
      </c>
      <c r="G396">
        <v>96.6</v>
      </c>
      <c r="H396">
        <v>11</v>
      </c>
      <c r="I396">
        <v>264</v>
      </c>
      <c r="J396" t="s">
        <v>577</v>
      </c>
      <c r="K396">
        <v>11</v>
      </c>
      <c r="L396" s="3" t="s">
        <v>1036</v>
      </c>
      <c r="M396" s="4">
        <v>0</v>
      </c>
      <c r="N396" s="4">
        <v>0</v>
      </c>
      <c r="O396" s="4">
        <v>0</v>
      </c>
      <c r="P396" s="4">
        <v>0</v>
      </c>
      <c r="Q396" s="5" t="s">
        <v>1039</v>
      </c>
      <c r="Y396" t="s">
        <v>324</v>
      </c>
      <c r="Z396" s="2" t="s">
        <v>324</v>
      </c>
      <c r="AA396" t="s">
        <v>324</v>
      </c>
      <c r="AB396" t="s">
        <v>324</v>
      </c>
      <c r="AC396" t="s">
        <v>324</v>
      </c>
      <c r="AD396" t="s">
        <v>324</v>
      </c>
      <c r="AE396" t="s">
        <v>324</v>
      </c>
      <c r="AF396" t="s">
        <v>324</v>
      </c>
      <c r="AG396" s="2" t="s">
        <v>324</v>
      </c>
      <c r="AH396" t="s">
        <v>324</v>
      </c>
      <c r="AI396" t="s">
        <v>324</v>
      </c>
      <c r="AJ396" s="2" t="s">
        <v>324</v>
      </c>
      <c r="AK396" t="s">
        <v>324</v>
      </c>
      <c r="AL396" t="s">
        <v>324</v>
      </c>
      <c r="AM396" s="2" t="s">
        <v>324</v>
      </c>
      <c r="AN396" t="s">
        <v>324</v>
      </c>
      <c r="AO396" s="2" t="s">
        <v>324</v>
      </c>
      <c r="AP396" t="s">
        <v>324</v>
      </c>
      <c r="AQ396" s="2" t="s">
        <v>324</v>
      </c>
      <c r="AR396" t="s">
        <v>324</v>
      </c>
      <c r="AS396" s="2" t="s">
        <v>324</v>
      </c>
      <c r="AT396" t="s">
        <v>324</v>
      </c>
    </row>
    <row r="397" spans="1:46" ht="11.25">
      <c r="A397" t="str">
        <f>HYPERLINK("http://exon.niaid.nih.gov/transcriptome/Tx_amboinensis_sialome/Table_1/links/TX-contig_265.txt","TX-contig_265")</f>
        <v>TX-contig_265</v>
      </c>
      <c r="B397" t="str">
        <f>HYPERLINK("http://exon.niaid.nih.gov/transcriptome/Tx_amboinensis_sialome/Table_1/links/TX-5-90-90-asb-265.txt","Contig-265")</f>
        <v>Contig-265</v>
      </c>
      <c r="C397" t="str">
        <f>HYPERLINK("http://exon.niaid.nih.gov/transcriptome/Tx_amboinensis_sialome/Table_1/links/TX-5-90-90-265-CLU.txt","Contig265")</f>
        <v>Contig265</v>
      </c>
      <c r="D397" s="4">
        <v>1</v>
      </c>
      <c r="E397">
        <v>119</v>
      </c>
      <c r="F397" t="s">
        <v>322</v>
      </c>
      <c r="G397">
        <v>65.5</v>
      </c>
      <c r="H397">
        <v>100</v>
      </c>
      <c r="I397">
        <v>265</v>
      </c>
      <c r="J397" t="s">
        <v>578</v>
      </c>
      <c r="K397">
        <v>100</v>
      </c>
      <c r="L397" s="3" t="s">
        <v>1036</v>
      </c>
      <c r="M397" s="4">
        <v>0</v>
      </c>
      <c r="N397" s="4">
        <v>0</v>
      </c>
      <c r="O397" s="4">
        <v>0</v>
      </c>
      <c r="P397" s="4">
        <v>0</v>
      </c>
      <c r="Q397" s="5" t="s">
        <v>1039</v>
      </c>
      <c r="Y397" t="s">
        <v>324</v>
      </c>
      <c r="Z397" s="2" t="s">
        <v>324</v>
      </c>
      <c r="AA397" t="s">
        <v>324</v>
      </c>
      <c r="AB397" t="s">
        <v>324</v>
      </c>
      <c r="AC397" t="s">
        <v>324</v>
      </c>
      <c r="AD397" t="s">
        <v>324</v>
      </c>
      <c r="AE397" t="s">
        <v>324</v>
      </c>
      <c r="AF397" t="s">
        <v>324</v>
      </c>
      <c r="AG397" s="2" t="s">
        <v>324</v>
      </c>
      <c r="AH397" t="s">
        <v>324</v>
      </c>
      <c r="AI397" t="s">
        <v>324</v>
      </c>
      <c r="AJ397" s="2" t="s">
        <v>324</v>
      </c>
      <c r="AK397" t="s">
        <v>324</v>
      </c>
      <c r="AL397" t="s">
        <v>324</v>
      </c>
      <c r="AM397" s="2" t="str">
        <f>HYPERLINK("http://exon.niaid.nih.gov/transcriptome/Tx_amboinensis_sialome/Table_1/links/PFAM\TX-contig_265-PFAM.txt","Phosphoesterase")</f>
        <v>Phosphoesterase</v>
      </c>
      <c r="AN397" t="str">
        <f>HYPERLINK("http://pfam.wustl.edu/cgi-bin/getdesc?acc=PF04185","0.82")</f>
        <v>0.82</v>
      </c>
      <c r="AO397" s="2" t="s">
        <v>324</v>
      </c>
      <c r="AP397" t="s">
        <v>324</v>
      </c>
      <c r="AQ397" s="2" t="s">
        <v>324</v>
      </c>
      <c r="AR397" t="s">
        <v>324</v>
      </c>
      <c r="AS397" s="2" t="s">
        <v>324</v>
      </c>
      <c r="AT397" t="s">
        <v>324</v>
      </c>
    </row>
    <row r="398" spans="1:46" ht="11.25">
      <c r="A398" t="str">
        <f>HYPERLINK("http://exon.niaid.nih.gov/transcriptome/Tx_amboinensis_sialome/Table_1/links/TX-contig_267.txt","TX-contig_267")</f>
        <v>TX-contig_267</v>
      </c>
      <c r="B398" t="str">
        <f>HYPERLINK("http://exon.niaid.nih.gov/transcriptome/Tx_amboinensis_sialome/Table_1/links/TX-5-90-90-asb-267.txt","Contig-267")</f>
        <v>Contig-267</v>
      </c>
      <c r="C398" t="str">
        <f>HYPERLINK("http://exon.niaid.nih.gov/transcriptome/Tx_amboinensis_sialome/Table_1/links/TX-5-90-90-267-CLU.txt","Contig267")</f>
        <v>Contig267</v>
      </c>
      <c r="D398" s="4">
        <v>1</v>
      </c>
      <c r="E398">
        <v>107</v>
      </c>
      <c r="F398" t="s">
        <v>322</v>
      </c>
      <c r="G398">
        <v>90.7</v>
      </c>
      <c r="H398">
        <v>14</v>
      </c>
      <c r="I398">
        <v>267</v>
      </c>
      <c r="J398" t="s">
        <v>580</v>
      </c>
      <c r="K398">
        <v>14</v>
      </c>
      <c r="L398" s="3" t="s">
        <v>1036</v>
      </c>
      <c r="M398" s="4">
        <v>0</v>
      </c>
      <c r="N398" s="4">
        <v>0</v>
      </c>
      <c r="O398" s="4">
        <v>0</v>
      </c>
      <c r="P398" s="4">
        <v>0</v>
      </c>
      <c r="Q398" s="5" t="s">
        <v>1039</v>
      </c>
      <c r="Y398" t="s">
        <v>324</v>
      </c>
      <c r="Z398" s="2" t="s">
        <v>324</v>
      </c>
      <c r="AA398" t="s">
        <v>324</v>
      </c>
      <c r="AB398" t="s">
        <v>324</v>
      </c>
      <c r="AC398" t="s">
        <v>324</v>
      </c>
      <c r="AD398" t="s">
        <v>324</v>
      </c>
      <c r="AE398" t="s">
        <v>324</v>
      </c>
      <c r="AF398" t="s">
        <v>324</v>
      </c>
      <c r="AG398" s="2" t="s">
        <v>324</v>
      </c>
      <c r="AH398" t="s">
        <v>324</v>
      </c>
      <c r="AI398" t="s">
        <v>324</v>
      </c>
      <c r="AJ398" s="2" t="s">
        <v>324</v>
      </c>
      <c r="AK398" t="s">
        <v>324</v>
      </c>
      <c r="AL398" t="s">
        <v>324</v>
      </c>
      <c r="AM398" s="2" t="s">
        <v>324</v>
      </c>
      <c r="AN398" t="s">
        <v>324</v>
      </c>
      <c r="AO398" s="2" t="s">
        <v>324</v>
      </c>
      <c r="AP398" t="s">
        <v>324</v>
      </c>
      <c r="AQ398" s="2" t="s">
        <v>324</v>
      </c>
      <c r="AR398" t="s">
        <v>324</v>
      </c>
      <c r="AS398" s="2" t="s">
        <v>324</v>
      </c>
      <c r="AT398" t="s">
        <v>324</v>
      </c>
    </row>
    <row r="399" spans="1:46" ht="11.25">
      <c r="A399" t="str">
        <f>HYPERLINK("http://exon.niaid.nih.gov/transcriptome/Tx_amboinensis_sialome/Table_1/links/TX-contig_268.txt","TX-contig_268")</f>
        <v>TX-contig_268</v>
      </c>
      <c r="B399" t="str">
        <f>HYPERLINK("http://exon.niaid.nih.gov/transcriptome/Tx_amboinensis_sialome/Table_1/links/TX-5-90-90-asb-268.txt","Contig-268")</f>
        <v>Contig-268</v>
      </c>
      <c r="C399" t="str">
        <f>HYPERLINK("http://exon.niaid.nih.gov/transcriptome/Tx_amboinensis_sialome/Table_1/links/TX-5-90-90-268-CLU.txt","Contig268")</f>
        <v>Contig268</v>
      </c>
      <c r="D399" s="4">
        <v>1</v>
      </c>
      <c r="E399">
        <v>109</v>
      </c>
      <c r="F399" t="s">
        <v>322</v>
      </c>
      <c r="G399">
        <v>100</v>
      </c>
      <c r="H399">
        <v>1</v>
      </c>
      <c r="I399">
        <v>268</v>
      </c>
      <c r="J399" t="s">
        <v>581</v>
      </c>
      <c r="K399">
        <v>1</v>
      </c>
      <c r="L399" s="3" t="s">
        <v>1036</v>
      </c>
      <c r="M399" s="4">
        <v>0</v>
      </c>
      <c r="N399" s="4">
        <v>0</v>
      </c>
      <c r="O399" s="4">
        <v>0</v>
      </c>
      <c r="P399" s="4">
        <v>0</v>
      </c>
      <c r="Q399" s="5" t="s">
        <v>1039</v>
      </c>
      <c r="Y399" t="s">
        <v>324</v>
      </c>
      <c r="Z399" s="2" t="s">
        <v>324</v>
      </c>
      <c r="AA399" t="s">
        <v>324</v>
      </c>
      <c r="AB399" t="s">
        <v>324</v>
      </c>
      <c r="AC399" t="s">
        <v>324</v>
      </c>
      <c r="AD399" t="s">
        <v>324</v>
      </c>
      <c r="AE399" t="s">
        <v>324</v>
      </c>
      <c r="AF399" t="s">
        <v>324</v>
      </c>
      <c r="AG399" s="2" t="s">
        <v>324</v>
      </c>
      <c r="AH399" t="s">
        <v>324</v>
      </c>
      <c r="AI399" t="s">
        <v>324</v>
      </c>
      <c r="AJ399" s="2" t="s">
        <v>324</v>
      </c>
      <c r="AK399" t="s">
        <v>324</v>
      </c>
      <c r="AL399" t="s">
        <v>324</v>
      </c>
      <c r="AM399" s="2" t="s">
        <v>324</v>
      </c>
      <c r="AN399" t="s">
        <v>324</v>
      </c>
      <c r="AO399" s="2" t="s">
        <v>324</v>
      </c>
      <c r="AP399" t="s">
        <v>324</v>
      </c>
      <c r="AQ399" s="2" t="s">
        <v>324</v>
      </c>
      <c r="AR399" t="s">
        <v>324</v>
      </c>
      <c r="AS399" s="2" t="s">
        <v>324</v>
      </c>
      <c r="AT399" t="s">
        <v>324</v>
      </c>
    </row>
    <row r="400" spans="1:46" ht="11.25">
      <c r="A400" t="str">
        <f>HYPERLINK("http://exon.niaid.nih.gov/transcriptome/Tx_amboinensis_sialome/Table_1/links/TX-contig_274.txt","TX-contig_274")</f>
        <v>TX-contig_274</v>
      </c>
      <c r="B400" t="str">
        <f>HYPERLINK("http://exon.niaid.nih.gov/transcriptome/Tx_amboinensis_sialome/Table_1/links/TX-5-90-90-asb-274.txt","Contig-274")</f>
        <v>Contig-274</v>
      </c>
      <c r="C400" t="str">
        <f>HYPERLINK("http://exon.niaid.nih.gov/transcriptome/Tx_amboinensis_sialome/Table_1/links/TX-5-90-90-274-CLU.txt","Contig274")</f>
        <v>Contig274</v>
      </c>
      <c r="D400" s="4">
        <v>1</v>
      </c>
      <c r="E400">
        <v>142</v>
      </c>
      <c r="F400" t="s">
        <v>322</v>
      </c>
      <c r="G400">
        <v>97.2</v>
      </c>
      <c r="H400">
        <v>4</v>
      </c>
      <c r="I400">
        <v>274</v>
      </c>
      <c r="J400" t="s">
        <v>587</v>
      </c>
      <c r="K400">
        <v>4</v>
      </c>
      <c r="L400" s="3" t="s">
        <v>1036</v>
      </c>
      <c r="M400" s="4">
        <v>0</v>
      </c>
      <c r="N400" s="4">
        <v>0</v>
      </c>
      <c r="O400" s="4">
        <v>0</v>
      </c>
      <c r="P400" s="4">
        <v>0</v>
      </c>
      <c r="Q400" s="5" t="s">
        <v>1039</v>
      </c>
      <c r="Y400" t="s">
        <v>324</v>
      </c>
      <c r="Z400" s="2" t="s">
        <v>324</v>
      </c>
      <c r="AA400" t="s">
        <v>324</v>
      </c>
      <c r="AB400" t="s">
        <v>324</v>
      </c>
      <c r="AC400" t="s">
        <v>324</v>
      </c>
      <c r="AD400" t="s">
        <v>324</v>
      </c>
      <c r="AE400" t="s">
        <v>324</v>
      </c>
      <c r="AF400" t="s">
        <v>324</v>
      </c>
      <c r="AG400" s="2" t="s">
        <v>324</v>
      </c>
      <c r="AH400" t="s">
        <v>324</v>
      </c>
      <c r="AI400" t="s">
        <v>324</v>
      </c>
      <c r="AJ400" s="2" t="s">
        <v>324</v>
      </c>
      <c r="AK400" t="s">
        <v>324</v>
      </c>
      <c r="AL400" t="s">
        <v>324</v>
      </c>
      <c r="AM400" s="2" t="s">
        <v>324</v>
      </c>
      <c r="AN400" t="s">
        <v>324</v>
      </c>
      <c r="AO400" s="2" t="s">
        <v>324</v>
      </c>
      <c r="AP400" t="s">
        <v>324</v>
      </c>
      <c r="AQ400" s="2" t="s">
        <v>324</v>
      </c>
      <c r="AR400" t="s">
        <v>324</v>
      </c>
      <c r="AS400" s="2" t="s">
        <v>324</v>
      </c>
      <c r="AT400" t="s">
        <v>324</v>
      </c>
    </row>
    <row r="401" spans="1:46" ht="11.25">
      <c r="A401" t="str">
        <f>HYPERLINK("http://exon.niaid.nih.gov/transcriptome/Tx_amboinensis_sialome/Table_1/links/TX-contig_276.txt","TX-contig_276")</f>
        <v>TX-contig_276</v>
      </c>
      <c r="B401" t="str">
        <f>HYPERLINK("http://exon.niaid.nih.gov/transcriptome/Tx_amboinensis_sialome/Table_1/links/TX-5-90-90-asb-276.txt","Contig-276")</f>
        <v>Contig-276</v>
      </c>
      <c r="C401" t="str">
        <f>HYPERLINK("http://exon.niaid.nih.gov/transcriptome/Tx_amboinensis_sialome/Table_1/links/TX-5-90-90-276-CLU.txt","Contig276")</f>
        <v>Contig276</v>
      </c>
      <c r="D401" s="4">
        <v>1</v>
      </c>
      <c r="E401">
        <v>111</v>
      </c>
      <c r="F401">
        <v>0.9</v>
      </c>
      <c r="G401">
        <v>73</v>
      </c>
      <c r="H401">
        <v>70</v>
      </c>
      <c r="I401">
        <v>276</v>
      </c>
      <c r="J401" t="s">
        <v>589</v>
      </c>
      <c r="K401">
        <v>92</v>
      </c>
      <c r="L401" s="3" t="s">
        <v>1036</v>
      </c>
      <c r="M401" s="4">
        <v>0</v>
      </c>
      <c r="N401" s="4">
        <v>0</v>
      </c>
      <c r="O401" s="4">
        <v>0</v>
      </c>
      <c r="P401" s="4">
        <v>0</v>
      </c>
      <c r="Q401" s="5" t="s">
        <v>1039</v>
      </c>
      <c r="Y401" t="s">
        <v>324</v>
      </c>
      <c r="Z401" s="2" t="s">
        <v>324</v>
      </c>
      <c r="AA401" t="s">
        <v>324</v>
      </c>
      <c r="AB401" t="s">
        <v>324</v>
      </c>
      <c r="AC401" t="s">
        <v>324</v>
      </c>
      <c r="AD401" t="s">
        <v>324</v>
      </c>
      <c r="AE401" t="s">
        <v>324</v>
      </c>
      <c r="AF401" t="s">
        <v>324</v>
      </c>
      <c r="AG401" s="2" t="s">
        <v>324</v>
      </c>
      <c r="AH401" t="s">
        <v>324</v>
      </c>
      <c r="AI401" t="s">
        <v>324</v>
      </c>
      <c r="AJ401" s="2" t="s">
        <v>324</v>
      </c>
      <c r="AK401" t="s">
        <v>324</v>
      </c>
      <c r="AL401" t="s">
        <v>324</v>
      </c>
      <c r="AM401" s="2" t="s">
        <v>324</v>
      </c>
      <c r="AN401" t="s">
        <v>324</v>
      </c>
      <c r="AO401" s="2" t="s">
        <v>324</v>
      </c>
      <c r="AP401" t="s">
        <v>324</v>
      </c>
      <c r="AQ401" s="2" t="s">
        <v>324</v>
      </c>
      <c r="AR401" t="s">
        <v>324</v>
      </c>
      <c r="AS401" s="2" t="s">
        <v>324</v>
      </c>
      <c r="AT401" t="s">
        <v>324</v>
      </c>
    </row>
    <row r="402" spans="1:46" ht="11.25">
      <c r="A402" t="str">
        <f>HYPERLINK("http://exon.niaid.nih.gov/transcriptome/Tx_amboinensis_sialome/Table_1/links/TX-contig_277.txt","TX-contig_277")</f>
        <v>TX-contig_277</v>
      </c>
      <c r="B402" t="str">
        <f>HYPERLINK("http://exon.niaid.nih.gov/transcriptome/Tx_amboinensis_sialome/Table_1/links/TX-5-90-90-asb-277.txt","Contig-277")</f>
        <v>Contig-277</v>
      </c>
      <c r="C402" t="str">
        <f>HYPERLINK("http://exon.niaid.nih.gov/transcriptome/Tx_amboinensis_sialome/Table_1/links/TX-5-90-90-277-CLU.txt","Contig277")</f>
        <v>Contig277</v>
      </c>
      <c r="D402" s="4">
        <v>1</v>
      </c>
      <c r="E402">
        <v>92</v>
      </c>
      <c r="F402" t="s">
        <v>322</v>
      </c>
      <c r="G402">
        <v>91.3</v>
      </c>
      <c r="H402">
        <v>22</v>
      </c>
      <c r="I402">
        <v>277</v>
      </c>
      <c r="J402" t="s">
        <v>590</v>
      </c>
      <c r="K402">
        <v>22</v>
      </c>
      <c r="L402" s="3" t="s">
        <v>1036</v>
      </c>
      <c r="M402" s="4">
        <v>0</v>
      </c>
      <c r="N402" s="4">
        <v>0</v>
      </c>
      <c r="O402" s="4">
        <v>0</v>
      </c>
      <c r="P402" s="4">
        <v>0</v>
      </c>
      <c r="Q402" s="5" t="s">
        <v>1039</v>
      </c>
      <c r="Y402" t="s">
        <v>324</v>
      </c>
      <c r="Z402" s="2" t="s">
        <v>324</v>
      </c>
      <c r="AA402" t="s">
        <v>324</v>
      </c>
      <c r="AB402" t="s">
        <v>324</v>
      </c>
      <c r="AC402" t="s">
        <v>324</v>
      </c>
      <c r="AD402" t="s">
        <v>324</v>
      </c>
      <c r="AE402" t="s">
        <v>324</v>
      </c>
      <c r="AF402" t="s">
        <v>324</v>
      </c>
      <c r="AG402" s="2" t="s">
        <v>324</v>
      </c>
      <c r="AH402" t="s">
        <v>324</v>
      </c>
      <c r="AI402" t="s">
        <v>324</v>
      </c>
      <c r="AJ402" s="2" t="s">
        <v>324</v>
      </c>
      <c r="AK402" t="s">
        <v>324</v>
      </c>
      <c r="AL402" t="s">
        <v>324</v>
      </c>
      <c r="AM402" s="2" t="s">
        <v>324</v>
      </c>
      <c r="AN402" t="s">
        <v>324</v>
      </c>
      <c r="AO402" s="2" t="s">
        <v>324</v>
      </c>
      <c r="AP402" t="s">
        <v>324</v>
      </c>
      <c r="AQ402" s="2" t="s">
        <v>324</v>
      </c>
      <c r="AR402" t="s">
        <v>324</v>
      </c>
      <c r="AS402" s="2" t="s">
        <v>324</v>
      </c>
      <c r="AT402" t="s">
        <v>324</v>
      </c>
    </row>
    <row r="403" spans="1:46" ht="11.25">
      <c r="A403" t="str">
        <f>HYPERLINK("http://exon.niaid.nih.gov/transcriptome/Tx_amboinensis_sialome/Table_1/links/TX-contig_280.txt","TX-contig_280")</f>
        <v>TX-contig_280</v>
      </c>
      <c r="B403" t="str">
        <f>HYPERLINK("http://exon.niaid.nih.gov/transcriptome/Tx_amboinensis_sialome/Table_1/links/TX-5-90-90-asb-280.txt","Contig-280")</f>
        <v>Contig-280</v>
      </c>
      <c r="C403" t="str">
        <f>HYPERLINK("http://exon.niaid.nih.gov/transcriptome/Tx_amboinensis_sialome/Table_1/links/TX-5-90-90-280-CLU.txt","Contig280")</f>
        <v>Contig280</v>
      </c>
      <c r="D403" s="4">
        <v>1</v>
      </c>
      <c r="E403">
        <v>119</v>
      </c>
      <c r="F403">
        <v>0.8</v>
      </c>
      <c r="G403">
        <v>73.1</v>
      </c>
      <c r="H403">
        <v>100</v>
      </c>
      <c r="I403">
        <v>280</v>
      </c>
      <c r="J403" t="s">
        <v>593</v>
      </c>
      <c r="K403">
        <v>100</v>
      </c>
      <c r="L403" s="3" t="s">
        <v>1036</v>
      </c>
      <c r="M403" s="4">
        <v>0</v>
      </c>
      <c r="N403" s="4">
        <v>0</v>
      </c>
      <c r="O403" s="4">
        <v>0</v>
      </c>
      <c r="P403" s="4">
        <v>0</v>
      </c>
      <c r="Q403" s="5" t="s">
        <v>1039</v>
      </c>
      <c r="Y403" t="s">
        <v>324</v>
      </c>
      <c r="Z403" s="2" t="s">
        <v>324</v>
      </c>
      <c r="AA403" t="s">
        <v>324</v>
      </c>
      <c r="AB403" t="s">
        <v>324</v>
      </c>
      <c r="AC403" t="s">
        <v>324</v>
      </c>
      <c r="AD403" t="s">
        <v>324</v>
      </c>
      <c r="AE403" t="s">
        <v>324</v>
      </c>
      <c r="AF403" t="s">
        <v>324</v>
      </c>
      <c r="AG403" s="2" t="s">
        <v>324</v>
      </c>
      <c r="AH403" t="s">
        <v>324</v>
      </c>
      <c r="AI403" t="s">
        <v>324</v>
      </c>
      <c r="AJ403" s="2" t="s">
        <v>324</v>
      </c>
      <c r="AK403" t="s">
        <v>324</v>
      </c>
      <c r="AL403" t="s">
        <v>324</v>
      </c>
      <c r="AM403" s="2" t="s">
        <v>324</v>
      </c>
      <c r="AN403" t="s">
        <v>324</v>
      </c>
      <c r="AO403" s="2" t="str">
        <f>HYPERLINK("http://exon.niaid.nih.gov/transcriptome/Tx_amboinensis_sialome/Table_1/links/SMART\TX-contig_280-SMART.txt","TFIIE")</f>
        <v>TFIIE</v>
      </c>
      <c r="AP403" t="str">
        <f>HYPERLINK("http://smart.embl-heidelberg.de/smart/do_annotation.pl?DOMAIN=TFIIE&amp;BLAST=DUMMY","0.28")</f>
        <v>0.28</v>
      </c>
      <c r="AQ403" s="2" t="s">
        <v>324</v>
      </c>
      <c r="AR403" t="s">
        <v>324</v>
      </c>
      <c r="AS403" s="2" t="s">
        <v>324</v>
      </c>
      <c r="AT403" t="s">
        <v>324</v>
      </c>
    </row>
    <row r="404" spans="1:46" ht="11.25">
      <c r="A404" t="str">
        <f>HYPERLINK("http://exon.niaid.nih.gov/transcriptome/Tx_amboinensis_sialome/Table_1/links/TX-contig_281.txt","TX-contig_281")</f>
        <v>TX-contig_281</v>
      </c>
      <c r="B404" t="str">
        <f>HYPERLINK("http://exon.niaid.nih.gov/transcriptome/Tx_amboinensis_sialome/Table_1/links/TX-5-90-90-asb-281.txt","Contig-281")</f>
        <v>Contig-281</v>
      </c>
      <c r="C404" t="str">
        <f>HYPERLINK("http://exon.niaid.nih.gov/transcriptome/Tx_amboinensis_sialome/Table_1/links/TX-5-90-90-281-CLU.txt","Contig281")</f>
        <v>Contig281</v>
      </c>
      <c r="D404" s="4">
        <v>1</v>
      </c>
      <c r="E404">
        <v>152</v>
      </c>
      <c r="F404">
        <v>3.3</v>
      </c>
      <c r="G404">
        <v>86.2</v>
      </c>
      <c r="H404">
        <v>33</v>
      </c>
      <c r="I404">
        <v>281</v>
      </c>
      <c r="J404" t="s">
        <v>594</v>
      </c>
      <c r="K404">
        <v>33</v>
      </c>
      <c r="L404" s="3" t="s">
        <v>1036</v>
      </c>
      <c r="M404" s="4">
        <v>0</v>
      </c>
      <c r="N404" s="4">
        <v>0</v>
      </c>
      <c r="O404" s="4">
        <v>0</v>
      </c>
      <c r="P404" s="4">
        <v>0</v>
      </c>
      <c r="Q404" s="5" t="s">
        <v>1039</v>
      </c>
      <c r="Y404" t="s">
        <v>324</v>
      </c>
      <c r="Z404" s="2" t="s">
        <v>324</v>
      </c>
      <c r="AA404" t="s">
        <v>324</v>
      </c>
      <c r="AB404" t="s">
        <v>324</v>
      </c>
      <c r="AC404" t="s">
        <v>324</v>
      </c>
      <c r="AD404" t="s">
        <v>324</v>
      </c>
      <c r="AE404" t="s">
        <v>324</v>
      </c>
      <c r="AF404" t="s">
        <v>324</v>
      </c>
      <c r="AG404" s="2" t="s">
        <v>324</v>
      </c>
      <c r="AH404" t="s">
        <v>324</v>
      </c>
      <c r="AI404" t="s">
        <v>324</v>
      </c>
      <c r="AJ404" s="2" t="s">
        <v>324</v>
      </c>
      <c r="AK404" t="s">
        <v>324</v>
      </c>
      <c r="AL404" t="s">
        <v>324</v>
      </c>
      <c r="AM404" s="2" t="s">
        <v>324</v>
      </c>
      <c r="AN404" t="s">
        <v>324</v>
      </c>
      <c r="AO404" s="2" t="s">
        <v>324</v>
      </c>
      <c r="AP404" t="s">
        <v>324</v>
      </c>
      <c r="AQ404" s="2" t="s">
        <v>324</v>
      </c>
      <c r="AR404" t="s">
        <v>324</v>
      </c>
      <c r="AS404" s="2" t="s">
        <v>324</v>
      </c>
      <c r="AT404" t="s">
        <v>324</v>
      </c>
    </row>
    <row r="405" spans="1:46" ht="11.25">
      <c r="A405" t="str">
        <f>HYPERLINK("http://exon.niaid.nih.gov/transcriptome/Tx_amboinensis_sialome/Table_1/links/TX-contig_284.txt","TX-contig_284")</f>
        <v>TX-contig_284</v>
      </c>
      <c r="B405" t="str">
        <f>HYPERLINK("http://exon.niaid.nih.gov/transcriptome/Tx_amboinensis_sialome/Table_1/links/TX-5-90-90-asb-284.txt","Contig-284")</f>
        <v>Contig-284</v>
      </c>
      <c r="C405" t="str">
        <f>HYPERLINK("http://exon.niaid.nih.gov/transcriptome/Tx_amboinensis_sialome/Table_1/links/TX-5-90-90-284-CLU.txt","Contig284")</f>
        <v>Contig284</v>
      </c>
      <c r="D405" s="4">
        <v>1</v>
      </c>
      <c r="E405">
        <v>178</v>
      </c>
      <c r="F405">
        <v>2.8</v>
      </c>
      <c r="G405">
        <v>80.9</v>
      </c>
      <c r="H405">
        <v>69</v>
      </c>
      <c r="I405">
        <v>284</v>
      </c>
      <c r="J405" t="s">
        <v>597</v>
      </c>
      <c r="K405">
        <v>69</v>
      </c>
      <c r="L405" s="3" t="s">
        <v>1036</v>
      </c>
      <c r="M405" s="4">
        <v>0</v>
      </c>
      <c r="N405" s="4">
        <v>0</v>
      </c>
      <c r="O405" s="4">
        <v>0</v>
      </c>
      <c r="P405" s="4">
        <v>0</v>
      </c>
      <c r="Q405" s="5" t="s">
        <v>1039</v>
      </c>
      <c r="Y405" t="s">
        <v>324</v>
      </c>
      <c r="Z405" s="2" t="s">
        <v>324</v>
      </c>
      <c r="AA405" t="s">
        <v>324</v>
      </c>
      <c r="AB405" t="s">
        <v>324</v>
      </c>
      <c r="AC405" t="s">
        <v>324</v>
      </c>
      <c r="AD405" t="s">
        <v>324</v>
      </c>
      <c r="AE405" t="s">
        <v>324</v>
      </c>
      <c r="AF405" t="s">
        <v>324</v>
      </c>
      <c r="AG405" s="2" t="s">
        <v>324</v>
      </c>
      <c r="AH405" t="s">
        <v>324</v>
      </c>
      <c r="AI405" t="s">
        <v>324</v>
      </c>
      <c r="AJ405" s="2" t="s">
        <v>324</v>
      </c>
      <c r="AK405" t="s">
        <v>324</v>
      </c>
      <c r="AL405" t="s">
        <v>324</v>
      </c>
      <c r="AM405" s="2" t="s">
        <v>324</v>
      </c>
      <c r="AN405" t="s">
        <v>324</v>
      </c>
      <c r="AO405" s="2" t="str">
        <f>HYPERLINK("http://exon.niaid.nih.gov/transcriptome/Tx_amboinensis_sialome/Table_1/links/SMART\TX-contig_284-SMART.txt","EPEND")</f>
        <v>EPEND</v>
      </c>
      <c r="AP405" t="str">
        <f>HYPERLINK("http://smart.embl-heidelberg.de/smart/do_annotation.pl?DOMAIN=EPEND&amp;BLAST=DUMMY","0.44")</f>
        <v>0.44</v>
      </c>
      <c r="AQ405" s="2" t="s">
        <v>324</v>
      </c>
      <c r="AR405" t="s">
        <v>324</v>
      </c>
      <c r="AS405" s="2" t="s">
        <v>324</v>
      </c>
      <c r="AT405" t="s">
        <v>324</v>
      </c>
    </row>
    <row r="406" spans="1:46" ht="11.25">
      <c r="A406" t="str">
        <f>HYPERLINK("http://exon.niaid.nih.gov/transcriptome/Tx_amboinensis_sialome/Table_1/links/TX-contig_285.txt","TX-contig_285")</f>
        <v>TX-contig_285</v>
      </c>
      <c r="B406" t="str">
        <f>HYPERLINK("http://exon.niaid.nih.gov/transcriptome/Tx_amboinensis_sialome/Table_1/links/TX-5-90-90-asb-285.txt","Contig-285")</f>
        <v>Contig-285</v>
      </c>
      <c r="C406" t="str">
        <f>HYPERLINK("http://exon.niaid.nih.gov/transcriptome/Tx_amboinensis_sialome/Table_1/links/TX-5-90-90-285-CLU.txt","Contig285")</f>
        <v>Contig285</v>
      </c>
      <c r="D406" s="4">
        <v>1</v>
      </c>
      <c r="E406">
        <v>114</v>
      </c>
      <c r="F406">
        <v>1.8</v>
      </c>
      <c r="G406">
        <v>73.7</v>
      </c>
      <c r="H406">
        <v>85</v>
      </c>
      <c r="I406">
        <v>285</v>
      </c>
      <c r="J406" t="s">
        <v>598</v>
      </c>
      <c r="K406" t="s">
        <v>324</v>
      </c>
      <c r="L406" s="3" t="s">
        <v>1036</v>
      </c>
      <c r="M406" s="4">
        <v>0</v>
      </c>
      <c r="N406" s="4">
        <v>0</v>
      </c>
      <c r="O406" s="4">
        <v>0</v>
      </c>
      <c r="P406" s="4">
        <v>0</v>
      </c>
      <c r="Q406" s="5" t="s">
        <v>1039</v>
      </c>
      <c r="Y406" t="s">
        <v>324</v>
      </c>
      <c r="Z406" s="2" t="s">
        <v>324</v>
      </c>
      <c r="AA406" t="s">
        <v>324</v>
      </c>
      <c r="AB406" t="s">
        <v>324</v>
      </c>
      <c r="AC406" t="s">
        <v>324</v>
      </c>
      <c r="AD406" t="s">
        <v>324</v>
      </c>
      <c r="AE406" t="s">
        <v>324</v>
      </c>
      <c r="AF406" t="s">
        <v>324</v>
      </c>
      <c r="AG406" s="2" t="s">
        <v>324</v>
      </c>
      <c r="AH406" t="s">
        <v>324</v>
      </c>
      <c r="AI406" t="s">
        <v>324</v>
      </c>
      <c r="AJ406" s="2" t="s">
        <v>324</v>
      </c>
      <c r="AK406" t="s">
        <v>324</v>
      </c>
      <c r="AL406" t="s">
        <v>324</v>
      </c>
      <c r="AM406" s="2" t="s">
        <v>324</v>
      </c>
      <c r="AN406" t="s">
        <v>324</v>
      </c>
      <c r="AO406" s="2" t="s">
        <v>324</v>
      </c>
      <c r="AP406" t="s">
        <v>324</v>
      </c>
      <c r="AQ406" s="2" t="s">
        <v>324</v>
      </c>
      <c r="AR406" t="s">
        <v>324</v>
      </c>
      <c r="AS406" s="2" t="s">
        <v>324</v>
      </c>
      <c r="AT406" t="s">
        <v>324</v>
      </c>
    </row>
    <row r="407" spans="1:46" ht="11.25">
      <c r="A407" t="str">
        <f>HYPERLINK("http://exon.niaid.nih.gov/transcriptome/Tx_amboinensis_sialome/Table_1/links/TX-contig_289.txt","TX-contig_289")</f>
        <v>TX-contig_289</v>
      </c>
      <c r="B407" t="str">
        <f>HYPERLINK("http://exon.niaid.nih.gov/transcriptome/Tx_amboinensis_sialome/Table_1/links/TX-5-90-90-asb-289.txt","Contig-289")</f>
        <v>Contig-289</v>
      </c>
      <c r="C407" t="str">
        <f>HYPERLINK("http://exon.niaid.nih.gov/transcriptome/Tx_amboinensis_sialome/Table_1/links/TX-5-90-90-289-CLU.txt","Contig289")</f>
        <v>Contig289</v>
      </c>
      <c r="D407" s="4">
        <v>1</v>
      </c>
      <c r="E407">
        <v>173</v>
      </c>
      <c r="F407">
        <v>2.9</v>
      </c>
      <c r="G407">
        <v>85.5</v>
      </c>
      <c r="H407">
        <v>60</v>
      </c>
      <c r="I407">
        <v>289</v>
      </c>
      <c r="J407" t="s">
        <v>602</v>
      </c>
      <c r="K407">
        <v>60</v>
      </c>
      <c r="L407" s="3" t="s">
        <v>1036</v>
      </c>
      <c r="M407" s="4">
        <v>0</v>
      </c>
      <c r="N407" s="4">
        <v>0</v>
      </c>
      <c r="O407" s="4">
        <v>0</v>
      </c>
      <c r="P407" s="4">
        <v>0</v>
      </c>
      <c r="Q407" s="5" t="s">
        <v>1039</v>
      </c>
      <c r="Y407" t="s">
        <v>324</v>
      </c>
      <c r="Z407" s="2" t="s">
        <v>324</v>
      </c>
      <c r="AA407" t="s">
        <v>324</v>
      </c>
      <c r="AB407" t="s">
        <v>324</v>
      </c>
      <c r="AC407" t="s">
        <v>324</v>
      </c>
      <c r="AD407" t="s">
        <v>324</v>
      </c>
      <c r="AE407" t="s">
        <v>324</v>
      </c>
      <c r="AF407" t="s">
        <v>324</v>
      </c>
      <c r="AG407" s="2" t="s">
        <v>324</v>
      </c>
      <c r="AH407" t="s">
        <v>324</v>
      </c>
      <c r="AI407" t="s">
        <v>324</v>
      </c>
      <c r="AJ407" s="2" t="s">
        <v>324</v>
      </c>
      <c r="AK407" t="s">
        <v>324</v>
      </c>
      <c r="AL407" t="s">
        <v>324</v>
      </c>
      <c r="AM407" s="2" t="s">
        <v>324</v>
      </c>
      <c r="AN407" t="s">
        <v>324</v>
      </c>
      <c r="AO407" s="2" t="s">
        <v>324</v>
      </c>
      <c r="AP407" t="s">
        <v>324</v>
      </c>
      <c r="AQ407" s="2" t="s">
        <v>324</v>
      </c>
      <c r="AR407" t="s">
        <v>324</v>
      </c>
      <c r="AS407" s="2" t="s">
        <v>324</v>
      </c>
      <c r="AT407" t="s">
        <v>324</v>
      </c>
    </row>
    <row r="408" spans="1:46" ht="11.25">
      <c r="A408" t="str">
        <f>HYPERLINK("http://exon.niaid.nih.gov/transcriptome/Tx_amboinensis_sialome/Table_1/links/TX-contig_295.txt","TX-contig_295")</f>
        <v>TX-contig_295</v>
      </c>
      <c r="B408" t="str">
        <f>HYPERLINK("http://exon.niaid.nih.gov/transcriptome/Tx_amboinensis_sialome/Table_1/links/TX-5-90-90-asb-295.txt","Contig-295")</f>
        <v>Contig-295</v>
      </c>
      <c r="C408" t="str">
        <f>HYPERLINK("http://exon.niaid.nih.gov/transcriptome/Tx_amboinensis_sialome/Table_1/links/TX-5-90-90-295-CLU.txt","Contig295")</f>
        <v>Contig295</v>
      </c>
      <c r="D408" s="4">
        <v>1</v>
      </c>
      <c r="E408">
        <v>122</v>
      </c>
      <c r="F408">
        <v>1.6</v>
      </c>
      <c r="G408">
        <v>86.1</v>
      </c>
      <c r="H408">
        <v>49</v>
      </c>
      <c r="I408">
        <v>295</v>
      </c>
      <c r="J408" t="s">
        <v>608</v>
      </c>
      <c r="K408">
        <v>49</v>
      </c>
      <c r="L408" s="3" t="s">
        <v>1036</v>
      </c>
      <c r="M408" s="4">
        <v>0</v>
      </c>
      <c r="N408" s="4">
        <v>0</v>
      </c>
      <c r="O408" s="4">
        <v>0</v>
      </c>
      <c r="P408" s="4">
        <v>0</v>
      </c>
      <c r="Q408" s="5" t="s">
        <v>1039</v>
      </c>
      <c r="Y408" t="s">
        <v>324</v>
      </c>
      <c r="Z408" s="2" t="s">
        <v>324</v>
      </c>
      <c r="AA408" t="s">
        <v>324</v>
      </c>
      <c r="AB408" t="s">
        <v>324</v>
      </c>
      <c r="AC408" t="s">
        <v>324</v>
      </c>
      <c r="AD408" t="s">
        <v>324</v>
      </c>
      <c r="AE408" t="s">
        <v>324</v>
      </c>
      <c r="AF408" t="s">
        <v>324</v>
      </c>
      <c r="AG408" s="2" t="s">
        <v>324</v>
      </c>
      <c r="AH408" t="s">
        <v>324</v>
      </c>
      <c r="AI408" t="s">
        <v>324</v>
      </c>
      <c r="AJ408" s="2" t="s">
        <v>324</v>
      </c>
      <c r="AK408" t="s">
        <v>324</v>
      </c>
      <c r="AL408" t="s">
        <v>324</v>
      </c>
      <c r="AM408" s="2" t="s">
        <v>324</v>
      </c>
      <c r="AN408" t="s">
        <v>324</v>
      </c>
      <c r="AO408" s="2" t="s">
        <v>324</v>
      </c>
      <c r="AP408" t="s">
        <v>324</v>
      </c>
      <c r="AQ408" s="2" t="s">
        <v>324</v>
      </c>
      <c r="AR408" t="s">
        <v>324</v>
      </c>
      <c r="AS408" s="2" t="s">
        <v>324</v>
      </c>
      <c r="AT408" t="s">
        <v>324</v>
      </c>
    </row>
    <row r="409" spans="1:46" ht="11.25">
      <c r="A409" t="str">
        <f>HYPERLINK("http://exon.niaid.nih.gov/transcriptome/Tx_amboinensis_sialome/Table_1/links/TX-contig_301.txt","TX-contig_301")</f>
        <v>TX-contig_301</v>
      </c>
      <c r="B409" t="str">
        <f>HYPERLINK("http://exon.niaid.nih.gov/transcriptome/Tx_amboinensis_sialome/Table_1/links/TX-5-90-90-asb-301.txt","Contig-301")</f>
        <v>Contig-301</v>
      </c>
      <c r="C409" t="str">
        <f>HYPERLINK("http://exon.niaid.nih.gov/transcriptome/Tx_amboinensis_sialome/Table_1/links/TX-5-90-90-301-CLU.txt","Contig301")</f>
        <v>Contig301</v>
      </c>
      <c r="D409" s="4">
        <v>1</v>
      </c>
      <c r="E409">
        <v>164</v>
      </c>
      <c r="F409">
        <v>3</v>
      </c>
      <c r="G409">
        <v>83.5</v>
      </c>
      <c r="H409">
        <v>43</v>
      </c>
      <c r="I409">
        <v>301</v>
      </c>
      <c r="J409" t="s">
        <v>1155</v>
      </c>
      <c r="K409">
        <v>43</v>
      </c>
      <c r="L409" s="3" t="s">
        <v>1036</v>
      </c>
      <c r="M409" s="4">
        <v>0</v>
      </c>
      <c r="N409" s="4">
        <v>0</v>
      </c>
      <c r="O409" s="4">
        <v>0</v>
      </c>
      <c r="P409" s="4">
        <v>0</v>
      </c>
      <c r="Q409" s="5" t="s">
        <v>1039</v>
      </c>
      <c r="Y409" t="s">
        <v>324</v>
      </c>
      <c r="Z409" s="2" t="s">
        <v>324</v>
      </c>
      <c r="AA409" t="s">
        <v>324</v>
      </c>
      <c r="AB409" t="s">
        <v>324</v>
      </c>
      <c r="AC409" t="s">
        <v>324</v>
      </c>
      <c r="AD409" t="s">
        <v>324</v>
      </c>
      <c r="AE409" t="s">
        <v>324</v>
      </c>
      <c r="AF409" t="s">
        <v>324</v>
      </c>
      <c r="AG409" s="2" t="s">
        <v>324</v>
      </c>
      <c r="AH409" t="s">
        <v>324</v>
      </c>
      <c r="AI409" t="s">
        <v>324</v>
      </c>
      <c r="AJ409" s="2" t="s">
        <v>324</v>
      </c>
      <c r="AK409" t="s">
        <v>324</v>
      </c>
      <c r="AL409" t="s">
        <v>324</v>
      </c>
      <c r="AM409" s="2" t="s">
        <v>324</v>
      </c>
      <c r="AN409" t="s">
        <v>324</v>
      </c>
      <c r="AO409" s="2" t="s">
        <v>324</v>
      </c>
      <c r="AP409" t="s">
        <v>324</v>
      </c>
      <c r="AQ409" s="2" t="s">
        <v>324</v>
      </c>
      <c r="AR409" t="s">
        <v>324</v>
      </c>
      <c r="AS409" s="2" t="s">
        <v>324</v>
      </c>
      <c r="AT409" t="s">
        <v>324</v>
      </c>
    </row>
    <row r="410" spans="1:46" ht="11.25">
      <c r="A410" t="str">
        <f>HYPERLINK("http://exon.niaid.nih.gov/transcriptome/Tx_amboinensis_sialome/Table_1/links/TX-contig_304.txt","TX-contig_304")</f>
        <v>TX-contig_304</v>
      </c>
      <c r="B410" t="str">
        <f>HYPERLINK("http://exon.niaid.nih.gov/transcriptome/Tx_amboinensis_sialome/Table_1/links/TX-5-90-90-asb-304.txt","Contig-304")</f>
        <v>Contig-304</v>
      </c>
      <c r="C410" t="str">
        <f>HYPERLINK("http://exon.niaid.nih.gov/transcriptome/Tx_amboinensis_sialome/Table_1/links/TX-5-90-90-304-CLU.txt","Contig304")</f>
        <v>Contig304</v>
      </c>
      <c r="D410" s="4">
        <v>1</v>
      </c>
      <c r="E410">
        <v>132</v>
      </c>
      <c r="F410" t="s">
        <v>322</v>
      </c>
      <c r="G410">
        <v>72</v>
      </c>
      <c r="H410">
        <v>113</v>
      </c>
      <c r="I410">
        <v>304</v>
      </c>
      <c r="J410" t="s">
        <v>1158</v>
      </c>
      <c r="K410">
        <v>113</v>
      </c>
      <c r="L410" s="3" t="s">
        <v>1036</v>
      </c>
      <c r="M410" s="4">
        <v>0</v>
      </c>
      <c r="N410" s="4">
        <v>0</v>
      </c>
      <c r="O410" s="4">
        <v>0</v>
      </c>
      <c r="P410" s="4">
        <v>0</v>
      </c>
      <c r="Q410" s="5" t="s">
        <v>1039</v>
      </c>
      <c r="Y410" t="s">
        <v>324</v>
      </c>
      <c r="Z410" s="2" t="s">
        <v>324</v>
      </c>
      <c r="AA410" t="s">
        <v>324</v>
      </c>
      <c r="AB410" t="s">
        <v>324</v>
      </c>
      <c r="AC410" t="s">
        <v>324</v>
      </c>
      <c r="AD410" t="s">
        <v>324</v>
      </c>
      <c r="AE410" t="s">
        <v>324</v>
      </c>
      <c r="AF410" t="s">
        <v>324</v>
      </c>
      <c r="AG410" s="2" t="s">
        <v>324</v>
      </c>
      <c r="AH410" t="s">
        <v>324</v>
      </c>
      <c r="AI410" t="s">
        <v>324</v>
      </c>
      <c r="AJ410" s="2" t="s">
        <v>324</v>
      </c>
      <c r="AK410" t="s">
        <v>324</v>
      </c>
      <c r="AL410" t="s">
        <v>324</v>
      </c>
      <c r="AM410" s="2" t="s">
        <v>324</v>
      </c>
      <c r="AN410" t="s">
        <v>324</v>
      </c>
      <c r="AO410" s="2" t="str">
        <f>HYPERLINK("http://exon.niaid.nih.gov/transcriptome/Tx_amboinensis_sialome/Table_1/links/SMART\TX-contig_304-SMART.txt","GLECT")</f>
        <v>GLECT</v>
      </c>
      <c r="AP410" t="str">
        <f>HYPERLINK("http://smart.embl-heidelberg.de/smart/do_annotation.pl?DOMAIN=GLECT&amp;BLAST=DUMMY","0.85")</f>
        <v>0.85</v>
      </c>
      <c r="AQ410" s="2" t="s">
        <v>324</v>
      </c>
      <c r="AR410" t="s">
        <v>324</v>
      </c>
      <c r="AS410" s="2" t="s">
        <v>324</v>
      </c>
      <c r="AT410" t="s">
        <v>324</v>
      </c>
    </row>
    <row r="411" spans="1:46" ht="11.25">
      <c r="A411" t="str">
        <f>HYPERLINK("http://exon.niaid.nih.gov/transcriptome/Tx_amboinensis_sialome/Table_1/links/TX-contig_305.txt","TX-contig_305")</f>
        <v>TX-contig_305</v>
      </c>
      <c r="B411" t="str">
        <f>HYPERLINK("http://exon.niaid.nih.gov/transcriptome/Tx_amboinensis_sialome/Table_1/links/TX-5-90-90-asb-305.txt","Contig-305")</f>
        <v>Contig-305</v>
      </c>
      <c r="C411" t="str">
        <f>HYPERLINK("http://exon.niaid.nih.gov/transcriptome/Tx_amboinensis_sialome/Table_1/links/TX-5-90-90-305-CLU.txt","Contig305")</f>
        <v>Contig305</v>
      </c>
      <c r="D411" s="4">
        <v>1</v>
      </c>
      <c r="E411">
        <v>150</v>
      </c>
      <c r="F411" t="s">
        <v>322</v>
      </c>
      <c r="G411">
        <v>77.3</v>
      </c>
      <c r="H411">
        <v>67</v>
      </c>
      <c r="I411">
        <v>305</v>
      </c>
      <c r="J411" t="s">
        <v>1159</v>
      </c>
      <c r="K411">
        <v>67</v>
      </c>
      <c r="L411" s="3" t="s">
        <v>1036</v>
      </c>
      <c r="M411" s="4">
        <v>0</v>
      </c>
      <c r="N411" s="4">
        <v>0</v>
      </c>
      <c r="O411" s="4">
        <v>0</v>
      </c>
      <c r="P411" s="4">
        <v>0</v>
      </c>
      <c r="Q411" s="5" t="s">
        <v>1039</v>
      </c>
      <c r="Y411" t="s">
        <v>324</v>
      </c>
      <c r="Z411" s="2" t="s">
        <v>324</v>
      </c>
      <c r="AA411" t="s">
        <v>324</v>
      </c>
      <c r="AB411" t="s">
        <v>324</v>
      </c>
      <c r="AC411" t="s">
        <v>324</v>
      </c>
      <c r="AD411" t="s">
        <v>324</v>
      </c>
      <c r="AE411" t="s">
        <v>324</v>
      </c>
      <c r="AF411" t="s">
        <v>324</v>
      </c>
      <c r="AG411" s="2" t="s">
        <v>324</v>
      </c>
      <c r="AH411" t="s">
        <v>324</v>
      </c>
      <c r="AI411" t="s">
        <v>324</v>
      </c>
      <c r="AJ411" s="2" t="s">
        <v>324</v>
      </c>
      <c r="AK411" t="s">
        <v>324</v>
      </c>
      <c r="AL411" t="s">
        <v>324</v>
      </c>
      <c r="AM411" s="2" t="s">
        <v>324</v>
      </c>
      <c r="AN411" t="s">
        <v>324</v>
      </c>
      <c r="AO411" s="2" t="s">
        <v>324</v>
      </c>
      <c r="AP411" t="s">
        <v>324</v>
      </c>
      <c r="AQ411" s="2" t="s">
        <v>324</v>
      </c>
      <c r="AR411" t="s">
        <v>324</v>
      </c>
      <c r="AS411" s="2" t="s">
        <v>324</v>
      </c>
      <c r="AT411" t="s">
        <v>324</v>
      </c>
    </row>
    <row r="412" spans="1:46" ht="11.25">
      <c r="A412" t="str">
        <f>HYPERLINK("http://exon.niaid.nih.gov/transcriptome/Tx_amboinensis_sialome/Table_1/links/TX-contig_306.txt","TX-contig_306")</f>
        <v>TX-contig_306</v>
      </c>
      <c r="B412" t="str">
        <f>HYPERLINK("http://exon.niaid.nih.gov/transcriptome/Tx_amboinensis_sialome/Table_1/links/TX-5-90-90-asb-306.txt","Contig-306")</f>
        <v>Contig-306</v>
      </c>
      <c r="C412" t="str">
        <f>HYPERLINK("http://exon.niaid.nih.gov/transcriptome/Tx_amboinensis_sialome/Table_1/links/TX-5-90-90-306-CLU.txt","Contig306")</f>
        <v>Contig306</v>
      </c>
      <c r="D412" s="4">
        <v>1</v>
      </c>
      <c r="E412">
        <v>107</v>
      </c>
      <c r="F412">
        <v>0.9</v>
      </c>
      <c r="G412">
        <v>68.2</v>
      </c>
      <c r="H412">
        <v>80</v>
      </c>
      <c r="I412">
        <v>306</v>
      </c>
      <c r="J412" t="s">
        <v>1160</v>
      </c>
      <c r="K412">
        <v>80</v>
      </c>
      <c r="L412" s="3" t="s">
        <v>1036</v>
      </c>
      <c r="M412" s="4">
        <v>0</v>
      </c>
      <c r="N412" s="4">
        <v>0</v>
      </c>
      <c r="O412" s="4">
        <v>0</v>
      </c>
      <c r="P412" s="4">
        <v>0</v>
      </c>
      <c r="Q412" s="5" t="s">
        <v>1039</v>
      </c>
      <c r="Y412" t="s">
        <v>324</v>
      </c>
      <c r="Z412" s="2" t="s">
        <v>324</v>
      </c>
      <c r="AA412" t="s">
        <v>324</v>
      </c>
      <c r="AB412" t="s">
        <v>324</v>
      </c>
      <c r="AC412" t="s">
        <v>324</v>
      </c>
      <c r="AD412" t="s">
        <v>324</v>
      </c>
      <c r="AE412" t="s">
        <v>324</v>
      </c>
      <c r="AF412" t="s">
        <v>324</v>
      </c>
      <c r="AG412" s="2" t="s">
        <v>324</v>
      </c>
      <c r="AH412" t="s">
        <v>324</v>
      </c>
      <c r="AI412" t="s">
        <v>324</v>
      </c>
      <c r="AJ412" s="2" t="s">
        <v>324</v>
      </c>
      <c r="AK412" t="s">
        <v>324</v>
      </c>
      <c r="AL412" t="s">
        <v>324</v>
      </c>
      <c r="AM412" s="2" t="s">
        <v>324</v>
      </c>
      <c r="AN412" t="s">
        <v>324</v>
      </c>
      <c r="AO412" s="2" t="str">
        <f>HYPERLINK("http://exon.niaid.nih.gov/transcriptome/Tx_amboinensis_sialome/Table_1/links/SMART\TX-contig_306-SMART.txt","RPOLA_N")</f>
        <v>RPOLA_N</v>
      </c>
      <c r="AP412" t="str">
        <f>HYPERLINK("http://smart.embl-heidelberg.de/smart/do_annotation.pl?DOMAIN=RPOLA_N&amp;BLAST=DUMMY","0.94")</f>
        <v>0.94</v>
      </c>
      <c r="AQ412" s="2" t="s">
        <v>324</v>
      </c>
      <c r="AR412" t="s">
        <v>324</v>
      </c>
      <c r="AS412" s="2" t="s">
        <v>324</v>
      </c>
      <c r="AT412" t="s">
        <v>324</v>
      </c>
    </row>
    <row r="413" spans="1:46" ht="11.25">
      <c r="A413" t="str">
        <f>HYPERLINK("http://exon.niaid.nih.gov/transcriptome/Tx_amboinensis_sialome/Table_1/links/TX-contig_308.txt","TX-contig_308")</f>
        <v>TX-contig_308</v>
      </c>
      <c r="B413" t="str">
        <f>HYPERLINK("http://exon.niaid.nih.gov/transcriptome/Tx_amboinensis_sialome/Table_1/links/TX-5-90-90-asb-308.txt","Contig-308")</f>
        <v>Contig-308</v>
      </c>
      <c r="C413" t="str">
        <f>HYPERLINK("http://exon.niaid.nih.gov/transcriptome/Tx_amboinensis_sialome/Table_1/links/TX-5-90-90-308-CLU.txt","Contig308")</f>
        <v>Contig308</v>
      </c>
      <c r="D413" s="4">
        <v>1</v>
      </c>
      <c r="E413">
        <v>136</v>
      </c>
      <c r="F413" t="s">
        <v>322</v>
      </c>
      <c r="G413">
        <v>57.4</v>
      </c>
      <c r="H413">
        <v>117</v>
      </c>
      <c r="I413">
        <v>308</v>
      </c>
      <c r="J413" t="s">
        <v>1162</v>
      </c>
      <c r="K413">
        <v>117</v>
      </c>
      <c r="L413" s="3" t="s">
        <v>1036</v>
      </c>
      <c r="M413" s="4">
        <v>0</v>
      </c>
      <c r="N413" s="4">
        <v>0</v>
      </c>
      <c r="O413" s="4">
        <v>0</v>
      </c>
      <c r="P413" s="4">
        <v>0</v>
      </c>
      <c r="Q413" s="5" t="s">
        <v>1039</v>
      </c>
      <c r="Y413" t="s">
        <v>324</v>
      </c>
      <c r="Z413" s="2" t="s">
        <v>324</v>
      </c>
      <c r="AA413" t="s">
        <v>324</v>
      </c>
      <c r="AB413" t="s">
        <v>324</v>
      </c>
      <c r="AC413" t="s">
        <v>324</v>
      </c>
      <c r="AD413" t="s">
        <v>324</v>
      </c>
      <c r="AE413" t="s">
        <v>324</v>
      </c>
      <c r="AF413" t="s">
        <v>324</v>
      </c>
      <c r="AG413" s="2" t="s">
        <v>324</v>
      </c>
      <c r="AH413" t="s">
        <v>324</v>
      </c>
      <c r="AI413" t="s">
        <v>324</v>
      </c>
      <c r="AJ413" s="2" t="s">
        <v>324</v>
      </c>
      <c r="AK413" t="s">
        <v>324</v>
      </c>
      <c r="AL413" t="s">
        <v>324</v>
      </c>
      <c r="AM413" s="2" t="s">
        <v>324</v>
      </c>
      <c r="AN413" t="s">
        <v>324</v>
      </c>
      <c r="AO413" s="2" t="str">
        <f>HYPERLINK("http://exon.niaid.nih.gov/transcriptome/Tx_amboinensis_sialome/Table_1/links/SMART\TX-contig_308-SMART.txt","SO")</f>
        <v>SO</v>
      </c>
      <c r="AP413" t="str">
        <f>HYPERLINK("http://smart.embl-heidelberg.de/smart/do_annotation.pl?DOMAIN=SO&amp;BLAST=DUMMY","0.78")</f>
        <v>0.78</v>
      </c>
      <c r="AQ413" s="2" t="s">
        <v>324</v>
      </c>
      <c r="AR413" t="s">
        <v>324</v>
      </c>
      <c r="AS413" s="2" t="s">
        <v>324</v>
      </c>
      <c r="AT413" t="s">
        <v>324</v>
      </c>
    </row>
    <row r="414" spans="1:46" ht="11.25">
      <c r="A414" t="str">
        <f>HYPERLINK("http://exon.niaid.nih.gov/transcriptome/Tx_amboinensis_sialome/Table_1/links/TX-contig_310.txt","TX-contig_310")</f>
        <v>TX-contig_310</v>
      </c>
      <c r="B414" t="str">
        <f>HYPERLINK("http://exon.niaid.nih.gov/transcriptome/Tx_amboinensis_sialome/Table_1/links/TX-5-90-90-asb-310.txt","Contig-310")</f>
        <v>Contig-310</v>
      </c>
      <c r="C414" t="str">
        <f>HYPERLINK("http://exon.niaid.nih.gov/transcriptome/Tx_amboinensis_sialome/Table_1/links/TX-5-90-90-310-CLU.txt","Contig310")</f>
        <v>Contig310</v>
      </c>
      <c r="D414" s="4">
        <v>1</v>
      </c>
      <c r="E414">
        <v>114</v>
      </c>
      <c r="F414" t="s">
        <v>322</v>
      </c>
      <c r="G414">
        <v>92.1</v>
      </c>
      <c r="H414">
        <v>23</v>
      </c>
      <c r="I414">
        <v>310</v>
      </c>
      <c r="J414" t="s">
        <v>1164</v>
      </c>
      <c r="K414">
        <v>23</v>
      </c>
      <c r="L414" s="3" t="s">
        <v>1036</v>
      </c>
      <c r="M414" s="4">
        <v>0</v>
      </c>
      <c r="N414" s="4">
        <v>0</v>
      </c>
      <c r="O414" s="4">
        <v>0</v>
      </c>
      <c r="P414" s="4">
        <v>0</v>
      </c>
      <c r="Q414" s="5" t="s">
        <v>1039</v>
      </c>
      <c r="Y414" t="s">
        <v>324</v>
      </c>
      <c r="Z414" s="2" t="s">
        <v>324</v>
      </c>
      <c r="AA414" t="s">
        <v>324</v>
      </c>
      <c r="AB414" t="s">
        <v>324</v>
      </c>
      <c r="AC414" t="s">
        <v>324</v>
      </c>
      <c r="AD414" t="s">
        <v>324</v>
      </c>
      <c r="AE414" t="s">
        <v>324</v>
      </c>
      <c r="AF414" t="s">
        <v>324</v>
      </c>
      <c r="AG414" s="2" t="s">
        <v>324</v>
      </c>
      <c r="AH414" t="s">
        <v>324</v>
      </c>
      <c r="AI414" t="s">
        <v>324</v>
      </c>
      <c r="AJ414" s="2" t="s">
        <v>324</v>
      </c>
      <c r="AK414" t="s">
        <v>324</v>
      </c>
      <c r="AL414" t="s">
        <v>324</v>
      </c>
      <c r="AM414" s="2" t="s">
        <v>324</v>
      </c>
      <c r="AN414" t="s">
        <v>324</v>
      </c>
      <c r="AO414" s="2" t="s">
        <v>324</v>
      </c>
      <c r="AP414" t="s">
        <v>324</v>
      </c>
      <c r="AQ414" s="2" t="s">
        <v>324</v>
      </c>
      <c r="AR414" t="s">
        <v>324</v>
      </c>
      <c r="AS414" s="2" t="s">
        <v>324</v>
      </c>
      <c r="AT414" t="s">
        <v>324</v>
      </c>
    </row>
    <row r="415" spans="1:46" ht="11.25">
      <c r="A415" t="str">
        <f>HYPERLINK("http://exon.niaid.nih.gov/transcriptome/Tx_amboinensis_sialome/Table_1/links/TX-contig_311.txt","TX-contig_311")</f>
        <v>TX-contig_311</v>
      </c>
      <c r="B415" t="str">
        <f>HYPERLINK("http://exon.niaid.nih.gov/transcriptome/Tx_amboinensis_sialome/Table_1/links/TX-5-90-90-asb-311.txt","Contig-311")</f>
        <v>Contig-311</v>
      </c>
      <c r="C415" t="str">
        <f>HYPERLINK("http://exon.niaid.nih.gov/transcriptome/Tx_amboinensis_sialome/Table_1/links/TX-5-90-90-311-CLU.txt","Contig311")</f>
        <v>Contig311</v>
      </c>
      <c r="D415" s="4">
        <v>1</v>
      </c>
      <c r="E415">
        <v>149</v>
      </c>
      <c r="F415">
        <v>1.3</v>
      </c>
      <c r="G415">
        <v>64.4</v>
      </c>
      <c r="H415">
        <v>130</v>
      </c>
      <c r="I415">
        <v>311</v>
      </c>
      <c r="J415" t="s">
        <v>1165</v>
      </c>
      <c r="K415">
        <v>130</v>
      </c>
      <c r="L415" s="3" t="s">
        <v>1036</v>
      </c>
      <c r="M415" s="4">
        <v>0</v>
      </c>
      <c r="N415" s="4">
        <v>0</v>
      </c>
      <c r="O415" s="4">
        <v>0</v>
      </c>
      <c r="P415" s="4">
        <v>0</v>
      </c>
      <c r="Q415" s="5" t="s">
        <v>1039</v>
      </c>
      <c r="Y415" t="s">
        <v>324</v>
      </c>
      <c r="Z415" s="2" t="s">
        <v>324</v>
      </c>
      <c r="AA415" t="s">
        <v>324</v>
      </c>
      <c r="AB415" t="s">
        <v>324</v>
      </c>
      <c r="AC415" t="s">
        <v>324</v>
      </c>
      <c r="AD415" t="s">
        <v>324</v>
      </c>
      <c r="AE415" t="s">
        <v>324</v>
      </c>
      <c r="AF415" t="s">
        <v>324</v>
      </c>
      <c r="AG415" s="2" t="s">
        <v>324</v>
      </c>
      <c r="AH415" t="s">
        <v>324</v>
      </c>
      <c r="AI415" t="s">
        <v>324</v>
      </c>
      <c r="AJ415" s="2" t="s">
        <v>324</v>
      </c>
      <c r="AK415" t="s">
        <v>324</v>
      </c>
      <c r="AL415" t="s">
        <v>324</v>
      </c>
      <c r="AM415" s="2" t="s">
        <v>324</v>
      </c>
      <c r="AN415" t="s">
        <v>324</v>
      </c>
      <c r="AO415" s="2" t="s">
        <v>324</v>
      </c>
      <c r="AP415" t="s">
        <v>324</v>
      </c>
      <c r="AQ415" s="2" t="s">
        <v>324</v>
      </c>
      <c r="AR415" t="s">
        <v>324</v>
      </c>
      <c r="AS415" s="2" t="s">
        <v>324</v>
      </c>
      <c r="AT415" t="s">
        <v>324</v>
      </c>
    </row>
    <row r="416" spans="1:46" ht="11.25">
      <c r="A416" t="str">
        <f>HYPERLINK("http://exon.niaid.nih.gov/transcriptome/Tx_amboinensis_sialome/Table_1/links/TX-contig_312.txt","TX-contig_312")</f>
        <v>TX-contig_312</v>
      </c>
      <c r="B416" t="str">
        <f>HYPERLINK("http://exon.niaid.nih.gov/transcriptome/Tx_amboinensis_sialome/Table_1/links/TX-5-90-90-asb-312.txt","Contig-312")</f>
        <v>Contig-312</v>
      </c>
      <c r="C416" t="str">
        <f>HYPERLINK("http://exon.niaid.nih.gov/transcriptome/Tx_amboinensis_sialome/Table_1/links/TX-5-90-90-312-CLU.txt","Contig312")</f>
        <v>Contig312</v>
      </c>
      <c r="D416" s="4">
        <v>1</v>
      </c>
      <c r="E416">
        <v>172</v>
      </c>
      <c r="F416">
        <v>3.5</v>
      </c>
      <c r="G416">
        <v>82</v>
      </c>
      <c r="H416">
        <v>42</v>
      </c>
      <c r="I416">
        <v>312</v>
      </c>
      <c r="J416" t="s">
        <v>1166</v>
      </c>
      <c r="K416">
        <v>42</v>
      </c>
      <c r="L416" s="3" t="s">
        <v>1036</v>
      </c>
      <c r="M416" s="4">
        <v>0</v>
      </c>
      <c r="N416" s="4">
        <v>0</v>
      </c>
      <c r="O416" s="4">
        <v>0</v>
      </c>
      <c r="P416" s="4">
        <v>0</v>
      </c>
      <c r="Q416" s="5" t="s">
        <v>1039</v>
      </c>
      <c r="Y416" t="s">
        <v>324</v>
      </c>
      <c r="Z416" s="2" t="s">
        <v>324</v>
      </c>
      <c r="AA416" t="s">
        <v>324</v>
      </c>
      <c r="AB416" t="s">
        <v>324</v>
      </c>
      <c r="AC416" t="s">
        <v>324</v>
      </c>
      <c r="AD416" t="s">
        <v>324</v>
      </c>
      <c r="AE416" t="s">
        <v>324</v>
      </c>
      <c r="AF416" t="s">
        <v>324</v>
      </c>
      <c r="AG416" s="2" t="s">
        <v>324</v>
      </c>
      <c r="AH416" t="s">
        <v>324</v>
      </c>
      <c r="AI416" t="s">
        <v>324</v>
      </c>
      <c r="AJ416" s="2" t="s">
        <v>324</v>
      </c>
      <c r="AK416" t="s">
        <v>324</v>
      </c>
      <c r="AL416" t="s">
        <v>324</v>
      </c>
      <c r="AM416" s="2" t="s">
        <v>324</v>
      </c>
      <c r="AN416" t="s">
        <v>324</v>
      </c>
      <c r="AO416" s="2" t="s">
        <v>324</v>
      </c>
      <c r="AP416" t="s">
        <v>324</v>
      </c>
      <c r="AQ416" s="2" t="s">
        <v>324</v>
      </c>
      <c r="AR416" t="s">
        <v>324</v>
      </c>
      <c r="AS416" s="2" t="s">
        <v>324</v>
      </c>
      <c r="AT416" t="s">
        <v>324</v>
      </c>
    </row>
    <row r="417" spans="1:46" ht="11.25">
      <c r="A417" t="str">
        <f>HYPERLINK("http://exon.niaid.nih.gov/transcriptome/Tx_amboinensis_sialome/Table_1/links/TX-contig_313.txt","TX-contig_313")</f>
        <v>TX-contig_313</v>
      </c>
      <c r="B417" t="str">
        <f>HYPERLINK("http://exon.niaid.nih.gov/transcriptome/Tx_amboinensis_sialome/Table_1/links/TX-5-90-90-asb-313.txt","Contig-313")</f>
        <v>Contig-313</v>
      </c>
      <c r="C417" t="str">
        <f>HYPERLINK("http://exon.niaid.nih.gov/transcriptome/Tx_amboinensis_sialome/Table_1/links/TX-5-90-90-313-CLU.txt","Contig313")</f>
        <v>Contig313</v>
      </c>
      <c r="D417" s="4">
        <v>1</v>
      </c>
      <c r="E417">
        <v>107</v>
      </c>
      <c r="F417">
        <v>0.9</v>
      </c>
      <c r="G417">
        <v>94.4</v>
      </c>
      <c r="H417">
        <v>13</v>
      </c>
      <c r="I417">
        <v>313</v>
      </c>
      <c r="J417" t="s">
        <v>1167</v>
      </c>
      <c r="K417">
        <v>13</v>
      </c>
      <c r="L417" s="3" t="s">
        <v>1036</v>
      </c>
      <c r="M417" s="4">
        <v>0</v>
      </c>
      <c r="N417" s="4">
        <v>0</v>
      </c>
      <c r="O417" s="4">
        <v>0</v>
      </c>
      <c r="P417" s="4">
        <v>0</v>
      </c>
      <c r="Q417" s="5" t="s">
        <v>1039</v>
      </c>
      <c r="Y417" t="s">
        <v>324</v>
      </c>
      <c r="Z417" s="2" t="s">
        <v>324</v>
      </c>
      <c r="AA417" t="s">
        <v>324</v>
      </c>
      <c r="AB417" t="s">
        <v>324</v>
      </c>
      <c r="AC417" t="s">
        <v>324</v>
      </c>
      <c r="AD417" t="s">
        <v>324</v>
      </c>
      <c r="AE417" t="s">
        <v>324</v>
      </c>
      <c r="AF417" t="s">
        <v>324</v>
      </c>
      <c r="AG417" s="2" t="s">
        <v>324</v>
      </c>
      <c r="AH417" t="s">
        <v>324</v>
      </c>
      <c r="AI417" t="s">
        <v>324</v>
      </c>
      <c r="AJ417" s="2" t="s">
        <v>324</v>
      </c>
      <c r="AK417" t="s">
        <v>324</v>
      </c>
      <c r="AL417" t="s">
        <v>324</v>
      </c>
      <c r="AM417" s="2" t="s">
        <v>324</v>
      </c>
      <c r="AN417" t="s">
        <v>324</v>
      </c>
      <c r="AO417" s="2" t="s">
        <v>324</v>
      </c>
      <c r="AP417" t="s">
        <v>324</v>
      </c>
      <c r="AQ417" s="2" t="s">
        <v>324</v>
      </c>
      <c r="AR417" t="s">
        <v>324</v>
      </c>
      <c r="AS417" s="2" t="s">
        <v>324</v>
      </c>
      <c r="AT417" t="s">
        <v>324</v>
      </c>
    </row>
    <row r="418" spans="1:46" ht="11.25">
      <c r="A418" t="str">
        <f>HYPERLINK("http://exon.niaid.nih.gov/transcriptome/Tx_amboinensis_sialome/Table_1/links/TX-contig_314.txt","TX-contig_314")</f>
        <v>TX-contig_314</v>
      </c>
      <c r="B418" t="str">
        <f>HYPERLINK("http://exon.niaid.nih.gov/transcriptome/Tx_amboinensis_sialome/Table_1/links/TX-5-90-90-asb-314.txt","Contig-314")</f>
        <v>Contig-314</v>
      </c>
      <c r="C418" t="str">
        <f>HYPERLINK("http://exon.niaid.nih.gov/transcriptome/Tx_amboinensis_sialome/Table_1/links/TX-5-90-90-314-CLU.txt","Contig314")</f>
        <v>Contig314</v>
      </c>
      <c r="D418" s="4">
        <v>1</v>
      </c>
      <c r="E418">
        <v>130</v>
      </c>
      <c r="F418">
        <v>4.6</v>
      </c>
      <c r="G418">
        <v>56.9</v>
      </c>
      <c r="H418">
        <v>77</v>
      </c>
      <c r="I418">
        <v>314</v>
      </c>
      <c r="J418" t="s">
        <v>1168</v>
      </c>
      <c r="K418">
        <v>77</v>
      </c>
      <c r="L418" s="3" t="s">
        <v>1036</v>
      </c>
      <c r="M418" s="4">
        <v>0</v>
      </c>
      <c r="N418" s="4">
        <v>0</v>
      </c>
      <c r="O418" s="4">
        <v>0</v>
      </c>
      <c r="P418" s="4">
        <v>0</v>
      </c>
      <c r="Q418" s="5" t="s">
        <v>1039</v>
      </c>
      <c r="Y418" t="s">
        <v>324</v>
      </c>
      <c r="Z418" s="2" t="s">
        <v>324</v>
      </c>
      <c r="AA418" t="s">
        <v>324</v>
      </c>
      <c r="AB418" t="s">
        <v>324</v>
      </c>
      <c r="AC418" t="s">
        <v>324</v>
      </c>
      <c r="AD418" t="s">
        <v>324</v>
      </c>
      <c r="AE418" t="s">
        <v>324</v>
      </c>
      <c r="AF418" t="s">
        <v>324</v>
      </c>
      <c r="AG418" s="2" t="s">
        <v>324</v>
      </c>
      <c r="AH418" t="s">
        <v>324</v>
      </c>
      <c r="AI418" t="s">
        <v>324</v>
      </c>
      <c r="AJ418" s="2" t="s">
        <v>324</v>
      </c>
      <c r="AK418" t="s">
        <v>324</v>
      </c>
      <c r="AL418" t="s">
        <v>324</v>
      </c>
      <c r="AM418" s="2" t="s">
        <v>324</v>
      </c>
      <c r="AN418" t="s">
        <v>324</v>
      </c>
      <c r="AO418" s="2" t="str">
        <f>HYPERLINK("http://exon.niaid.nih.gov/transcriptome/Tx_amboinensis_sialome/Table_1/links/SMART\TX-contig_314-SMART.txt","SO")</f>
        <v>SO</v>
      </c>
      <c r="AP418" t="str">
        <f>HYPERLINK("http://smart.embl-heidelberg.de/smart/do_annotation.pl?DOMAIN=SO&amp;BLAST=DUMMY","0.77")</f>
        <v>0.77</v>
      </c>
      <c r="AQ418" s="2" t="s">
        <v>324</v>
      </c>
      <c r="AR418" t="s">
        <v>324</v>
      </c>
      <c r="AS418" s="2" t="s">
        <v>324</v>
      </c>
      <c r="AT418" t="s">
        <v>324</v>
      </c>
    </row>
    <row r="419" spans="1:46" ht="11.25">
      <c r="A419" t="str">
        <f>HYPERLINK("http://exon.niaid.nih.gov/transcriptome/Tx_amboinensis_sialome/Table_1/links/TX-contig_316.txt","TX-contig_316")</f>
        <v>TX-contig_316</v>
      </c>
      <c r="B419" t="str">
        <f>HYPERLINK("http://exon.niaid.nih.gov/transcriptome/Tx_amboinensis_sialome/Table_1/links/TX-5-90-90-asb-316.txt","Contig-316")</f>
        <v>Contig-316</v>
      </c>
      <c r="C419" t="str">
        <f>HYPERLINK("http://exon.niaid.nih.gov/transcriptome/Tx_amboinensis_sialome/Table_1/links/TX-5-90-90-316-CLU.txt","Contig316")</f>
        <v>Contig316</v>
      </c>
      <c r="D419" s="4">
        <v>1</v>
      </c>
      <c r="E419">
        <v>143</v>
      </c>
      <c r="F419" t="s">
        <v>322</v>
      </c>
      <c r="G419">
        <v>71.3</v>
      </c>
      <c r="H419">
        <v>124</v>
      </c>
      <c r="I419">
        <v>316</v>
      </c>
      <c r="J419" t="s">
        <v>1170</v>
      </c>
      <c r="K419">
        <v>124</v>
      </c>
      <c r="L419" s="3" t="s">
        <v>1036</v>
      </c>
      <c r="M419" s="4">
        <v>0</v>
      </c>
      <c r="N419" s="4">
        <v>0</v>
      </c>
      <c r="O419" s="4">
        <v>0</v>
      </c>
      <c r="P419" s="4">
        <v>0</v>
      </c>
      <c r="Q419" s="5" t="s">
        <v>1039</v>
      </c>
      <c r="Y419" t="s">
        <v>324</v>
      </c>
      <c r="Z419" s="2" t="s">
        <v>324</v>
      </c>
      <c r="AA419" t="s">
        <v>324</v>
      </c>
      <c r="AB419" t="s">
        <v>324</v>
      </c>
      <c r="AC419" t="s">
        <v>324</v>
      </c>
      <c r="AD419" t="s">
        <v>324</v>
      </c>
      <c r="AE419" t="s">
        <v>324</v>
      </c>
      <c r="AF419" t="s">
        <v>324</v>
      </c>
      <c r="AG419" s="2" t="s">
        <v>324</v>
      </c>
      <c r="AH419" t="s">
        <v>324</v>
      </c>
      <c r="AI419" t="s">
        <v>324</v>
      </c>
      <c r="AJ419" s="2" t="s">
        <v>324</v>
      </c>
      <c r="AK419" t="s">
        <v>324</v>
      </c>
      <c r="AL419" t="s">
        <v>324</v>
      </c>
      <c r="AM419" s="2" t="s">
        <v>324</v>
      </c>
      <c r="AN419" t="s">
        <v>324</v>
      </c>
      <c r="AO419" s="2" t="s">
        <v>324</v>
      </c>
      <c r="AP419" t="s">
        <v>324</v>
      </c>
      <c r="AQ419" s="2" t="s">
        <v>324</v>
      </c>
      <c r="AR419" t="s">
        <v>324</v>
      </c>
      <c r="AS419" s="2" t="s">
        <v>324</v>
      </c>
      <c r="AT419" t="s">
        <v>324</v>
      </c>
    </row>
    <row r="420" spans="1:46" ht="11.25">
      <c r="A420" t="str">
        <f>HYPERLINK("http://exon.niaid.nih.gov/transcriptome/Tx_amboinensis_sialome/Table_1/links/TX-contig_318.txt","TX-contig_318")</f>
        <v>TX-contig_318</v>
      </c>
      <c r="B420" t="str">
        <f>HYPERLINK("http://exon.niaid.nih.gov/transcriptome/Tx_amboinensis_sialome/Table_1/links/TX-5-90-90-asb-318.txt","Contig-318")</f>
        <v>Contig-318</v>
      </c>
      <c r="C420" t="str">
        <f>HYPERLINK("http://exon.niaid.nih.gov/transcriptome/Tx_amboinensis_sialome/Table_1/links/TX-5-90-90-318-CLU.txt","Contig318")</f>
        <v>Contig318</v>
      </c>
      <c r="D420" s="4">
        <v>1</v>
      </c>
      <c r="E420">
        <v>152</v>
      </c>
      <c r="F420" t="s">
        <v>322</v>
      </c>
      <c r="G420">
        <v>80.9</v>
      </c>
      <c r="H420">
        <v>60</v>
      </c>
      <c r="I420">
        <v>318</v>
      </c>
      <c r="J420" t="s">
        <v>1172</v>
      </c>
      <c r="K420">
        <v>60</v>
      </c>
      <c r="L420" s="3" t="s">
        <v>1036</v>
      </c>
      <c r="M420" s="4">
        <v>0</v>
      </c>
      <c r="N420" s="4">
        <v>0</v>
      </c>
      <c r="O420" s="4">
        <v>0</v>
      </c>
      <c r="P420" s="4">
        <v>0</v>
      </c>
      <c r="Q420" s="5" t="s">
        <v>1039</v>
      </c>
      <c r="Y420" t="s">
        <v>324</v>
      </c>
      <c r="Z420" s="2" t="s">
        <v>324</v>
      </c>
      <c r="AA420" t="s">
        <v>324</v>
      </c>
      <c r="AB420" t="s">
        <v>324</v>
      </c>
      <c r="AC420" t="s">
        <v>324</v>
      </c>
      <c r="AD420" t="s">
        <v>324</v>
      </c>
      <c r="AE420" t="s">
        <v>324</v>
      </c>
      <c r="AF420" t="s">
        <v>324</v>
      </c>
      <c r="AG420" s="2" t="s">
        <v>324</v>
      </c>
      <c r="AH420" t="s">
        <v>324</v>
      </c>
      <c r="AI420" t="s">
        <v>324</v>
      </c>
      <c r="AJ420" s="2" t="s">
        <v>324</v>
      </c>
      <c r="AK420" t="s">
        <v>324</v>
      </c>
      <c r="AL420" t="s">
        <v>324</v>
      </c>
      <c r="AM420" s="2" t="s">
        <v>324</v>
      </c>
      <c r="AN420" t="s">
        <v>324</v>
      </c>
      <c r="AO420" s="2" t="s">
        <v>324</v>
      </c>
      <c r="AP420" t="s">
        <v>324</v>
      </c>
      <c r="AQ420" s="2" t="s">
        <v>324</v>
      </c>
      <c r="AR420" t="s">
        <v>324</v>
      </c>
      <c r="AS420" s="2" t="s">
        <v>324</v>
      </c>
      <c r="AT420" t="s">
        <v>324</v>
      </c>
    </row>
    <row r="421" spans="1:46" ht="11.25">
      <c r="A421" t="str">
        <f>HYPERLINK("http://exon.niaid.nih.gov/transcriptome/Tx_amboinensis_sialome/Table_1/links/TX-contig_320.txt","TX-contig_320")</f>
        <v>TX-contig_320</v>
      </c>
      <c r="B421" t="str">
        <f>HYPERLINK("http://exon.niaid.nih.gov/transcriptome/Tx_amboinensis_sialome/Table_1/links/TX-5-90-90-asb-320.txt","Contig-320")</f>
        <v>Contig-320</v>
      </c>
      <c r="C421" t="str">
        <f>HYPERLINK("http://exon.niaid.nih.gov/transcriptome/Tx_amboinensis_sialome/Table_1/links/TX-5-90-90-320-CLU.txt","Contig320")</f>
        <v>Contig320</v>
      </c>
      <c r="D421" s="4">
        <v>1</v>
      </c>
      <c r="E421">
        <v>113</v>
      </c>
      <c r="F421">
        <v>2.7</v>
      </c>
      <c r="G421">
        <v>84.1</v>
      </c>
      <c r="H421">
        <v>54</v>
      </c>
      <c r="I421">
        <v>320</v>
      </c>
      <c r="J421" t="s">
        <v>1174</v>
      </c>
      <c r="K421">
        <v>54</v>
      </c>
      <c r="L421" s="3" t="s">
        <v>1036</v>
      </c>
      <c r="M421" s="4">
        <v>0</v>
      </c>
      <c r="N421" s="4">
        <v>0</v>
      </c>
      <c r="O421" s="4">
        <v>0</v>
      </c>
      <c r="P421" s="4">
        <v>0</v>
      </c>
      <c r="Q421" s="5" t="s">
        <v>1039</v>
      </c>
      <c r="Y421" t="s">
        <v>324</v>
      </c>
      <c r="Z421" s="2" t="s">
        <v>324</v>
      </c>
      <c r="AA421" t="s">
        <v>324</v>
      </c>
      <c r="AB421" t="s">
        <v>324</v>
      </c>
      <c r="AC421" t="s">
        <v>324</v>
      </c>
      <c r="AD421" t="s">
        <v>324</v>
      </c>
      <c r="AE421" t="s">
        <v>324</v>
      </c>
      <c r="AF421" t="s">
        <v>324</v>
      </c>
      <c r="AG421" s="2" t="s">
        <v>324</v>
      </c>
      <c r="AH421" t="s">
        <v>324</v>
      </c>
      <c r="AI421" t="s">
        <v>324</v>
      </c>
      <c r="AJ421" s="2" t="s">
        <v>324</v>
      </c>
      <c r="AK421" t="s">
        <v>324</v>
      </c>
      <c r="AL421" t="s">
        <v>324</v>
      </c>
      <c r="AM421" s="2" t="s">
        <v>324</v>
      </c>
      <c r="AN421" t="s">
        <v>324</v>
      </c>
      <c r="AO421" s="2" t="s">
        <v>324</v>
      </c>
      <c r="AP421" t="s">
        <v>324</v>
      </c>
      <c r="AQ421" s="2" t="s">
        <v>324</v>
      </c>
      <c r="AR421" t="s">
        <v>324</v>
      </c>
      <c r="AS421" s="2" t="s">
        <v>324</v>
      </c>
      <c r="AT421" t="s">
        <v>324</v>
      </c>
    </row>
    <row r="422" spans="1:46" ht="11.25">
      <c r="A422" t="str">
        <f>HYPERLINK("http://exon.niaid.nih.gov/transcriptome/Tx_amboinensis_sialome/Table_1/links/TX-contig_321.txt","TX-contig_321")</f>
        <v>TX-contig_321</v>
      </c>
      <c r="B422" t="str">
        <f>HYPERLINK("http://exon.niaid.nih.gov/transcriptome/Tx_amboinensis_sialome/Table_1/links/TX-5-90-90-asb-321.txt","Contig-321")</f>
        <v>Contig-321</v>
      </c>
      <c r="C422" t="str">
        <f>HYPERLINK("http://exon.niaid.nih.gov/transcriptome/Tx_amboinensis_sialome/Table_1/links/TX-5-90-90-321-CLU.txt","Contig321")</f>
        <v>Contig321</v>
      </c>
      <c r="D422" s="4">
        <v>1</v>
      </c>
      <c r="E422">
        <v>107</v>
      </c>
      <c r="F422" t="s">
        <v>322</v>
      </c>
      <c r="G422">
        <v>72</v>
      </c>
      <c r="H422">
        <v>78</v>
      </c>
      <c r="I422">
        <v>321</v>
      </c>
      <c r="J422" t="s">
        <v>1175</v>
      </c>
      <c r="K422">
        <v>78</v>
      </c>
      <c r="L422" s="3" t="s">
        <v>1036</v>
      </c>
      <c r="M422" s="4">
        <v>0</v>
      </c>
      <c r="N422" s="4">
        <v>0</v>
      </c>
      <c r="O422" s="4">
        <v>0</v>
      </c>
      <c r="P422" s="4">
        <v>0</v>
      </c>
      <c r="Q422" s="5" t="s">
        <v>1039</v>
      </c>
      <c r="Y422" t="s">
        <v>324</v>
      </c>
      <c r="Z422" s="2" t="s">
        <v>324</v>
      </c>
      <c r="AA422" t="s">
        <v>324</v>
      </c>
      <c r="AB422" t="s">
        <v>324</v>
      </c>
      <c r="AC422" t="s">
        <v>324</v>
      </c>
      <c r="AD422" t="s">
        <v>324</v>
      </c>
      <c r="AE422" t="s">
        <v>324</v>
      </c>
      <c r="AF422" t="s">
        <v>324</v>
      </c>
      <c r="AG422" s="2" t="s">
        <v>324</v>
      </c>
      <c r="AH422" t="s">
        <v>324</v>
      </c>
      <c r="AI422" t="s">
        <v>324</v>
      </c>
      <c r="AJ422" s="2" t="s">
        <v>324</v>
      </c>
      <c r="AK422" t="s">
        <v>324</v>
      </c>
      <c r="AL422" t="s">
        <v>324</v>
      </c>
      <c r="AM422" s="2" t="s">
        <v>324</v>
      </c>
      <c r="AN422" t="s">
        <v>324</v>
      </c>
      <c r="AO422" s="2" t="s">
        <v>324</v>
      </c>
      <c r="AP422" t="s">
        <v>324</v>
      </c>
      <c r="AQ422" s="2" t="s">
        <v>324</v>
      </c>
      <c r="AR422" t="s">
        <v>324</v>
      </c>
      <c r="AS422" s="2" t="s">
        <v>324</v>
      </c>
      <c r="AT422" t="s">
        <v>324</v>
      </c>
    </row>
    <row r="423" spans="1:46" ht="11.25">
      <c r="A423" t="str">
        <f>HYPERLINK("http://exon.niaid.nih.gov/transcriptome/Tx_amboinensis_sialome/Table_1/links/TX-contig_322.txt","TX-contig_322")</f>
        <v>TX-contig_322</v>
      </c>
      <c r="B423" t="str">
        <f>HYPERLINK("http://exon.niaid.nih.gov/transcriptome/Tx_amboinensis_sialome/Table_1/links/TX-5-90-90-asb-322.txt","Contig-322")</f>
        <v>Contig-322</v>
      </c>
      <c r="C423" t="str">
        <f>HYPERLINK("http://exon.niaid.nih.gov/transcriptome/Tx_amboinensis_sialome/Table_1/links/TX-5-90-90-322-CLU.txt","Contig322")</f>
        <v>Contig322</v>
      </c>
      <c r="D423" s="4">
        <v>1</v>
      </c>
      <c r="E423">
        <v>119</v>
      </c>
      <c r="F423">
        <v>3.4</v>
      </c>
      <c r="G423">
        <v>59.7</v>
      </c>
      <c r="H423">
        <v>100</v>
      </c>
      <c r="I423">
        <v>322</v>
      </c>
      <c r="J423" t="s">
        <v>1176</v>
      </c>
      <c r="K423">
        <v>100</v>
      </c>
      <c r="L423" s="3" t="s">
        <v>1036</v>
      </c>
      <c r="M423" s="4">
        <v>0</v>
      </c>
      <c r="N423" s="4">
        <v>0</v>
      </c>
      <c r="O423" s="4">
        <v>0</v>
      </c>
      <c r="P423" s="4">
        <v>0</v>
      </c>
      <c r="Q423" s="5" t="s">
        <v>1039</v>
      </c>
      <c r="Y423" t="s">
        <v>324</v>
      </c>
      <c r="Z423" s="2" t="s">
        <v>324</v>
      </c>
      <c r="AA423" t="s">
        <v>324</v>
      </c>
      <c r="AB423" t="s">
        <v>324</v>
      </c>
      <c r="AC423" t="s">
        <v>324</v>
      </c>
      <c r="AD423" t="s">
        <v>324</v>
      </c>
      <c r="AE423" t="s">
        <v>324</v>
      </c>
      <c r="AF423" t="s">
        <v>324</v>
      </c>
      <c r="AG423" s="2" t="s">
        <v>324</v>
      </c>
      <c r="AH423" t="s">
        <v>324</v>
      </c>
      <c r="AI423" t="s">
        <v>324</v>
      </c>
      <c r="AJ423" s="2" t="s">
        <v>324</v>
      </c>
      <c r="AK423" t="s">
        <v>324</v>
      </c>
      <c r="AL423" t="s">
        <v>324</v>
      </c>
      <c r="AM423" s="2" t="s">
        <v>324</v>
      </c>
      <c r="AN423" t="s">
        <v>324</v>
      </c>
      <c r="AO423" s="2" t="s">
        <v>324</v>
      </c>
      <c r="AP423" t="s">
        <v>324</v>
      </c>
      <c r="AQ423" s="2" t="s">
        <v>324</v>
      </c>
      <c r="AR423" t="s">
        <v>324</v>
      </c>
      <c r="AS423" s="2" t="s">
        <v>324</v>
      </c>
      <c r="AT423" t="s">
        <v>324</v>
      </c>
    </row>
    <row r="424" spans="1:46" ht="11.25">
      <c r="A424" t="str">
        <f>HYPERLINK("http://exon.niaid.nih.gov/transcriptome/Tx_amboinensis_sialome/Table_1/links/TX-contig_323.txt","TX-contig_323")</f>
        <v>TX-contig_323</v>
      </c>
      <c r="B424" t="str">
        <f>HYPERLINK("http://exon.niaid.nih.gov/transcriptome/Tx_amboinensis_sialome/Table_1/links/TX-5-90-90-asb-323.txt","Contig-323")</f>
        <v>Contig-323</v>
      </c>
      <c r="C424" t="str">
        <f>HYPERLINK("http://exon.niaid.nih.gov/transcriptome/Tx_amboinensis_sialome/Table_1/links/TX-5-90-90-323-CLU.txt","Contig323")</f>
        <v>Contig323</v>
      </c>
      <c r="D424" s="4">
        <v>1</v>
      </c>
      <c r="E424">
        <v>101</v>
      </c>
      <c r="F424" t="s">
        <v>322</v>
      </c>
      <c r="G424">
        <v>99</v>
      </c>
      <c r="H424">
        <v>2</v>
      </c>
      <c r="I424">
        <v>323</v>
      </c>
      <c r="J424" t="s">
        <v>1177</v>
      </c>
      <c r="K424">
        <v>2</v>
      </c>
      <c r="L424" s="3" t="s">
        <v>1036</v>
      </c>
      <c r="M424" s="4">
        <v>0</v>
      </c>
      <c r="N424" s="4">
        <v>0</v>
      </c>
      <c r="O424" s="4">
        <v>0</v>
      </c>
      <c r="P424" s="4">
        <v>0</v>
      </c>
      <c r="Q424" s="5" t="s">
        <v>1039</v>
      </c>
      <c r="Y424" t="s">
        <v>324</v>
      </c>
      <c r="Z424" s="2" t="s">
        <v>324</v>
      </c>
      <c r="AA424" t="s">
        <v>324</v>
      </c>
      <c r="AB424" t="s">
        <v>324</v>
      </c>
      <c r="AC424" t="s">
        <v>324</v>
      </c>
      <c r="AD424" t="s">
        <v>324</v>
      </c>
      <c r="AE424" t="s">
        <v>324</v>
      </c>
      <c r="AF424" t="s">
        <v>324</v>
      </c>
      <c r="AG424" s="2" t="s">
        <v>324</v>
      </c>
      <c r="AH424" t="s">
        <v>324</v>
      </c>
      <c r="AI424" t="s">
        <v>324</v>
      </c>
      <c r="AJ424" s="2" t="s">
        <v>324</v>
      </c>
      <c r="AK424" t="s">
        <v>324</v>
      </c>
      <c r="AL424" t="s">
        <v>324</v>
      </c>
      <c r="AM424" s="2" t="s">
        <v>324</v>
      </c>
      <c r="AN424" t="s">
        <v>324</v>
      </c>
      <c r="AO424" s="2" t="s">
        <v>324</v>
      </c>
      <c r="AP424" t="s">
        <v>324</v>
      </c>
      <c r="AQ424" s="2" t="s">
        <v>324</v>
      </c>
      <c r="AR424" t="s">
        <v>324</v>
      </c>
      <c r="AS424" s="2" t="s">
        <v>324</v>
      </c>
      <c r="AT424" t="s">
        <v>324</v>
      </c>
    </row>
    <row r="425" spans="1:46" ht="11.25">
      <c r="A425" t="str">
        <f>HYPERLINK("http://exon.niaid.nih.gov/transcriptome/Tx_amboinensis_sialome/Table_1/links/TX-contig_325.txt","TX-contig_325")</f>
        <v>TX-contig_325</v>
      </c>
      <c r="B425" t="str">
        <f>HYPERLINK("http://exon.niaid.nih.gov/transcriptome/Tx_amboinensis_sialome/Table_1/links/TX-5-90-90-asb-325.txt","Contig-325")</f>
        <v>Contig-325</v>
      </c>
      <c r="C425" t="str">
        <f>HYPERLINK("http://exon.niaid.nih.gov/transcriptome/Tx_amboinensis_sialome/Table_1/links/TX-5-90-90-325-CLU.txt","Contig325")</f>
        <v>Contig325</v>
      </c>
      <c r="D425" s="4">
        <v>1</v>
      </c>
      <c r="E425">
        <v>94</v>
      </c>
      <c r="F425">
        <v>1.1</v>
      </c>
      <c r="G425">
        <v>71.3</v>
      </c>
      <c r="H425">
        <v>69</v>
      </c>
      <c r="I425">
        <v>325</v>
      </c>
      <c r="J425" t="s">
        <v>1179</v>
      </c>
      <c r="K425">
        <v>69</v>
      </c>
      <c r="L425" s="3" t="s">
        <v>1036</v>
      </c>
      <c r="M425" s="4">
        <v>0</v>
      </c>
      <c r="N425" s="4">
        <v>0</v>
      </c>
      <c r="O425" s="4">
        <v>0</v>
      </c>
      <c r="P425" s="4">
        <v>0</v>
      </c>
      <c r="Q425" s="5" t="s">
        <v>1039</v>
      </c>
      <c r="Y425" t="s">
        <v>324</v>
      </c>
      <c r="Z425" s="2" t="s">
        <v>324</v>
      </c>
      <c r="AA425" t="s">
        <v>324</v>
      </c>
      <c r="AB425" t="s">
        <v>324</v>
      </c>
      <c r="AC425" t="s">
        <v>324</v>
      </c>
      <c r="AD425" t="s">
        <v>324</v>
      </c>
      <c r="AE425" t="s">
        <v>324</v>
      </c>
      <c r="AF425" t="s">
        <v>324</v>
      </c>
      <c r="AG425" s="2" t="s">
        <v>324</v>
      </c>
      <c r="AH425" t="s">
        <v>324</v>
      </c>
      <c r="AI425" t="s">
        <v>324</v>
      </c>
      <c r="AJ425" s="2" t="s">
        <v>324</v>
      </c>
      <c r="AK425" t="s">
        <v>324</v>
      </c>
      <c r="AL425" t="s">
        <v>324</v>
      </c>
      <c r="AM425" s="2" t="s">
        <v>324</v>
      </c>
      <c r="AN425" t="s">
        <v>324</v>
      </c>
      <c r="AO425" s="2" t="str">
        <f>HYPERLINK("http://exon.niaid.nih.gov/transcriptome/Tx_amboinensis_sialome/Table_1/links/SMART\TX-contig_325-SMART.txt","PTPc")</f>
        <v>PTPc</v>
      </c>
      <c r="AP425" t="str">
        <f>HYPERLINK("http://smart.embl-heidelberg.de/smart/do_annotation.pl?DOMAIN=PTPc&amp;BLAST=DUMMY","0.57")</f>
        <v>0.57</v>
      </c>
      <c r="AQ425" s="2" t="s">
        <v>324</v>
      </c>
      <c r="AR425" t="s">
        <v>324</v>
      </c>
      <c r="AS425" s="2" t="s">
        <v>324</v>
      </c>
      <c r="AT425" t="s">
        <v>324</v>
      </c>
    </row>
    <row r="426" spans="1:46" ht="11.25">
      <c r="A426" t="str">
        <f>HYPERLINK("http://exon.niaid.nih.gov/transcriptome/Tx_amboinensis_sialome/Table_1/links/TX-contig_329.txt","TX-contig_329")</f>
        <v>TX-contig_329</v>
      </c>
      <c r="B426" t="str">
        <f>HYPERLINK("http://exon.niaid.nih.gov/transcriptome/Tx_amboinensis_sialome/Table_1/links/TX-5-90-90-asb-329.txt","Contig-329")</f>
        <v>Contig-329</v>
      </c>
      <c r="C426" t="str">
        <f>HYPERLINK("http://exon.niaid.nih.gov/transcriptome/Tx_amboinensis_sialome/Table_1/links/TX-5-90-90-329-CLU.txt","Contig329")</f>
        <v>Contig329</v>
      </c>
      <c r="D426" s="4">
        <v>1</v>
      </c>
      <c r="E426">
        <v>114</v>
      </c>
      <c r="F426">
        <v>1.8</v>
      </c>
      <c r="G426">
        <v>90.4</v>
      </c>
      <c r="H426">
        <v>6</v>
      </c>
      <c r="I426">
        <v>329</v>
      </c>
      <c r="J426" t="s">
        <v>1183</v>
      </c>
      <c r="K426">
        <v>6</v>
      </c>
      <c r="L426" s="3" t="s">
        <v>1036</v>
      </c>
      <c r="M426" s="4">
        <v>0</v>
      </c>
      <c r="N426" s="4">
        <v>0</v>
      </c>
      <c r="O426" s="4">
        <v>0</v>
      </c>
      <c r="P426" s="4">
        <v>0</v>
      </c>
      <c r="Q426" s="5" t="s">
        <v>1039</v>
      </c>
      <c r="Y426" t="s">
        <v>324</v>
      </c>
      <c r="Z426" s="2" t="s">
        <v>324</v>
      </c>
      <c r="AA426" t="s">
        <v>324</v>
      </c>
      <c r="AB426" t="s">
        <v>324</v>
      </c>
      <c r="AC426" t="s">
        <v>324</v>
      </c>
      <c r="AD426" t="s">
        <v>324</v>
      </c>
      <c r="AE426" t="s">
        <v>324</v>
      </c>
      <c r="AF426" t="s">
        <v>324</v>
      </c>
      <c r="AG426" s="2" t="s">
        <v>324</v>
      </c>
      <c r="AH426" t="s">
        <v>324</v>
      </c>
      <c r="AI426" t="s">
        <v>324</v>
      </c>
      <c r="AJ426" s="2" t="s">
        <v>324</v>
      </c>
      <c r="AK426" t="s">
        <v>324</v>
      </c>
      <c r="AL426" t="s">
        <v>324</v>
      </c>
      <c r="AM426" s="2" t="s">
        <v>324</v>
      </c>
      <c r="AN426" t="s">
        <v>324</v>
      </c>
      <c r="AO426" s="2" t="s">
        <v>324</v>
      </c>
      <c r="AP426" t="s">
        <v>324</v>
      </c>
      <c r="AQ426" s="2" t="s">
        <v>324</v>
      </c>
      <c r="AR426" t="s">
        <v>324</v>
      </c>
      <c r="AS426" s="2" t="s">
        <v>324</v>
      </c>
      <c r="AT426" t="s">
        <v>324</v>
      </c>
    </row>
    <row r="427" spans="1:46" ht="11.25">
      <c r="A427" t="str">
        <f>HYPERLINK("http://exon.niaid.nih.gov/transcriptome/Tx_amboinensis_sialome/Table_1/links/TX-contig_331.txt","TX-contig_331")</f>
        <v>TX-contig_331</v>
      </c>
      <c r="B427" t="str">
        <f>HYPERLINK("http://exon.niaid.nih.gov/transcriptome/Tx_amboinensis_sialome/Table_1/links/TX-5-90-90-asb-331.txt","Contig-331")</f>
        <v>Contig-331</v>
      </c>
      <c r="C427" t="str">
        <f>HYPERLINK("http://exon.niaid.nih.gov/transcriptome/Tx_amboinensis_sialome/Table_1/links/TX-5-90-90-331-CLU.txt","Contig331")</f>
        <v>Contig331</v>
      </c>
      <c r="D427" s="4">
        <v>1</v>
      </c>
      <c r="E427">
        <v>145</v>
      </c>
      <c r="F427">
        <v>2.8</v>
      </c>
      <c r="G427">
        <v>75.9</v>
      </c>
      <c r="H427">
        <v>75</v>
      </c>
      <c r="I427">
        <v>331</v>
      </c>
      <c r="J427" t="s">
        <v>1185</v>
      </c>
      <c r="K427">
        <v>96</v>
      </c>
      <c r="L427" s="3" t="s">
        <v>1036</v>
      </c>
      <c r="M427" s="4">
        <v>0</v>
      </c>
      <c r="N427" s="4">
        <v>0</v>
      </c>
      <c r="O427" s="4">
        <v>0</v>
      </c>
      <c r="P427" s="4">
        <v>0</v>
      </c>
      <c r="Q427" s="5" t="s">
        <v>1039</v>
      </c>
      <c r="Y427" t="s">
        <v>324</v>
      </c>
      <c r="Z427" s="2" t="s">
        <v>324</v>
      </c>
      <c r="AA427" t="s">
        <v>324</v>
      </c>
      <c r="AB427" t="s">
        <v>324</v>
      </c>
      <c r="AC427" t="s">
        <v>324</v>
      </c>
      <c r="AD427" t="s">
        <v>324</v>
      </c>
      <c r="AE427" t="s">
        <v>324</v>
      </c>
      <c r="AF427" t="s">
        <v>324</v>
      </c>
      <c r="AG427" s="2" t="s">
        <v>324</v>
      </c>
      <c r="AH427" t="s">
        <v>324</v>
      </c>
      <c r="AI427" t="s">
        <v>324</v>
      </c>
      <c r="AJ427" s="2" t="s">
        <v>324</v>
      </c>
      <c r="AK427" t="s">
        <v>324</v>
      </c>
      <c r="AL427" t="s">
        <v>324</v>
      </c>
      <c r="AM427" s="2" t="s">
        <v>324</v>
      </c>
      <c r="AN427" t="s">
        <v>324</v>
      </c>
      <c r="AO427" s="2" t="s">
        <v>324</v>
      </c>
      <c r="AP427" t="s">
        <v>324</v>
      </c>
      <c r="AQ427" s="2" t="s">
        <v>324</v>
      </c>
      <c r="AR427" t="s">
        <v>324</v>
      </c>
      <c r="AS427" s="2" t="s">
        <v>324</v>
      </c>
      <c r="AT427" t="s">
        <v>324</v>
      </c>
    </row>
    <row r="428" spans="1:46" ht="11.25">
      <c r="A428" t="str">
        <f>HYPERLINK("http://exon.niaid.nih.gov/transcriptome/Tx_amboinensis_sialome/Table_1/links/TX-contig_332.txt","TX-contig_332")</f>
        <v>TX-contig_332</v>
      </c>
      <c r="B428" t="str">
        <f>HYPERLINK("http://exon.niaid.nih.gov/transcriptome/Tx_amboinensis_sialome/Table_1/links/TX-5-90-90-asb-332.txt","Contig-332")</f>
        <v>Contig-332</v>
      </c>
      <c r="C428" t="str">
        <f>HYPERLINK("http://exon.niaid.nih.gov/transcriptome/Tx_amboinensis_sialome/Table_1/links/TX-5-90-90-332-CLU.txt","Contig332")</f>
        <v>Contig332</v>
      </c>
      <c r="D428" s="4">
        <v>1</v>
      </c>
      <c r="E428">
        <v>116</v>
      </c>
      <c r="F428">
        <v>3.4</v>
      </c>
      <c r="G428">
        <v>90.5</v>
      </c>
      <c r="H428">
        <v>51</v>
      </c>
      <c r="I428">
        <v>332</v>
      </c>
      <c r="J428" t="s">
        <v>1186</v>
      </c>
      <c r="K428">
        <v>51</v>
      </c>
      <c r="L428" s="3" t="s">
        <v>1036</v>
      </c>
      <c r="M428" s="4">
        <v>0</v>
      </c>
      <c r="N428" s="4">
        <v>0</v>
      </c>
      <c r="O428" s="4">
        <v>0</v>
      </c>
      <c r="P428" s="4">
        <v>0</v>
      </c>
      <c r="Q428" s="5" t="s">
        <v>1039</v>
      </c>
      <c r="Y428" t="s">
        <v>324</v>
      </c>
      <c r="Z428" s="2" t="s">
        <v>324</v>
      </c>
      <c r="AA428" t="s">
        <v>324</v>
      </c>
      <c r="AB428" t="s">
        <v>324</v>
      </c>
      <c r="AC428" t="s">
        <v>324</v>
      </c>
      <c r="AD428" t="s">
        <v>324</v>
      </c>
      <c r="AE428" t="s">
        <v>324</v>
      </c>
      <c r="AF428" t="s">
        <v>324</v>
      </c>
      <c r="AG428" s="2" t="s">
        <v>324</v>
      </c>
      <c r="AH428" t="s">
        <v>324</v>
      </c>
      <c r="AI428" t="s">
        <v>324</v>
      </c>
      <c r="AJ428" s="2" t="s">
        <v>324</v>
      </c>
      <c r="AK428" t="s">
        <v>324</v>
      </c>
      <c r="AL428" t="s">
        <v>324</v>
      </c>
      <c r="AM428" s="2" t="s">
        <v>324</v>
      </c>
      <c r="AN428" t="s">
        <v>324</v>
      </c>
      <c r="AO428" s="2" t="s">
        <v>324</v>
      </c>
      <c r="AP428" t="s">
        <v>324</v>
      </c>
      <c r="AQ428" s="2" t="s">
        <v>324</v>
      </c>
      <c r="AR428" t="s">
        <v>324</v>
      </c>
      <c r="AS428" s="2" t="s">
        <v>324</v>
      </c>
      <c r="AT428" t="s">
        <v>324</v>
      </c>
    </row>
    <row r="429" spans="1:46" ht="11.25">
      <c r="A429" t="str">
        <f>HYPERLINK("http://exon.niaid.nih.gov/transcriptome/Tx_amboinensis_sialome/Table_1/links/TX-contig_338.txt","TX-contig_338")</f>
        <v>TX-contig_338</v>
      </c>
      <c r="B429" t="str">
        <f>HYPERLINK("http://exon.niaid.nih.gov/transcriptome/Tx_amboinensis_sialome/Table_1/links/TX-5-90-90-asb-338.txt","Contig-338")</f>
        <v>Contig-338</v>
      </c>
      <c r="C429" t="str">
        <f>HYPERLINK("http://exon.niaid.nih.gov/transcriptome/Tx_amboinensis_sialome/Table_1/links/TX-5-90-90-338-CLU.txt","Contig338")</f>
        <v>Contig338</v>
      </c>
      <c r="D429" s="4">
        <v>1</v>
      </c>
      <c r="E429">
        <v>164</v>
      </c>
      <c r="F429">
        <v>1.2</v>
      </c>
      <c r="G429">
        <v>74.4</v>
      </c>
      <c r="H429">
        <v>71</v>
      </c>
      <c r="I429">
        <v>338</v>
      </c>
      <c r="J429" t="s">
        <v>1192</v>
      </c>
      <c r="K429">
        <v>71</v>
      </c>
      <c r="L429" s="3" t="s">
        <v>1036</v>
      </c>
      <c r="M429" s="4">
        <v>0</v>
      </c>
      <c r="N429" s="4">
        <v>0</v>
      </c>
      <c r="O429" s="4">
        <v>0</v>
      </c>
      <c r="P429" s="4">
        <v>0</v>
      </c>
      <c r="Q429" s="5" t="s">
        <v>1039</v>
      </c>
      <c r="Y429" t="s">
        <v>324</v>
      </c>
      <c r="Z429" s="2" t="s">
        <v>324</v>
      </c>
      <c r="AA429" t="s">
        <v>324</v>
      </c>
      <c r="AB429" t="s">
        <v>324</v>
      </c>
      <c r="AC429" t="s">
        <v>324</v>
      </c>
      <c r="AD429" t="s">
        <v>324</v>
      </c>
      <c r="AE429" t="s">
        <v>324</v>
      </c>
      <c r="AF429" t="s">
        <v>324</v>
      </c>
      <c r="AG429" s="2" t="s">
        <v>324</v>
      </c>
      <c r="AH429" t="s">
        <v>324</v>
      </c>
      <c r="AI429" t="s">
        <v>324</v>
      </c>
      <c r="AJ429" s="2" t="s">
        <v>324</v>
      </c>
      <c r="AK429" t="s">
        <v>324</v>
      </c>
      <c r="AL429" t="s">
        <v>324</v>
      </c>
      <c r="AM429" s="2" t="s">
        <v>324</v>
      </c>
      <c r="AN429" t="s">
        <v>324</v>
      </c>
      <c r="AO429" s="2" t="s">
        <v>324</v>
      </c>
      <c r="AP429" t="s">
        <v>324</v>
      </c>
      <c r="AQ429" s="2" t="s">
        <v>324</v>
      </c>
      <c r="AR429" t="s">
        <v>324</v>
      </c>
      <c r="AS429" s="2" t="s">
        <v>324</v>
      </c>
      <c r="AT429" t="s">
        <v>324</v>
      </c>
    </row>
    <row r="430" spans="1:46" ht="11.25">
      <c r="A430" t="str">
        <f>HYPERLINK("http://exon.niaid.nih.gov/transcriptome/Tx_amboinensis_sialome/Table_1/links/TX-contig_339.txt","TX-contig_339")</f>
        <v>TX-contig_339</v>
      </c>
      <c r="B430" t="str">
        <f>HYPERLINK("http://exon.niaid.nih.gov/transcriptome/Tx_amboinensis_sialome/Table_1/links/TX-5-90-90-asb-339.txt","Contig-339")</f>
        <v>Contig-339</v>
      </c>
      <c r="C430" t="str">
        <f>HYPERLINK("http://exon.niaid.nih.gov/transcriptome/Tx_amboinensis_sialome/Table_1/links/TX-5-90-90-339-CLU.txt","Contig339")</f>
        <v>Contig339</v>
      </c>
      <c r="D430" s="4">
        <v>1</v>
      </c>
      <c r="E430">
        <v>130</v>
      </c>
      <c r="F430" t="s">
        <v>322</v>
      </c>
      <c r="G430">
        <v>69.2</v>
      </c>
      <c r="H430">
        <v>111</v>
      </c>
      <c r="I430">
        <v>339</v>
      </c>
      <c r="J430" t="s">
        <v>1193</v>
      </c>
      <c r="K430">
        <v>111</v>
      </c>
      <c r="L430" s="3" t="s">
        <v>1036</v>
      </c>
      <c r="M430" s="4">
        <v>0</v>
      </c>
      <c r="N430" s="4">
        <v>0</v>
      </c>
      <c r="O430" s="4">
        <v>0</v>
      </c>
      <c r="P430" s="4">
        <v>0</v>
      </c>
      <c r="Q430" s="5" t="s">
        <v>1039</v>
      </c>
      <c r="Y430" t="s">
        <v>324</v>
      </c>
      <c r="Z430" s="2" t="s">
        <v>324</v>
      </c>
      <c r="AA430" t="s">
        <v>324</v>
      </c>
      <c r="AB430" t="s">
        <v>324</v>
      </c>
      <c r="AC430" t="s">
        <v>324</v>
      </c>
      <c r="AD430" t="s">
        <v>324</v>
      </c>
      <c r="AE430" t="s">
        <v>324</v>
      </c>
      <c r="AF430" t="s">
        <v>324</v>
      </c>
      <c r="AG430" s="2" t="s">
        <v>324</v>
      </c>
      <c r="AH430" t="s">
        <v>324</v>
      </c>
      <c r="AI430" t="s">
        <v>324</v>
      </c>
      <c r="AJ430" s="2" t="s">
        <v>324</v>
      </c>
      <c r="AK430" t="s">
        <v>324</v>
      </c>
      <c r="AL430" t="s">
        <v>324</v>
      </c>
      <c r="AM430" s="2" t="s">
        <v>324</v>
      </c>
      <c r="AN430" t="s">
        <v>324</v>
      </c>
      <c r="AO430" s="2" t="s">
        <v>324</v>
      </c>
      <c r="AP430" t="s">
        <v>324</v>
      </c>
      <c r="AQ430" s="2" t="s">
        <v>324</v>
      </c>
      <c r="AR430" t="s">
        <v>324</v>
      </c>
      <c r="AS430" s="2" t="s">
        <v>324</v>
      </c>
      <c r="AT430" t="s">
        <v>324</v>
      </c>
    </row>
    <row r="431" spans="1:46" ht="11.25">
      <c r="A431" t="str">
        <f>HYPERLINK("http://exon.niaid.nih.gov/transcriptome/Tx_amboinensis_sialome/Table_1/links/TX-contig_340.txt","TX-contig_340")</f>
        <v>TX-contig_340</v>
      </c>
      <c r="B431" t="str">
        <f>HYPERLINK("http://exon.niaid.nih.gov/transcriptome/Tx_amboinensis_sialome/Table_1/links/TX-5-90-90-asb-340.txt","Contig-340")</f>
        <v>Contig-340</v>
      </c>
      <c r="C431" t="str">
        <f>HYPERLINK("http://exon.niaid.nih.gov/transcriptome/Tx_amboinensis_sialome/Table_1/links/TX-5-90-90-340-CLU.txt","Contig340")</f>
        <v>Contig340</v>
      </c>
      <c r="D431" s="4">
        <v>1</v>
      </c>
      <c r="E431">
        <v>157</v>
      </c>
      <c r="F431" t="s">
        <v>322</v>
      </c>
      <c r="G431">
        <v>74.5</v>
      </c>
      <c r="H431">
        <v>138</v>
      </c>
      <c r="I431">
        <v>340</v>
      </c>
      <c r="J431" t="s">
        <v>1194</v>
      </c>
      <c r="K431">
        <v>138</v>
      </c>
      <c r="L431" s="3" t="s">
        <v>1036</v>
      </c>
      <c r="M431" s="4">
        <v>0</v>
      </c>
      <c r="N431" s="4">
        <v>0</v>
      </c>
      <c r="O431" s="4">
        <v>0</v>
      </c>
      <c r="P431" s="4">
        <v>0</v>
      </c>
      <c r="Q431" s="5" t="s">
        <v>1039</v>
      </c>
      <c r="Y431" t="s">
        <v>324</v>
      </c>
      <c r="Z431" s="2" t="s">
        <v>324</v>
      </c>
      <c r="AA431" t="s">
        <v>324</v>
      </c>
      <c r="AB431" t="s">
        <v>324</v>
      </c>
      <c r="AC431" t="s">
        <v>324</v>
      </c>
      <c r="AD431" t="s">
        <v>324</v>
      </c>
      <c r="AE431" t="s">
        <v>324</v>
      </c>
      <c r="AF431" t="s">
        <v>324</v>
      </c>
      <c r="AG431" s="2" t="s">
        <v>324</v>
      </c>
      <c r="AH431" t="s">
        <v>324</v>
      </c>
      <c r="AI431" t="s">
        <v>324</v>
      </c>
      <c r="AJ431" s="2" t="str">
        <f>HYPERLINK("http://exon.niaid.nih.gov/transcriptome/Tx_amboinensis_sialome/Table_1/links/CDD\TX-contig_340-CDD.txt","Papilloma_E5")</f>
        <v>Papilloma_E5</v>
      </c>
      <c r="AK431" t="str">
        <f>HYPERLINK("http://www.ncbi.nlm.nih.gov/Structure/cdd/cddsrv.cgi?uid=pfam03025&amp;version=v4.0","0.69")</f>
        <v>0.69</v>
      </c>
      <c r="AL431" t="s">
        <v>768</v>
      </c>
      <c r="AM431" s="2" t="str">
        <f>HYPERLINK("http://exon.niaid.nih.gov/transcriptome/Tx_amboinensis_sialome/Table_1/links/PFAM\TX-contig_340-PFAM.txt","Papilloma_E5")</f>
        <v>Papilloma_E5</v>
      </c>
      <c r="AN431" t="str">
        <f>HYPERLINK("http://pfam.wustl.edu/cgi-bin/getdesc?acc=PF03025","0.36")</f>
        <v>0.36</v>
      </c>
      <c r="AO431" s="2" t="str">
        <f>HYPERLINK("http://exon.niaid.nih.gov/transcriptome/Tx_amboinensis_sialome/Table_1/links/SMART\TX-contig_340-SMART.txt","TOP2c")</f>
        <v>TOP2c</v>
      </c>
      <c r="AP431" t="str">
        <f>HYPERLINK("http://smart.embl-heidelberg.de/smart/do_annotation.pl?DOMAIN=TOP2c&amp;BLAST=DUMMY","0.12")</f>
        <v>0.12</v>
      </c>
      <c r="AQ431" s="2" t="s">
        <v>324</v>
      </c>
      <c r="AR431" t="s">
        <v>324</v>
      </c>
      <c r="AS431" s="2" t="s">
        <v>324</v>
      </c>
      <c r="AT431" t="s">
        <v>324</v>
      </c>
    </row>
    <row r="432" spans="1:46" ht="11.25">
      <c r="A432" t="str">
        <f>HYPERLINK("http://exon.niaid.nih.gov/transcriptome/Tx_amboinensis_sialome/Table_1/links/TX-contig_351.txt","TX-contig_351")</f>
        <v>TX-contig_351</v>
      </c>
      <c r="B432" t="str">
        <f>HYPERLINK("http://exon.niaid.nih.gov/transcriptome/Tx_amboinensis_sialome/Table_1/links/TX-5-90-90-asb-351.txt","Contig-351")</f>
        <v>Contig-351</v>
      </c>
      <c r="C432" t="str">
        <f>HYPERLINK("http://exon.niaid.nih.gov/transcriptome/Tx_amboinensis_sialome/Table_1/links/TX-5-90-90-351-CLU.txt","Contig351")</f>
        <v>Contig351</v>
      </c>
      <c r="D432" s="4">
        <v>1</v>
      </c>
      <c r="E432">
        <v>202</v>
      </c>
      <c r="F432">
        <v>1</v>
      </c>
      <c r="G432">
        <v>83.2</v>
      </c>
      <c r="H432">
        <v>74</v>
      </c>
      <c r="I432">
        <v>351</v>
      </c>
      <c r="J432" t="s">
        <v>1205</v>
      </c>
      <c r="K432">
        <v>74</v>
      </c>
      <c r="L432" s="3" t="s">
        <v>1036</v>
      </c>
      <c r="M432" s="4">
        <v>0</v>
      </c>
      <c r="N432" s="4">
        <v>0</v>
      </c>
      <c r="O432" s="4">
        <v>0</v>
      </c>
      <c r="P432" s="4">
        <v>0</v>
      </c>
      <c r="Q432" s="5" t="s">
        <v>1039</v>
      </c>
      <c r="Y432" t="s">
        <v>324</v>
      </c>
      <c r="Z432" s="2" t="s">
        <v>324</v>
      </c>
      <c r="AA432" t="s">
        <v>324</v>
      </c>
      <c r="AB432" t="s">
        <v>324</v>
      </c>
      <c r="AC432" t="s">
        <v>324</v>
      </c>
      <c r="AD432" t="s">
        <v>324</v>
      </c>
      <c r="AE432" t="s">
        <v>324</v>
      </c>
      <c r="AF432" t="s">
        <v>324</v>
      </c>
      <c r="AG432" s="2" t="s">
        <v>324</v>
      </c>
      <c r="AH432" t="s">
        <v>324</v>
      </c>
      <c r="AI432" t="s">
        <v>324</v>
      </c>
      <c r="AJ432" s="2" t="s">
        <v>324</v>
      </c>
      <c r="AK432" t="s">
        <v>324</v>
      </c>
      <c r="AL432" t="s">
        <v>324</v>
      </c>
      <c r="AM432" s="2" t="s">
        <v>324</v>
      </c>
      <c r="AN432" t="s">
        <v>324</v>
      </c>
      <c r="AO432" s="2" t="s">
        <v>324</v>
      </c>
      <c r="AP432" t="s">
        <v>324</v>
      </c>
      <c r="AQ432" s="2" t="s">
        <v>324</v>
      </c>
      <c r="AR432" t="s">
        <v>324</v>
      </c>
      <c r="AS432" s="2" t="s">
        <v>324</v>
      </c>
      <c r="AT432" t="s">
        <v>324</v>
      </c>
    </row>
    <row r="433" spans="1:46" ht="11.25">
      <c r="A433" t="str">
        <f>HYPERLINK("http://exon.niaid.nih.gov/transcriptome/Tx_amboinensis_sialome/Table_1/links/TX-contig_354.txt","TX-contig_354")</f>
        <v>TX-contig_354</v>
      </c>
      <c r="B433" t="str">
        <f>HYPERLINK("http://exon.niaid.nih.gov/transcriptome/Tx_amboinensis_sialome/Table_1/links/TX-5-90-90-asb-354.txt","Contig-354")</f>
        <v>Contig-354</v>
      </c>
      <c r="C433" t="str">
        <f>HYPERLINK("http://exon.niaid.nih.gov/transcriptome/Tx_amboinensis_sialome/Table_1/links/TX-5-90-90-354-CLU.txt","Contig354")</f>
        <v>Contig354</v>
      </c>
      <c r="D433" s="4">
        <v>1</v>
      </c>
      <c r="E433">
        <v>94</v>
      </c>
      <c r="F433" t="s">
        <v>322</v>
      </c>
      <c r="G433">
        <v>74.5</v>
      </c>
      <c r="H433">
        <v>66</v>
      </c>
      <c r="I433">
        <v>354</v>
      </c>
      <c r="J433" t="s">
        <v>1208</v>
      </c>
      <c r="K433">
        <v>66</v>
      </c>
      <c r="L433" s="3" t="s">
        <v>1036</v>
      </c>
      <c r="M433" s="4">
        <v>0</v>
      </c>
      <c r="N433" s="4">
        <v>0</v>
      </c>
      <c r="O433" s="4">
        <v>0</v>
      </c>
      <c r="P433" s="4">
        <v>0</v>
      </c>
      <c r="Q433" s="5" t="s">
        <v>1039</v>
      </c>
      <c r="Y433" t="s">
        <v>324</v>
      </c>
      <c r="Z433" s="2" t="s">
        <v>324</v>
      </c>
      <c r="AA433" t="s">
        <v>324</v>
      </c>
      <c r="AB433" t="s">
        <v>324</v>
      </c>
      <c r="AC433" t="s">
        <v>324</v>
      </c>
      <c r="AD433" t="s">
        <v>324</v>
      </c>
      <c r="AE433" t="s">
        <v>324</v>
      </c>
      <c r="AF433" t="s">
        <v>324</v>
      </c>
      <c r="AG433" s="2" t="s">
        <v>324</v>
      </c>
      <c r="AH433" t="s">
        <v>324</v>
      </c>
      <c r="AI433" t="s">
        <v>324</v>
      </c>
      <c r="AJ433" s="2" t="s">
        <v>324</v>
      </c>
      <c r="AK433" t="s">
        <v>324</v>
      </c>
      <c r="AL433" t="s">
        <v>324</v>
      </c>
      <c r="AM433" s="2" t="s">
        <v>324</v>
      </c>
      <c r="AN433" t="s">
        <v>324</v>
      </c>
      <c r="AO433" s="2" t="s">
        <v>324</v>
      </c>
      <c r="AP433" t="s">
        <v>324</v>
      </c>
      <c r="AQ433" s="2" t="s">
        <v>324</v>
      </c>
      <c r="AR433" t="s">
        <v>324</v>
      </c>
      <c r="AS433" s="2" t="s">
        <v>324</v>
      </c>
      <c r="AT433" t="s">
        <v>324</v>
      </c>
    </row>
    <row r="434" spans="1:46" ht="11.25">
      <c r="A434" t="str">
        <f>HYPERLINK("http://exon.niaid.nih.gov/transcriptome/Tx_amboinensis_sialome/Table_1/links/TX-contig_358.txt","TX-contig_358")</f>
        <v>TX-contig_358</v>
      </c>
      <c r="B434" t="str">
        <f>HYPERLINK("http://exon.niaid.nih.gov/transcriptome/Tx_amboinensis_sialome/Table_1/links/TX-5-90-90-asb-358.txt","Contig-358")</f>
        <v>Contig-358</v>
      </c>
      <c r="C434" t="str">
        <f>HYPERLINK("http://exon.niaid.nih.gov/transcriptome/Tx_amboinensis_sialome/Table_1/links/TX-5-90-90-358-CLU.txt","Contig358")</f>
        <v>Contig358</v>
      </c>
      <c r="D434" s="4">
        <v>1</v>
      </c>
      <c r="E434">
        <v>125</v>
      </c>
      <c r="F434" t="s">
        <v>322</v>
      </c>
      <c r="G434">
        <v>93.6</v>
      </c>
      <c r="H434">
        <v>31</v>
      </c>
      <c r="I434">
        <v>358</v>
      </c>
      <c r="J434" t="s">
        <v>1212</v>
      </c>
      <c r="K434">
        <v>31</v>
      </c>
      <c r="L434" s="3" t="s">
        <v>1036</v>
      </c>
      <c r="M434" s="4">
        <v>0</v>
      </c>
      <c r="N434" s="4">
        <v>0</v>
      </c>
      <c r="O434" s="4">
        <v>0</v>
      </c>
      <c r="P434" s="4">
        <v>0</v>
      </c>
      <c r="Q434" s="5" t="s">
        <v>1039</v>
      </c>
      <c r="Y434" t="s">
        <v>324</v>
      </c>
      <c r="Z434" s="2" t="s">
        <v>324</v>
      </c>
      <c r="AA434" t="s">
        <v>324</v>
      </c>
      <c r="AB434" t="s">
        <v>324</v>
      </c>
      <c r="AC434" t="s">
        <v>324</v>
      </c>
      <c r="AD434" t="s">
        <v>324</v>
      </c>
      <c r="AE434" t="s">
        <v>324</v>
      </c>
      <c r="AF434" t="s">
        <v>324</v>
      </c>
      <c r="AG434" s="2" t="s">
        <v>324</v>
      </c>
      <c r="AH434" t="s">
        <v>324</v>
      </c>
      <c r="AI434" t="s">
        <v>324</v>
      </c>
      <c r="AJ434" s="2" t="s">
        <v>324</v>
      </c>
      <c r="AK434" t="s">
        <v>324</v>
      </c>
      <c r="AL434" t="s">
        <v>324</v>
      </c>
      <c r="AM434" s="2" t="s">
        <v>324</v>
      </c>
      <c r="AN434" t="s">
        <v>324</v>
      </c>
      <c r="AO434" s="2" t="s">
        <v>324</v>
      </c>
      <c r="AP434" t="s">
        <v>324</v>
      </c>
      <c r="AQ434" s="2" t="s">
        <v>324</v>
      </c>
      <c r="AR434" t="s">
        <v>324</v>
      </c>
      <c r="AS434" s="2" t="s">
        <v>324</v>
      </c>
      <c r="AT434" t="s">
        <v>324</v>
      </c>
    </row>
    <row r="435" spans="1:46" ht="11.25">
      <c r="A435" t="str">
        <f>HYPERLINK("http://exon.niaid.nih.gov/transcriptome/Tx_amboinensis_sialome/Table_1/links/TX-contig_361.txt","TX-contig_361")</f>
        <v>TX-contig_361</v>
      </c>
      <c r="B435" t="str">
        <f>HYPERLINK("http://exon.niaid.nih.gov/transcriptome/Tx_amboinensis_sialome/Table_1/links/TX-5-90-90-asb-361.txt","Contig-361")</f>
        <v>Contig-361</v>
      </c>
      <c r="C435" t="str">
        <f>HYPERLINK("http://exon.niaid.nih.gov/transcriptome/Tx_amboinensis_sialome/Table_1/links/TX-5-90-90-361-CLU.txt","Contig361")</f>
        <v>Contig361</v>
      </c>
      <c r="D435" s="4">
        <v>1</v>
      </c>
      <c r="E435">
        <v>90</v>
      </c>
      <c r="F435">
        <v>2.2</v>
      </c>
      <c r="G435">
        <v>87.8</v>
      </c>
      <c r="H435">
        <v>22</v>
      </c>
      <c r="I435">
        <v>361</v>
      </c>
      <c r="J435" t="s">
        <v>1215</v>
      </c>
      <c r="K435">
        <v>22</v>
      </c>
      <c r="L435" s="3" t="s">
        <v>1036</v>
      </c>
      <c r="M435" s="4">
        <v>0</v>
      </c>
      <c r="N435" s="4">
        <v>0</v>
      </c>
      <c r="O435" s="4">
        <v>0</v>
      </c>
      <c r="P435" s="4">
        <v>0</v>
      </c>
      <c r="Q435" s="5" t="s">
        <v>1039</v>
      </c>
      <c r="Y435" t="s">
        <v>324</v>
      </c>
      <c r="Z435" s="2" t="s">
        <v>324</v>
      </c>
      <c r="AA435" t="s">
        <v>324</v>
      </c>
      <c r="AB435" t="s">
        <v>324</v>
      </c>
      <c r="AC435" t="s">
        <v>324</v>
      </c>
      <c r="AD435" t="s">
        <v>324</v>
      </c>
      <c r="AE435" t="s">
        <v>324</v>
      </c>
      <c r="AF435" t="s">
        <v>324</v>
      </c>
      <c r="AG435" s="2" t="s">
        <v>324</v>
      </c>
      <c r="AH435" t="s">
        <v>324</v>
      </c>
      <c r="AI435" t="s">
        <v>324</v>
      </c>
      <c r="AJ435" s="2" t="s">
        <v>324</v>
      </c>
      <c r="AK435" t="s">
        <v>324</v>
      </c>
      <c r="AL435" t="s">
        <v>324</v>
      </c>
      <c r="AM435" s="2" t="s">
        <v>324</v>
      </c>
      <c r="AN435" t="s">
        <v>324</v>
      </c>
      <c r="AO435" s="2" t="s">
        <v>324</v>
      </c>
      <c r="AP435" t="s">
        <v>324</v>
      </c>
      <c r="AQ435" s="2" t="s">
        <v>324</v>
      </c>
      <c r="AR435" t="s">
        <v>324</v>
      </c>
      <c r="AS435" s="2" t="s">
        <v>324</v>
      </c>
      <c r="AT435" t="s">
        <v>324</v>
      </c>
    </row>
    <row r="436" spans="1:46" ht="11.25">
      <c r="A436" t="str">
        <f>HYPERLINK("http://exon.niaid.nih.gov/transcriptome/Tx_amboinensis_sialome/Table_1/links/TX-contig_362.txt","TX-contig_362")</f>
        <v>TX-contig_362</v>
      </c>
      <c r="B436" t="str">
        <f>HYPERLINK("http://exon.niaid.nih.gov/transcriptome/Tx_amboinensis_sialome/Table_1/links/TX-5-90-90-asb-362.txt","Contig-362")</f>
        <v>Contig-362</v>
      </c>
      <c r="C436" t="str">
        <f>HYPERLINK("http://exon.niaid.nih.gov/transcriptome/Tx_amboinensis_sialome/Table_1/links/TX-5-90-90-362-CLU.txt","Contig362")</f>
        <v>Contig362</v>
      </c>
      <c r="D436" s="4">
        <v>1</v>
      </c>
      <c r="E436">
        <v>90</v>
      </c>
      <c r="F436">
        <v>3.3</v>
      </c>
      <c r="G436">
        <v>86.7</v>
      </c>
      <c r="H436">
        <v>15</v>
      </c>
      <c r="I436">
        <v>362</v>
      </c>
      <c r="J436" t="s">
        <v>1216</v>
      </c>
      <c r="K436">
        <v>15</v>
      </c>
      <c r="L436" s="3" t="s">
        <v>1036</v>
      </c>
      <c r="M436" s="4">
        <v>0</v>
      </c>
      <c r="N436" s="4">
        <v>0</v>
      </c>
      <c r="O436" s="4">
        <v>0</v>
      </c>
      <c r="P436" s="4">
        <v>0</v>
      </c>
      <c r="Q436" s="5" t="s">
        <v>1039</v>
      </c>
      <c r="Y436" t="s">
        <v>324</v>
      </c>
      <c r="Z436" s="2" t="s">
        <v>324</v>
      </c>
      <c r="AA436" t="s">
        <v>324</v>
      </c>
      <c r="AB436" t="s">
        <v>324</v>
      </c>
      <c r="AC436" t="s">
        <v>324</v>
      </c>
      <c r="AD436" t="s">
        <v>324</v>
      </c>
      <c r="AE436" t="s">
        <v>324</v>
      </c>
      <c r="AF436" t="s">
        <v>324</v>
      </c>
      <c r="AG436" s="2" t="s">
        <v>324</v>
      </c>
      <c r="AH436" t="s">
        <v>324</v>
      </c>
      <c r="AI436" t="s">
        <v>324</v>
      </c>
      <c r="AJ436" s="2" t="s">
        <v>324</v>
      </c>
      <c r="AK436" t="s">
        <v>324</v>
      </c>
      <c r="AL436" t="s">
        <v>324</v>
      </c>
      <c r="AM436" s="2" t="s">
        <v>324</v>
      </c>
      <c r="AN436" t="s">
        <v>324</v>
      </c>
      <c r="AO436" s="2" t="s">
        <v>324</v>
      </c>
      <c r="AP436" t="s">
        <v>324</v>
      </c>
      <c r="AQ436" s="2" t="s">
        <v>324</v>
      </c>
      <c r="AR436" t="s">
        <v>324</v>
      </c>
      <c r="AS436" s="2" t="s">
        <v>324</v>
      </c>
      <c r="AT436" t="s">
        <v>324</v>
      </c>
    </row>
    <row r="437" spans="1:46" ht="11.25">
      <c r="A437" t="str">
        <f>HYPERLINK("http://exon.niaid.nih.gov/transcriptome/Tx_amboinensis_sialome/Table_1/links/TX-contig_363.txt","TX-contig_363")</f>
        <v>TX-contig_363</v>
      </c>
      <c r="B437" t="str">
        <f>HYPERLINK("http://exon.niaid.nih.gov/transcriptome/Tx_amboinensis_sialome/Table_1/links/TX-5-90-90-asb-363.txt","Contig-363")</f>
        <v>Contig-363</v>
      </c>
      <c r="C437" t="str">
        <f>HYPERLINK("http://exon.niaid.nih.gov/transcriptome/Tx_amboinensis_sialome/Table_1/links/TX-5-90-90-363-CLU.txt","Contig363")</f>
        <v>Contig363</v>
      </c>
      <c r="D437" s="4">
        <v>1</v>
      </c>
      <c r="E437">
        <v>106</v>
      </c>
      <c r="F437">
        <v>0.9</v>
      </c>
      <c r="G437">
        <v>68.9</v>
      </c>
      <c r="H437">
        <v>87</v>
      </c>
      <c r="I437">
        <v>363</v>
      </c>
      <c r="J437" t="s">
        <v>1217</v>
      </c>
      <c r="K437">
        <v>87</v>
      </c>
      <c r="L437" s="3" t="s">
        <v>1036</v>
      </c>
      <c r="M437" s="4">
        <v>0</v>
      </c>
      <c r="N437" s="4">
        <v>0</v>
      </c>
      <c r="O437" s="4">
        <v>0</v>
      </c>
      <c r="P437" s="4">
        <v>0</v>
      </c>
      <c r="Q437" s="5" t="s">
        <v>1039</v>
      </c>
      <c r="Y437" t="s">
        <v>324</v>
      </c>
      <c r="Z437" s="2" t="s">
        <v>324</v>
      </c>
      <c r="AA437" t="s">
        <v>324</v>
      </c>
      <c r="AB437" t="s">
        <v>324</v>
      </c>
      <c r="AC437" t="s">
        <v>324</v>
      </c>
      <c r="AD437" t="s">
        <v>324</v>
      </c>
      <c r="AE437" t="s">
        <v>324</v>
      </c>
      <c r="AF437" t="s">
        <v>324</v>
      </c>
      <c r="AG437" s="2" t="s">
        <v>324</v>
      </c>
      <c r="AH437" t="s">
        <v>324</v>
      </c>
      <c r="AI437" t="s">
        <v>324</v>
      </c>
      <c r="AJ437" s="2" t="s">
        <v>324</v>
      </c>
      <c r="AK437" t="s">
        <v>324</v>
      </c>
      <c r="AL437" t="s">
        <v>324</v>
      </c>
      <c r="AM437" s="2" t="s">
        <v>324</v>
      </c>
      <c r="AN437" t="s">
        <v>324</v>
      </c>
      <c r="AO437" s="2" t="s">
        <v>324</v>
      </c>
      <c r="AP437" t="s">
        <v>324</v>
      </c>
      <c r="AQ437" s="2" t="s">
        <v>324</v>
      </c>
      <c r="AR437" t="s">
        <v>324</v>
      </c>
      <c r="AS437" s="2" t="s">
        <v>324</v>
      </c>
      <c r="AT437" t="s">
        <v>324</v>
      </c>
    </row>
    <row r="438" spans="1:46" ht="11.25">
      <c r="A438" t="str">
        <f>HYPERLINK("http://exon.niaid.nih.gov/transcriptome/Tx_amboinensis_sialome/Table_1/links/TX-contig_364.txt","TX-contig_364")</f>
        <v>TX-contig_364</v>
      </c>
      <c r="B438" t="str">
        <f>HYPERLINK("http://exon.niaid.nih.gov/transcriptome/Tx_amboinensis_sialome/Table_1/links/TX-5-90-90-asb-364.txt","Contig-364")</f>
        <v>Contig-364</v>
      </c>
      <c r="C438" t="str">
        <f>HYPERLINK("http://exon.niaid.nih.gov/transcriptome/Tx_amboinensis_sialome/Table_1/links/TX-5-90-90-364-CLU.txt","Contig364")</f>
        <v>Contig364</v>
      </c>
      <c r="D438" s="4">
        <v>1</v>
      </c>
      <c r="E438">
        <v>114</v>
      </c>
      <c r="F438" t="s">
        <v>322</v>
      </c>
      <c r="G438">
        <v>99.1</v>
      </c>
      <c r="H438">
        <v>4</v>
      </c>
      <c r="I438">
        <v>364</v>
      </c>
      <c r="J438" t="s">
        <v>1218</v>
      </c>
      <c r="K438">
        <v>4</v>
      </c>
      <c r="L438" s="3" t="s">
        <v>1036</v>
      </c>
      <c r="M438" s="4">
        <v>0</v>
      </c>
      <c r="N438" s="4">
        <v>0</v>
      </c>
      <c r="O438" s="4">
        <v>0</v>
      </c>
      <c r="P438" s="4">
        <v>0</v>
      </c>
      <c r="Q438" s="5" t="s">
        <v>1039</v>
      </c>
      <c r="Y438" t="s">
        <v>324</v>
      </c>
      <c r="Z438" s="2" t="s">
        <v>324</v>
      </c>
      <c r="AA438" t="s">
        <v>324</v>
      </c>
      <c r="AB438" t="s">
        <v>324</v>
      </c>
      <c r="AC438" t="s">
        <v>324</v>
      </c>
      <c r="AD438" t="s">
        <v>324</v>
      </c>
      <c r="AE438" t="s">
        <v>324</v>
      </c>
      <c r="AF438" t="s">
        <v>324</v>
      </c>
      <c r="AG438" s="2" t="s">
        <v>324</v>
      </c>
      <c r="AH438" t="s">
        <v>324</v>
      </c>
      <c r="AI438" t="s">
        <v>324</v>
      </c>
      <c r="AJ438" s="2" t="s">
        <v>324</v>
      </c>
      <c r="AK438" t="s">
        <v>324</v>
      </c>
      <c r="AL438" t="s">
        <v>324</v>
      </c>
      <c r="AM438" s="2" t="s">
        <v>324</v>
      </c>
      <c r="AN438" t="s">
        <v>324</v>
      </c>
      <c r="AO438" s="2" t="s">
        <v>324</v>
      </c>
      <c r="AP438" t="s">
        <v>324</v>
      </c>
      <c r="AQ438" s="2" t="s">
        <v>324</v>
      </c>
      <c r="AR438" t="s">
        <v>324</v>
      </c>
      <c r="AS438" s="2" t="s">
        <v>324</v>
      </c>
      <c r="AT438" t="s">
        <v>324</v>
      </c>
    </row>
    <row r="439" spans="1:46" ht="11.25">
      <c r="A439" t="str">
        <f>HYPERLINK("http://exon.niaid.nih.gov/transcriptome/Tx_amboinensis_sialome/Table_1/links/TX-contig_367.txt","TX-contig_367")</f>
        <v>TX-contig_367</v>
      </c>
      <c r="B439" t="str">
        <f>HYPERLINK("http://exon.niaid.nih.gov/transcriptome/Tx_amboinensis_sialome/Table_1/links/TX-5-90-90-asb-367.txt","Contig-367")</f>
        <v>Contig-367</v>
      </c>
      <c r="C439" t="str">
        <f>HYPERLINK("http://exon.niaid.nih.gov/transcriptome/Tx_amboinensis_sialome/Table_1/links/TX-5-90-90-367-CLU.txt","Contig367")</f>
        <v>Contig367</v>
      </c>
      <c r="D439" s="4">
        <v>1</v>
      </c>
      <c r="E439">
        <v>105</v>
      </c>
      <c r="F439">
        <v>3.8</v>
      </c>
      <c r="G439">
        <v>84.8</v>
      </c>
      <c r="H439">
        <v>39</v>
      </c>
      <c r="I439">
        <v>367</v>
      </c>
      <c r="J439" t="s">
        <v>1221</v>
      </c>
      <c r="K439">
        <v>39</v>
      </c>
      <c r="L439" s="3" t="s">
        <v>1036</v>
      </c>
      <c r="M439" s="4">
        <v>0</v>
      </c>
      <c r="N439" s="4">
        <v>0</v>
      </c>
      <c r="O439" s="4">
        <v>0</v>
      </c>
      <c r="P439" s="4">
        <v>0</v>
      </c>
      <c r="Q439" s="5" t="s">
        <v>1039</v>
      </c>
      <c r="Y439" t="s">
        <v>324</v>
      </c>
      <c r="Z439" s="2" t="s">
        <v>324</v>
      </c>
      <c r="AA439" t="s">
        <v>324</v>
      </c>
      <c r="AB439" t="s">
        <v>324</v>
      </c>
      <c r="AC439" t="s">
        <v>324</v>
      </c>
      <c r="AD439" t="s">
        <v>324</v>
      </c>
      <c r="AE439" t="s">
        <v>324</v>
      </c>
      <c r="AF439" t="s">
        <v>324</v>
      </c>
      <c r="AG439" s="2" t="s">
        <v>324</v>
      </c>
      <c r="AH439" t="s">
        <v>324</v>
      </c>
      <c r="AI439" t="s">
        <v>324</v>
      </c>
      <c r="AJ439" s="2" t="s">
        <v>324</v>
      </c>
      <c r="AK439" t="s">
        <v>324</v>
      </c>
      <c r="AL439" t="s">
        <v>324</v>
      </c>
      <c r="AM439" s="2" t="s">
        <v>324</v>
      </c>
      <c r="AN439" t="s">
        <v>324</v>
      </c>
      <c r="AO439" s="2" t="s">
        <v>324</v>
      </c>
      <c r="AP439" t="s">
        <v>324</v>
      </c>
      <c r="AQ439" s="2" t="s">
        <v>324</v>
      </c>
      <c r="AR439" t="s">
        <v>324</v>
      </c>
      <c r="AS439" s="2" t="s">
        <v>324</v>
      </c>
      <c r="AT439" t="s">
        <v>324</v>
      </c>
    </row>
    <row r="440" spans="1:46" ht="11.25">
      <c r="A440" t="str">
        <f>HYPERLINK("http://exon.niaid.nih.gov/transcriptome/Tx_amboinensis_sialome/Table_1/links/TX-contig_368.txt","TX-contig_368")</f>
        <v>TX-contig_368</v>
      </c>
      <c r="B440" t="str">
        <f>HYPERLINK("http://exon.niaid.nih.gov/transcriptome/Tx_amboinensis_sialome/Table_1/links/TX-5-90-90-asb-368.txt","Contig-368")</f>
        <v>Contig-368</v>
      </c>
      <c r="C440" t="str">
        <f>HYPERLINK("http://exon.niaid.nih.gov/transcriptome/Tx_amboinensis_sialome/Table_1/links/TX-5-90-90-368-CLU.txt","Contig368")</f>
        <v>Contig368</v>
      </c>
      <c r="D440" s="4">
        <v>1</v>
      </c>
      <c r="E440">
        <v>124</v>
      </c>
      <c r="F440" t="s">
        <v>322</v>
      </c>
      <c r="G440">
        <v>67.7</v>
      </c>
      <c r="H440">
        <v>105</v>
      </c>
      <c r="I440">
        <v>368</v>
      </c>
      <c r="J440" t="s">
        <v>1222</v>
      </c>
      <c r="K440">
        <v>105</v>
      </c>
      <c r="L440" s="3" t="s">
        <v>1036</v>
      </c>
      <c r="M440" s="4">
        <v>0</v>
      </c>
      <c r="N440" s="4">
        <v>0</v>
      </c>
      <c r="O440" s="4">
        <v>0</v>
      </c>
      <c r="P440" s="4">
        <v>0</v>
      </c>
      <c r="Q440" s="5" t="s">
        <v>1039</v>
      </c>
      <c r="Y440" t="s">
        <v>324</v>
      </c>
      <c r="Z440" s="2" t="s">
        <v>324</v>
      </c>
      <c r="AA440" t="s">
        <v>324</v>
      </c>
      <c r="AB440" t="s">
        <v>324</v>
      </c>
      <c r="AC440" t="s">
        <v>324</v>
      </c>
      <c r="AD440" t="s">
        <v>324</v>
      </c>
      <c r="AE440" t="s">
        <v>324</v>
      </c>
      <c r="AF440" t="s">
        <v>324</v>
      </c>
      <c r="AG440" s="2" t="s">
        <v>324</v>
      </c>
      <c r="AH440" t="s">
        <v>324</v>
      </c>
      <c r="AI440" t="s">
        <v>324</v>
      </c>
      <c r="AJ440" s="2" t="s">
        <v>324</v>
      </c>
      <c r="AK440" t="s">
        <v>324</v>
      </c>
      <c r="AL440" t="s">
        <v>324</v>
      </c>
      <c r="AM440" s="2" t="s">
        <v>324</v>
      </c>
      <c r="AN440" t="s">
        <v>324</v>
      </c>
      <c r="AO440" s="2" t="s">
        <v>324</v>
      </c>
      <c r="AP440" t="s">
        <v>324</v>
      </c>
      <c r="AQ440" s="2" t="s">
        <v>324</v>
      </c>
      <c r="AR440" t="s">
        <v>324</v>
      </c>
      <c r="AS440" s="2" t="s">
        <v>324</v>
      </c>
      <c r="AT440" t="s">
        <v>324</v>
      </c>
    </row>
    <row r="441" spans="1:46" ht="11.25">
      <c r="A441" t="str">
        <f>HYPERLINK("http://exon.niaid.nih.gov/transcriptome/Tx_amboinensis_sialome/Table_1/links/TX-contig_370.txt","TX-contig_370")</f>
        <v>TX-contig_370</v>
      </c>
      <c r="B441" t="str">
        <f>HYPERLINK("http://exon.niaid.nih.gov/transcriptome/Tx_amboinensis_sialome/Table_1/links/TX-5-90-90-asb-370.txt","Contig-370")</f>
        <v>Contig-370</v>
      </c>
      <c r="C441" t="str">
        <f>HYPERLINK("http://exon.niaid.nih.gov/transcriptome/Tx_amboinensis_sialome/Table_1/links/TX-5-90-90-370-CLU.txt","Contig370")</f>
        <v>Contig370</v>
      </c>
      <c r="D441" s="4">
        <v>1</v>
      </c>
      <c r="E441">
        <v>103</v>
      </c>
      <c r="F441" t="s">
        <v>322</v>
      </c>
      <c r="G441">
        <v>66</v>
      </c>
      <c r="H441">
        <v>84</v>
      </c>
      <c r="I441">
        <v>370</v>
      </c>
      <c r="J441" t="s">
        <v>1224</v>
      </c>
      <c r="K441">
        <v>84</v>
      </c>
      <c r="L441" s="3" t="s">
        <v>1036</v>
      </c>
      <c r="M441" s="4">
        <v>0</v>
      </c>
      <c r="N441" s="4">
        <v>0</v>
      </c>
      <c r="O441" s="4">
        <v>0</v>
      </c>
      <c r="P441" s="4">
        <v>0</v>
      </c>
      <c r="Q441" s="5" t="s">
        <v>1039</v>
      </c>
      <c r="Y441" t="s">
        <v>324</v>
      </c>
      <c r="Z441" s="2" t="s">
        <v>324</v>
      </c>
      <c r="AA441" t="s">
        <v>324</v>
      </c>
      <c r="AB441" t="s">
        <v>324</v>
      </c>
      <c r="AC441" t="s">
        <v>324</v>
      </c>
      <c r="AD441" t="s">
        <v>324</v>
      </c>
      <c r="AE441" t="s">
        <v>324</v>
      </c>
      <c r="AF441" t="s">
        <v>324</v>
      </c>
      <c r="AG441" s="2" t="s">
        <v>324</v>
      </c>
      <c r="AH441" t="s">
        <v>324</v>
      </c>
      <c r="AI441" t="s">
        <v>324</v>
      </c>
      <c r="AJ441" s="2" t="s">
        <v>324</v>
      </c>
      <c r="AK441" t="s">
        <v>324</v>
      </c>
      <c r="AL441" t="s">
        <v>324</v>
      </c>
      <c r="AM441" s="2" t="s">
        <v>324</v>
      </c>
      <c r="AN441" t="s">
        <v>324</v>
      </c>
      <c r="AO441" s="2" t="s">
        <v>324</v>
      </c>
      <c r="AP441" t="s">
        <v>324</v>
      </c>
      <c r="AQ441" s="2" t="s">
        <v>324</v>
      </c>
      <c r="AR441" t="s">
        <v>324</v>
      </c>
      <c r="AS441" s="2" t="s">
        <v>324</v>
      </c>
      <c r="AT441" t="s">
        <v>324</v>
      </c>
    </row>
    <row r="442" spans="1:46" ht="11.25">
      <c r="A442" t="str">
        <f>HYPERLINK("http://exon.niaid.nih.gov/transcriptome/Tx_amboinensis_sialome/Table_1/links/TX-contig_372.txt","TX-contig_372")</f>
        <v>TX-contig_372</v>
      </c>
      <c r="B442" t="str">
        <f>HYPERLINK("http://exon.niaid.nih.gov/transcriptome/Tx_amboinensis_sialome/Table_1/links/TX-5-90-90-asb-372.txt","Contig-372")</f>
        <v>Contig-372</v>
      </c>
      <c r="C442" t="str">
        <f>HYPERLINK("http://exon.niaid.nih.gov/transcriptome/Tx_amboinensis_sialome/Table_1/links/TX-5-90-90-372-CLU.txt","Contig372")</f>
        <v>Contig372</v>
      </c>
      <c r="D442" s="4">
        <v>1</v>
      </c>
      <c r="E442">
        <v>135</v>
      </c>
      <c r="F442">
        <v>3.7</v>
      </c>
      <c r="G442">
        <v>80.7</v>
      </c>
      <c r="H442">
        <v>31</v>
      </c>
      <c r="I442">
        <v>372</v>
      </c>
      <c r="J442" t="s">
        <v>1226</v>
      </c>
      <c r="K442">
        <v>31</v>
      </c>
      <c r="L442" s="3" t="s">
        <v>1036</v>
      </c>
      <c r="M442" s="4">
        <v>0</v>
      </c>
      <c r="N442" s="4">
        <v>0</v>
      </c>
      <c r="O442" s="4">
        <v>0</v>
      </c>
      <c r="P442" s="4">
        <v>0</v>
      </c>
      <c r="Q442" s="5" t="s">
        <v>1039</v>
      </c>
      <c r="Y442" t="s">
        <v>324</v>
      </c>
      <c r="Z442" s="2" t="s">
        <v>324</v>
      </c>
      <c r="AA442" t="s">
        <v>324</v>
      </c>
      <c r="AB442" t="s">
        <v>324</v>
      </c>
      <c r="AC442" t="s">
        <v>324</v>
      </c>
      <c r="AD442" t="s">
        <v>324</v>
      </c>
      <c r="AE442" t="s">
        <v>324</v>
      </c>
      <c r="AF442" t="s">
        <v>324</v>
      </c>
      <c r="AG442" s="2" t="s">
        <v>324</v>
      </c>
      <c r="AH442" t="s">
        <v>324</v>
      </c>
      <c r="AI442" t="s">
        <v>324</v>
      </c>
      <c r="AJ442" s="2" t="s">
        <v>324</v>
      </c>
      <c r="AK442" t="s">
        <v>324</v>
      </c>
      <c r="AL442" t="s">
        <v>324</v>
      </c>
      <c r="AM442" s="2" t="s">
        <v>324</v>
      </c>
      <c r="AN442" t="s">
        <v>324</v>
      </c>
      <c r="AO442" s="2" t="s">
        <v>324</v>
      </c>
      <c r="AP442" t="s">
        <v>324</v>
      </c>
      <c r="AQ442" s="2" t="s">
        <v>324</v>
      </c>
      <c r="AR442" t="s">
        <v>324</v>
      </c>
      <c r="AS442" s="2" t="s">
        <v>324</v>
      </c>
      <c r="AT442" t="s">
        <v>324</v>
      </c>
    </row>
    <row r="443" spans="1:46" ht="11.25">
      <c r="A443" t="str">
        <f>HYPERLINK("http://exon.niaid.nih.gov/transcriptome/Tx_amboinensis_sialome/Table_1/links/TX-contig_373.txt","TX-contig_373")</f>
        <v>TX-contig_373</v>
      </c>
      <c r="B443" t="str">
        <f>HYPERLINK("http://exon.niaid.nih.gov/transcriptome/Tx_amboinensis_sialome/Table_1/links/TX-5-90-90-asb-373.txt","Contig-373")</f>
        <v>Contig-373</v>
      </c>
      <c r="C443" t="str">
        <f>HYPERLINK("http://exon.niaid.nih.gov/transcriptome/Tx_amboinensis_sialome/Table_1/links/TX-5-90-90-373-CLU.txt","Contig373")</f>
        <v>Contig373</v>
      </c>
      <c r="D443" s="4">
        <v>1</v>
      </c>
      <c r="E443">
        <v>123</v>
      </c>
      <c r="F443" t="s">
        <v>322</v>
      </c>
      <c r="G443">
        <v>63.4</v>
      </c>
      <c r="H443">
        <v>104</v>
      </c>
      <c r="I443">
        <v>373</v>
      </c>
      <c r="J443" t="s">
        <v>1227</v>
      </c>
      <c r="K443">
        <v>104</v>
      </c>
      <c r="L443" s="3" t="s">
        <v>1036</v>
      </c>
      <c r="M443" s="4">
        <v>0</v>
      </c>
      <c r="N443" s="4">
        <v>0</v>
      </c>
      <c r="O443" s="4">
        <v>0</v>
      </c>
      <c r="P443" s="4">
        <v>0</v>
      </c>
      <c r="Q443" s="5" t="s">
        <v>1039</v>
      </c>
      <c r="Y443" t="s">
        <v>324</v>
      </c>
      <c r="Z443" s="2" t="s">
        <v>324</v>
      </c>
      <c r="AA443" t="s">
        <v>324</v>
      </c>
      <c r="AB443" t="s">
        <v>324</v>
      </c>
      <c r="AC443" t="s">
        <v>324</v>
      </c>
      <c r="AD443" t="s">
        <v>324</v>
      </c>
      <c r="AE443" t="s">
        <v>324</v>
      </c>
      <c r="AF443" t="s">
        <v>324</v>
      </c>
      <c r="AG443" s="2" t="s">
        <v>324</v>
      </c>
      <c r="AH443" t="s">
        <v>324</v>
      </c>
      <c r="AI443" t="s">
        <v>324</v>
      </c>
      <c r="AJ443" s="2" t="s">
        <v>324</v>
      </c>
      <c r="AK443" t="s">
        <v>324</v>
      </c>
      <c r="AL443" t="s">
        <v>324</v>
      </c>
      <c r="AM443" s="2" t="s">
        <v>324</v>
      </c>
      <c r="AN443" t="s">
        <v>324</v>
      </c>
      <c r="AO443" s="2" t="str">
        <f>HYPERLINK("http://exon.niaid.nih.gov/transcriptome/Tx_amboinensis_sialome/Table_1/links/SMART\TX-contig_373-SMART.txt","ZnF_TTF")</f>
        <v>ZnF_TTF</v>
      </c>
      <c r="AP443" t="str">
        <f>HYPERLINK("http://smart.embl-heidelberg.de/smart/do_annotation.pl?DOMAIN=ZnF_TTF&amp;BLAST=DUMMY","0.35")</f>
        <v>0.35</v>
      </c>
      <c r="AQ443" s="2" t="s">
        <v>324</v>
      </c>
      <c r="AR443" t="s">
        <v>324</v>
      </c>
      <c r="AS443" s="2" t="s">
        <v>324</v>
      </c>
      <c r="AT443" t="s">
        <v>324</v>
      </c>
    </row>
    <row r="444" spans="1:46" ht="11.25">
      <c r="A444" t="str">
        <f>HYPERLINK("http://exon.niaid.nih.gov/transcriptome/Tx_amboinensis_sialome/Table_1/links/TX-contig_374.txt","TX-contig_374")</f>
        <v>TX-contig_374</v>
      </c>
      <c r="B444" t="str">
        <f>HYPERLINK("http://exon.niaid.nih.gov/transcriptome/Tx_amboinensis_sialome/Table_1/links/TX-5-90-90-asb-374.txt","Contig-374")</f>
        <v>Contig-374</v>
      </c>
      <c r="C444" t="str">
        <f>HYPERLINK("http://exon.niaid.nih.gov/transcriptome/Tx_amboinensis_sialome/Table_1/links/TX-5-90-90-374-CLU.txt","Contig374")</f>
        <v>Contig374</v>
      </c>
      <c r="D444" s="4">
        <v>1</v>
      </c>
      <c r="E444">
        <v>94</v>
      </c>
      <c r="F444" t="s">
        <v>322</v>
      </c>
      <c r="G444">
        <v>77.7</v>
      </c>
      <c r="H444">
        <v>68</v>
      </c>
      <c r="I444">
        <v>374</v>
      </c>
      <c r="J444" t="s">
        <v>1228</v>
      </c>
      <c r="K444">
        <v>68</v>
      </c>
      <c r="L444" s="3" t="s">
        <v>1036</v>
      </c>
      <c r="M444" s="4">
        <v>0</v>
      </c>
      <c r="N444" s="4">
        <v>0</v>
      </c>
      <c r="O444" s="4">
        <v>0</v>
      </c>
      <c r="P444" s="4">
        <v>0</v>
      </c>
      <c r="Q444" s="5" t="s">
        <v>1039</v>
      </c>
      <c r="Y444" t="s">
        <v>324</v>
      </c>
      <c r="Z444" s="2" t="s">
        <v>324</v>
      </c>
      <c r="AA444" t="s">
        <v>324</v>
      </c>
      <c r="AB444" t="s">
        <v>324</v>
      </c>
      <c r="AC444" t="s">
        <v>324</v>
      </c>
      <c r="AD444" t="s">
        <v>324</v>
      </c>
      <c r="AE444" t="s">
        <v>324</v>
      </c>
      <c r="AF444" t="s">
        <v>324</v>
      </c>
      <c r="AG444" s="2" t="s">
        <v>324</v>
      </c>
      <c r="AH444" t="s">
        <v>324</v>
      </c>
      <c r="AI444" t="s">
        <v>324</v>
      </c>
      <c r="AJ444" s="2" t="s">
        <v>324</v>
      </c>
      <c r="AK444" t="s">
        <v>324</v>
      </c>
      <c r="AL444" t="s">
        <v>324</v>
      </c>
      <c r="AM444" s="2" t="s">
        <v>324</v>
      </c>
      <c r="AN444" t="s">
        <v>324</v>
      </c>
      <c r="AO444" s="2" t="s">
        <v>324</v>
      </c>
      <c r="AP444" t="s">
        <v>324</v>
      </c>
      <c r="AQ444" s="2" t="s">
        <v>324</v>
      </c>
      <c r="AR444" t="s">
        <v>324</v>
      </c>
      <c r="AS444" s="2" t="s">
        <v>324</v>
      </c>
      <c r="AT444" t="s">
        <v>324</v>
      </c>
    </row>
    <row r="445" spans="1:46" ht="11.25">
      <c r="A445" t="str">
        <f>HYPERLINK("http://exon.niaid.nih.gov/transcriptome/Tx_amboinensis_sialome/Table_1/links/TX-contig_377.txt","TX-contig_377")</f>
        <v>TX-contig_377</v>
      </c>
      <c r="B445" t="str">
        <f>HYPERLINK("http://exon.niaid.nih.gov/transcriptome/Tx_amboinensis_sialome/Table_1/links/TX-5-90-90-asb-377.txt","Contig-377")</f>
        <v>Contig-377</v>
      </c>
      <c r="C445" t="str">
        <f>HYPERLINK("http://exon.niaid.nih.gov/transcriptome/Tx_amboinensis_sialome/Table_1/links/TX-5-90-90-377-CLU.txt","Contig377")</f>
        <v>Contig377</v>
      </c>
      <c r="D445" s="4">
        <v>1</v>
      </c>
      <c r="E445">
        <v>112</v>
      </c>
      <c r="F445">
        <v>4.5</v>
      </c>
      <c r="G445">
        <v>80.4</v>
      </c>
      <c r="H445">
        <v>25</v>
      </c>
      <c r="I445">
        <v>377</v>
      </c>
      <c r="J445" t="s">
        <v>1231</v>
      </c>
      <c r="K445">
        <v>25</v>
      </c>
      <c r="L445" s="3" t="s">
        <v>1036</v>
      </c>
      <c r="M445" s="4">
        <v>0</v>
      </c>
      <c r="N445" s="4">
        <v>0</v>
      </c>
      <c r="O445" s="4">
        <v>0</v>
      </c>
      <c r="P445" s="4">
        <v>0</v>
      </c>
      <c r="Q445" s="5" t="s">
        <v>1039</v>
      </c>
      <c r="Y445" t="s">
        <v>324</v>
      </c>
      <c r="Z445" s="2" t="s">
        <v>324</v>
      </c>
      <c r="AA445" t="s">
        <v>324</v>
      </c>
      <c r="AB445" t="s">
        <v>324</v>
      </c>
      <c r="AC445" t="s">
        <v>324</v>
      </c>
      <c r="AD445" t="s">
        <v>324</v>
      </c>
      <c r="AE445" t="s">
        <v>324</v>
      </c>
      <c r="AF445" t="s">
        <v>324</v>
      </c>
      <c r="AG445" s="2" t="s">
        <v>324</v>
      </c>
      <c r="AH445" t="s">
        <v>324</v>
      </c>
      <c r="AI445" t="s">
        <v>324</v>
      </c>
      <c r="AJ445" s="2" t="s">
        <v>324</v>
      </c>
      <c r="AK445" t="s">
        <v>324</v>
      </c>
      <c r="AL445" t="s">
        <v>324</v>
      </c>
      <c r="AM445" s="2" t="s">
        <v>324</v>
      </c>
      <c r="AN445" t="s">
        <v>324</v>
      </c>
      <c r="AO445" s="2" t="s">
        <v>324</v>
      </c>
      <c r="AP445" t="s">
        <v>324</v>
      </c>
      <c r="AQ445" s="2" t="s">
        <v>324</v>
      </c>
      <c r="AR445" t="s">
        <v>324</v>
      </c>
      <c r="AS445" s="2" t="s">
        <v>324</v>
      </c>
      <c r="AT445" t="s">
        <v>324</v>
      </c>
    </row>
    <row r="446" spans="1:46" ht="11.25">
      <c r="A446" t="str">
        <f>HYPERLINK("http://exon.niaid.nih.gov/transcriptome/Tx_amboinensis_sialome/Table_1/links/TX-contig_380.txt","TX-contig_380")</f>
        <v>TX-contig_380</v>
      </c>
      <c r="B446" t="str">
        <f>HYPERLINK("http://exon.niaid.nih.gov/transcriptome/Tx_amboinensis_sialome/Table_1/links/TX-5-90-90-asb-380.txt","Contig-380")</f>
        <v>Contig-380</v>
      </c>
      <c r="C446" t="str">
        <f>HYPERLINK("http://exon.niaid.nih.gov/transcriptome/Tx_amboinensis_sialome/Table_1/links/TX-5-90-90-380-CLU.txt","Contig380")</f>
        <v>Contig380</v>
      </c>
      <c r="D446" s="4">
        <v>1</v>
      </c>
      <c r="E446">
        <v>104</v>
      </c>
      <c r="F446">
        <v>1</v>
      </c>
      <c r="G446">
        <v>93.3</v>
      </c>
      <c r="H446">
        <v>25</v>
      </c>
      <c r="I446">
        <v>380</v>
      </c>
      <c r="J446" t="s">
        <v>1234</v>
      </c>
      <c r="K446">
        <v>25</v>
      </c>
      <c r="L446" s="3" t="s">
        <v>1036</v>
      </c>
      <c r="M446" s="4">
        <v>0</v>
      </c>
      <c r="N446" s="4">
        <v>0</v>
      </c>
      <c r="O446" s="4">
        <v>0</v>
      </c>
      <c r="P446" s="4">
        <v>0</v>
      </c>
      <c r="Q446" s="5" t="s">
        <v>1039</v>
      </c>
      <c r="Y446" t="s">
        <v>324</v>
      </c>
      <c r="Z446" s="2" t="s">
        <v>324</v>
      </c>
      <c r="AA446" t="s">
        <v>324</v>
      </c>
      <c r="AB446" t="s">
        <v>324</v>
      </c>
      <c r="AC446" t="s">
        <v>324</v>
      </c>
      <c r="AD446" t="s">
        <v>324</v>
      </c>
      <c r="AE446" t="s">
        <v>324</v>
      </c>
      <c r="AF446" t="s">
        <v>324</v>
      </c>
      <c r="AG446" s="2" t="s">
        <v>324</v>
      </c>
      <c r="AH446" t="s">
        <v>324</v>
      </c>
      <c r="AI446" t="s">
        <v>324</v>
      </c>
      <c r="AJ446" s="2" t="s">
        <v>324</v>
      </c>
      <c r="AK446" t="s">
        <v>324</v>
      </c>
      <c r="AL446" t="s">
        <v>324</v>
      </c>
      <c r="AM446" s="2" t="s">
        <v>324</v>
      </c>
      <c r="AN446" t="s">
        <v>324</v>
      </c>
      <c r="AO446" s="2" t="s">
        <v>324</v>
      </c>
      <c r="AP446" t="s">
        <v>324</v>
      </c>
      <c r="AQ446" s="2" t="s">
        <v>324</v>
      </c>
      <c r="AR446" t="s">
        <v>324</v>
      </c>
      <c r="AS446" s="2" t="s">
        <v>324</v>
      </c>
      <c r="AT446" t="s">
        <v>324</v>
      </c>
    </row>
    <row r="447" spans="1:46" ht="11.25">
      <c r="A447" t="str">
        <f>HYPERLINK("http://exon.niaid.nih.gov/transcriptome/Tx_amboinensis_sialome/Table_1/links/TX-contig_381.txt","TX-contig_381")</f>
        <v>TX-contig_381</v>
      </c>
      <c r="B447" t="str">
        <f>HYPERLINK("http://exon.niaid.nih.gov/transcriptome/Tx_amboinensis_sialome/Table_1/links/TX-5-90-90-asb-381.txt","Contig-381")</f>
        <v>Contig-381</v>
      </c>
      <c r="C447" t="str">
        <f>HYPERLINK("http://exon.niaid.nih.gov/transcriptome/Tx_amboinensis_sialome/Table_1/links/TX-5-90-90-381-CLU.txt","Contig381")</f>
        <v>Contig381</v>
      </c>
      <c r="D447" s="4">
        <v>1</v>
      </c>
      <c r="E447">
        <v>90</v>
      </c>
      <c r="F447">
        <v>1.1</v>
      </c>
      <c r="G447">
        <v>97.8</v>
      </c>
      <c r="H447">
        <v>6</v>
      </c>
      <c r="I447">
        <v>381</v>
      </c>
      <c r="J447" t="s">
        <v>1235</v>
      </c>
      <c r="K447">
        <v>6</v>
      </c>
      <c r="L447" s="3" t="s">
        <v>1036</v>
      </c>
      <c r="M447" s="4">
        <v>0</v>
      </c>
      <c r="N447" s="4">
        <v>0</v>
      </c>
      <c r="O447" s="4">
        <v>0</v>
      </c>
      <c r="P447" s="4">
        <v>0</v>
      </c>
      <c r="Q447" s="5" t="s">
        <v>1039</v>
      </c>
      <c r="Y447" t="s">
        <v>324</v>
      </c>
      <c r="Z447" s="2" t="s">
        <v>324</v>
      </c>
      <c r="AA447" t="s">
        <v>324</v>
      </c>
      <c r="AB447" t="s">
        <v>324</v>
      </c>
      <c r="AC447" t="s">
        <v>324</v>
      </c>
      <c r="AD447" t="s">
        <v>324</v>
      </c>
      <c r="AE447" t="s">
        <v>324</v>
      </c>
      <c r="AF447" t="s">
        <v>324</v>
      </c>
      <c r="AG447" s="2" t="s">
        <v>324</v>
      </c>
      <c r="AH447" t="s">
        <v>324</v>
      </c>
      <c r="AI447" t="s">
        <v>324</v>
      </c>
      <c r="AJ447" s="2" t="s">
        <v>324</v>
      </c>
      <c r="AK447" t="s">
        <v>324</v>
      </c>
      <c r="AL447" t="s">
        <v>324</v>
      </c>
      <c r="AM447" s="2" t="s">
        <v>324</v>
      </c>
      <c r="AN447" t="s">
        <v>324</v>
      </c>
      <c r="AO447" s="2" t="s">
        <v>324</v>
      </c>
      <c r="AP447" t="s">
        <v>324</v>
      </c>
      <c r="AQ447" s="2" t="s">
        <v>324</v>
      </c>
      <c r="AR447" t="s">
        <v>324</v>
      </c>
      <c r="AS447" s="2" t="s">
        <v>324</v>
      </c>
      <c r="AT447" t="s">
        <v>324</v>
      </c>
    </row>
    <row r="448" spans="1:46" ht="11.25">
      <c r="A448" t="str">
        <f>HYPERLINK("http://exon.niaid.nih.gov/transcriptome/Tx_amboinensis_sialome/Table_1/links/TX-contig_383.txt","TX-contig_383")</f>
        <v>TX-contig_383</v>
      </c>
      <c r="B448" t="str">
        <f>HYPERLINK("http://exon.niaid.nih.gov/transcriptome/Tx_amboinensis_sialome/Table_1/links/TX-5-90-90-asb-383.txt","Contig-383")</f>
        <v>Contig-383</v>
      </c>
      <c r="C448" t="str">
        <f>HYPERLINK("http://exon.niaid.nih.gov/transcriptome/Tx_amboinensis_sialome/Table_1/links/TX-5-90-90-383-CLU.txt","Contig383")</f>
        <v>Contig383</v>
      </c>
      <c r="D448" s="4">
        <v>1</v>
      </c>
      <c r="E448">
        <v>131</v>
      </c>
      <c r="F448">
        <v>4.6</v>
      </c>
      <c r="G448">
        <v>77.1</v>
      </c>
      <c r="H448">
        <v>96</v>
      </c>
      <c r="I448">
        <v>383</v>
      </c>
      <c r="J448" t="s">
        <v>1237</v>
      </c>
      <c r="K448">
        <v>96</v>
      </c>
      <c r="L448" s="3" t="s">
        <v>1036</v>
      </c>
      <c r="M448" s="4">
        <v>0</v>
      </c>
      <c r="N448" s="4">
        <v>0</v>
      </c>
      <c r="O448" s="4">
        <v>0</v>
      </c>
      <c r="P448" s="4">
        <v>0</v>
      </c>
      <c r="Q448" s="5" t="s">
        <v>1039</v>
      </c>
      <c r="Y448" t="s">
        <v>324</v>
      </c>
      <c r="Z448" s="2" t="s">
        <v>324</v>
      </c>
      <c r="AA448" t="s">
        <v>324</v>
      </c>
      <c r="AB448" t="s">
        <v>324</v>
      </c>
      <c r="AC448" t="s">
        <v>324</v>
      </c>
      <c r="AD448" t="s">
        <v>324</v>
      </c>
      <c r="AE448" t="s">
        <v>324</v>
      </c>
      <c r="AF448" t="s">
        <v>324</v>
      </c>
      <c r="AG448" s="2" t="s">
        <v>324</v>
      </c>
      <c r="AH448" t="s">
        <v>324</v>
      </c>
      <c r="AI448" t="s">
        <v>324</v>
      </c>
      <c r="AJ448" s="2" t="s">
        <v>324</v>
      </c>
      <c r="AK448" t="s">
        <v>324</v>
      </c>
      <c r="AL448" t="s">
        <v>324</v>
      </c>
      <c r="AM448" s="2" t="s">
        <v>324</v>
      </c>
      <c r="AN448" t="s">
        <v>324</v>
      </c>
      <c r="AO448" s="2" t="s">
        <v>324</v>
      </c>
      <c r="AP448" t="s">
        <v>324</v>
      </c>
      <c r="AQ448" s="2" t="s">
        <v>324</v>
      </c>
      <c r="AR448" t="s">
        <v>324</v>
      </c>
      <c r="AS448" s="2" t="s">
        <v>324</v>
      </c>
      <c r="AT448" t="s">
        <v>324</v>
      </c>
    </row>
    <row r="449" spans="1:46" ht="11.25">
      <c r="A449" t="str">
        <f>HYPERLINK("http://exon.niaid.nih.gov/transcriptome/Tx_amboinensis_sialome/Table_1/links/TX-contig_385.txt","TX-contig_385")</f>
        <v>TX-contig_385</v>
      </c>
      <c r="B449" t="str">
        <f>HYPERLINK("http://exon.niaid.nih.gov/transcriptome/Tx_amboinensis_sialome/Table_1/links/TX-5-90-90-asb-385.txt","Contig-385")</f>
        <v>Contig-385</v>
      </c>
      <c r="C449" t="str">
        <f>HYPERLINK("http://exon.niaid.nih.gov/transcriptome/Tx_amboinensis_sialome/Table_1/links/TX-5-90-90-385-CLU.txt","Contig385")</f>
        <v>Contig385</v>
      </c>
      <c r="D449" s="4">
        <v>1</v>
      </c>
      <c r="E449">
        <v>160</v>
      </c>
      <c r="F449" t="s">
        <v>322</v>
      </c>
      <c r="G449">
        <v>67.5</v>
      </c>
      <c r="H449">
        <v>105</v>
      </c>
      <c r="I449">
        <v>385</v>
      </c>
      <c r="J449" t="s">
        <v>1239</v>
      </c>
      <c r="K449">
        <v>105</v>
      </c>
      <c r="L449" s="3" t="s">
        <v>1036</v>
      </c>
      <c r="M449" s="4">
        <v>0</v>
      </c>
      <c r="N449" s="4">
        <v>0</v>
      </c>
      <c r="O449" s="4">
        <v>0</v>
      </c>
      <c r="P449" s="4">
        <v>0</v>
      </c>
      <c r="Q449" s="5" t="s">
        <v>1039</v>
      </c>
      <c r="Y449" t="s">
        <v>324</v>
      </c>
      <c r="Z449" s="2" t="s">
        <v>324</v>
      </c>
      <c r="AA449" t="s">
        <v>324</v>
      </c>
      <c r="AB449" t="s">
        <v>324</v>
      </c>
      <c r="AC449" t="s">
        <v>324</v>
      </c>
      <c r="AD449" t="s">
        <v>324</v>
      </c>
      <c r="AE449" t="s">
        <v>324</v>
      </c>
      <c r="AF449" t="s">
        <v>324</v>
      </c>
      <c r="AG449" s="2" t="s">
        <v>324</v>
      </c>
      <c r="AH449" t="s">
        <v>324</v>
      </c>
      <c r="AI449" t="s">
        <v>324</v>
      </c>
      <c r="AJ449" s="2" t="s">
        <v>324</v>
      </c>
      <c r="AK449" t="s">
        <v>324</v>
      </c>
      <c r="AL449" t="s">
        <v>324</v>
      </c>
      <c r="AM449" s="2" t="s">
        <v>324</v>
      </c>
      <c r="AN449" t="s">
        <v>324</v>
      </c>
      <c r="AO449" s="2" t="s">
        <v>324</v>
      </c>
      <c r="AP449" t="s">
        <v>324</v>
      </c>
      <c r="AQ449" s="2" t="s">
        <v>324</v>
      </c>
      <c r="AR449" t="s">
        <v>324</v>
      </c>
      <c r="AS449" s="2" t="s">
        <v>324</v>
      </c>
      <c r="AT449" t="s">
        <v>324</v>
      </c>
    </row>
    <row r="450" spans="1:46" ht="11.25">
      <c r="A450" t="str">
        <f>HYPERLINK("http://exon.niaid.nih.gov/transcriptome/Tx_amboinensis_sialome/Table_1/links/TX-contig_386.txt","TX-contig_386")</f>
        <v>TX-contig_386</v>
      </c>
      <c r="B450" t="str">
        <f>HYPERLINK("http://exon.niaid.nih.gov/transcriptome/Tx_amboinensis_sialome/Table_1/links/TX-5-90-90-asb-386.txt","Contig-386")</f>
        <v>Contig-386</v>
      </c>
      <c r="C450" t="str">
        <f>HYPERLINK("http://exon.niaid.nih.gov/transcriptome/Tx_amboinensis_sialome/Table_1/links/TX-5-90-90-386-CLU.txt","Contig386")</f>
        <v>Contig386</v>
      </c>
      <c r="D450" s="4">
        <v>1</v>
      </c>
      <c r="E450">
        <v>145</v>
      </c>
      <c r="F450" t="s">
        <v>322</v>
      </c>
      <c r="G450">
        <v>97.2</v>
      </c>
      <c r="H450">
        <v>16</v>
      </c>
      <c r="I450">
        <v>386</v>
      </c>
      <c r="J450" t="s">
        <v>1240</v>
      </c>
      <c r="K450">
        <v>16</v>
      </c>
      <c r="L450" s="3" t="s">
        <v>1036</v>
      </c>
      <c r="M450" s="4">
        <v>0</v>
      </c>
      <c r="N450" s="4">
        <v>0</v>
      </c>
      <c r="O450" s="4">
        <v>0</v>
      </c>
      <c r="P450" s="4">
        <v>0</v>
      </c>
      <c r="Q450" s="5" t="s">
        <v>1039</v>
      </c>
      <c r="Y450" t="s">
        <v>324</v>
      </c>
      <c r="Z450" s="2" t="s">
        <v>324</v>
      </c>
      <c r="AA450" t="s">
        <v>324</v>
      </c>
      <c r="AB450" t="s">
        <v>324</v>
      </c>
      <c r="AC450" t="s">
        <v>324</v>
      </c>
      <c r="AD450" t="s">
        <v>324</v>
      </c>
      <c r="AE450" t="s">
        <v>324</v>
      </c>
      <c r="AF450" t="s">
        <v>324</v>
      </c>
      <c r="AG450" s="2" t="s">
        <v>324</v>
      </c>
      <c r="AH450" t="s">
        <v>324</v>
      </c>
      <c r="AI450" t="s">
        <v>324</v>
      </c>
      <c r="AJ450" s="2" t="s">
        <v>324</v>
      </c>
      <c r="AK450" t="s">
        <v>324</v>
      </c>
      <c r="AL450" t="s">
        <v>324</v>
      </c>
      <c r="AM450" s="2" t="s">
        <v>324</v>
      </c>
      <c r="AN450" t="s">
        <v>324</v>
      </c>
      <c r="AO450" s="2" t="s">
        <v>324</v>
      </c>
      <c r="AP450" t="s">
        <v>324</v>
      </c>
      <c r="AQ450" s="2" t="s">
        <v>324</v>
      </c>
      <c r="AR450" t="s">
        <v>324</v>
      </c>
      <c r="AS450" s="2" t="s">
        <v>324</v>
      </c>
      <c r="AT450" t="s">
        <v>324</v>
      </c>
    </row>
    <row r="451" spans="1:46" ht="11.25">
      <c r="A451" t="str">
        <f>HYPERLINK("http://exon.niaid.nih.gov/transcriptome/Tx_amboinensis_sialome/Table_1/links/TX-contig_387.txt","TX-contig_387")</f>
        <v>TX-contig_387</v>
      </c>
      <c r="B451" t="str">
        <f>HYPERLINK("http://exon.niaid.nih.gov/transcriptome/Tx_amboinensis_sialome/Table_1/links/TX-5-90-90-asb-387.txt","Contig-387")</f>
        <v>Contig-387</v>
      </c>
      <c r="C451" t="str">
        <f>HYPERLINK("http://exon.niaid.nih.gov/transcriptome/Tx_amboinensis_sialome/Table_1/links/TX-5-90-90-387-CLU.txt","Contig387")</f>
        <v>Contig387</v>
      </c>
      <c r="D451" s="4">
        <v>1</v>
      </c>
      <c r="E451">
        <v>96</v>
      </c>
      <c r="F451">
        <v>2.1</v>
      </c>
      <c r="G451">
        <v>93.8</v>
      </c>
      <c r="H451">
        <v>7</v>
      </c>
      <c r="I451">
        <v>387</v>
      </c>
      <c r="J451" t="s">
        <v>1241</v>
      </c>
      <c r="K451">
        <v>7</v>
      </c>
      <c r="L451" s="3" t="s">
        <v>1036</v>
      </c>
      <c r="M451" s="4">
        <v>0</v>
      </c>
      <c r="N451" s="4">
        <v>0</v>
      </c>
      <c r="O451" s="4">
        <v>0</v>
      </c>
      <c r="P451" s="4">
        <v>0</v>
      </c>
      <c r="Q451" s="5" t="s">
        <v>1039</v>
      </c>
      <c r="Y451" t="s">
        <v>324</v>
      </c>
      <c r="Z451" s="2" t="s">
        <v>324</v>
      </c>
      <c r="AA451" t="s">
        <v>324</v>
      </c>
      <c r="AB451" t="s">
        <v>324</v>
      </c>
      <c r="AC451" t="s">
        <v>324</v>
      </c>
      <c r="AD451" t="s">
        <v>324</v>
      </c>
      <c r="AE451" t="s">
        <v>324</v>
      </c>
      <c r="AF451" t="s">
        <v>324</v>
      </c>
      <c r="AG451" s="2" t="s">
        <v>324</v>
      </c>
      <c r="AH451" t="s">
        <v>324</v>
      </c>
      <c r="AI451" t="s">
        <v>324</v>
      </c>
      <c r="AJ451" s="2" t="s">
        <v>324</v>
      </c>
      <c r="AK451" t="s">
        <v>324</v>
      </c>
      <c r="AL451" t="s">
        <v>324</v>
      </c>
      <c r="AM451" s="2" t="s">
        <v>324</v>
      </c>
      <c r="AN451" t="s">
        <v>324</v>
      </c>
      <c r="AO451" s="2" t="s">
        <v>324</v>
      </c>
      <c r="AP451" t="s">
        <v>324</v>
      </c>
      <c r="AQ451" s="2" t="s">
        <v>324</v>
      </c>
      <c r="AR451" t="s">
        <v>324</v>
      </c>
      <c r="AS451" s="2" t="s">
        <v>324</v>
      </c>
      <c r="AT451" t="s">
        <v>324</v>
      </c>
    </row>
    <row r="452" spans="1:46" ht="11.25">
      <c r="A452" t="str">
        <f>HYPERLINK("http://exon.niaid.nih.gov/transcriptome/Tx_amboinensis_sialome/Table_1/links/TX-contig_388.txt","TX-contig_388")</f>
        <v>TX-contig_388</v>
      </c>
      <c r="B452" t="str">
        <f>HYPERLINK("http://exon.niaid.nih.gov/transcriptome/Tx_amboinensis_sialome/Table_1/links/TX-5-90-90-asb-388.txt","Contig-388")</f>
        <v>Contig-388</v>
      </c>
      <c r="C452" t="str">
        <f>HYPERLINK("http://exon.niaid.nih.gov/transcriptome/Tx_amboinensis_sialome/Table_1/links/TX-5-90-90-388-CLU.txt","Contig388")</f>
        <v>Contig388</v>
      </c>
      <c r="D452" s="4">
        <v>1</v>
      </c>
      <c r="E452">
        <v>99</v>
      </c>
      <c r="F452">
        <v>2</v>
      </c>
      <c r="G452">
        <v>87.9</v>
      </c>
      <c r="H452">
        <v>29</v>
      </c>
      <c r="I452">
        <v>388</v>
      </c>
      <c r="J452" t="s">
        <v>1242</v>
      </c>
      <c r="K452">
        <v>29</v>
      </c>
      <c r="L452" s="3" t="s">
        <v>1036</v>
      </c>
      <c r="M452" s="4">
        <v>0</v>
      </c>
      <c r="N452" s="4">
        <v>0</v>
      </c>
      <c r="O452" s="4">
        <v>0</v>
      </c>
      <c r="P452" s="4">
        <v>0</v>
      </c>
      <c r="Q452" s="5" t="s">
        <v>1039</v>
      </c>
      <c r="Y452" t="s">
        <v>324</v>
      </c>
      <c r="Z452" s="2" t="s">
        <v>324</v>
      </c>
      <c r="AA452" t="s">
        <v>324</v>
      </c>
      <c r="AB452" t="s">
        <v>324</v>
      </c>
      <c r="AC452" t="s">
        <v>324</v>
      </c>
      <c r="AD452" t="s">
        <v>324</v>
      </c>
      <c r="AE452" t="s">
        <v>324</v>
      </c>
      <c r="AF452" t="s">
        <v>324</v>
      </c>
      <c r="AG452" s="2" t="s">
        <v>324</v>
      </c>
      <c r="AH452" t="s">
        <v>324</v>
      </c>
      <c r="AI452" t="s">
        <v>324</v>
      </c>
      <c r="AJ452" s="2" t="s">
        <v>324</v>
      </c>
      <c r="AK452" t="s">
        <v>324</v>
      </c>
      <c r="AL452" t="s">
        <v>324</v>
      </c>
      <c r="AM452" s="2" t="s">
        <v>324</v>
      </c>
      <c r="AN452" t="s">
        <v>324</v>
      </c>
      <c r="AO452" s="2" t="s">
        <v>324</v>
      </c>
      <c r="AP452" t="s">
        <v>324</v>
      </c>
      <c r="AQ452" s="2" t="s">
        <v>324</v>
      </c>
      <c r="AR452" t="s">
        <v>324</v>
      </c>
      <c r="AS452" s="2" t="s">
        <v>324</v>
      </c>
      <c r="AT452" t="s">
        <v>324</v>
      </c>
    </row>
    <row r="453" spans="1:46" ht="11.25">
      <c r="A453" t="str">
        <f>HYPERLINK("http://exon.niaid.nih.gov/transcriptome/Tx_amboinensis_sialome/Table_1/links/TX-contig_389.txt","TX-contig_389")</f>
        <v>TX-contig_389</v>
      </c>
      <c r="B453" t="str">
        <f>HYPERLINK("http://exon.niaid.nih.gov/transcriptome/Tx_amboinensis_sialome/Table_1/links/TX-5-90-90-asb-389.txt","Contig-389")</f>
        <v>Contig-389</v>
      </c>
      <c r="C453" t="str">
        <f>HYPERLINK("http://exon.niaid.nih.gov/transcriptome/Tx_amboinensis_sialome/Table_1/links/TX-5-90-90-389-CLU.txt","Contig389")</f>
        <v>Contig389</v>
      </c>
      <c r="D453" s="4">
        <v>1</v>
      </c>
      <c r="E453">
        <v>96</v>
      </c>
      <c r="F453" t="s">
        <v>322</v>
      </c>
      <c r="G453">
        <v>76</v>
      </c>
      <c r="H453">
        <v>69</v>
      </c>
      <c r="I453">
        <v>389</v>
      </c>
      <c r="J453" t="s">
        <v>1243</v>
      </c>
      <c r="K453">
        <v>69</v>
      </c>
      <c r="L453" s="3" t="s">
        <v>1036</v>
      </c>
      <c r="M453" s="4">
        <v>0</v>
      </c>
      <c r="N453" s="4">
        <v>0</v>
      </c>
      <c r="O453" s="4">
        <v>0</v>
      </c>
      <c r="P453" s="4">
        <v>0</v>
      </c>
      <c r="Q453" s="5" t="s">
        <v>1039</v>
      </c>
      <c r="Y453" t="s">
        <v>324</v>
      </c>
      <c r="Z453" s="2" t="s">
        <v>324</v>
      </c>
      <c r="AA453" t="s">
        <v>324</v>
      </c>
      <c r="AB453" t="s">
        <v>324</v>
      </c>
      <c r="AC453" t="s">
        <v>324</v>
      </c>
      <c r="AD453" t="s">
        <v>324</v>
      </c>
      <c r="AE453" t="s">
        <v>324</v>
      </c>
      <c r="AF453" t="s">
        <v>324</v>
      </c>
      <c r="AG453" s="2" t="s">
        <v>324</v>
      </c>
      <c r="AH453" t="s">
        <v>324</v>
      </c>
      <c r="AI453" t="s">
        <v>324</v>
      </c>
      <c r="AJ453" s="2" t="s">
        <v>324</v>
      </c>
      <c r="AK453" t="s">
        <v>324</v>
      </c>
      <c r="AL453" t="s">
        <v>324</v>
      </c>
      <c r="AM453" s="2" t="s">
        <v>324</v>
      </c>
      <c r="AN453" t="s">
        <v>324</v>
      </c>
      <c r="AO453" s="2" t="str">
        <f>HYPERLINK("http://exon.niaid.nih.gov/transcriptome/Tx_amboinensis_sialome/Table_1/links/SMART\TX-contig_389-SMART.txt","TLC")</f>
        <v>TLC</v>
      </c>
      <c r="AP453" t="str">
        <f>HYPERLINK("http://smart.embl-heidelberg.de/smart/do_annotation.pl?DOMAIN=TLC&amp;BLAST=DUMMY","0.42")</f>
        <v>0.42</v>
      </c>
      <c r="AQ453" s="2" t="s">
        <v>324</v>
      </c>
      <c r="AR453" t="s">
        <v>324</v>
      </c>
      <c r="AS453" s="2" t="s">
        <v>324</v>
      </c>
      <c r="AT453" t="s">
        <v>324</v>
      </c>
    </row>
    <row r="454" spans="1:46" ht="11.25">
      <c r="A454" t="str">
        <f>HYPERLINK("http://exon.niaid.nih.gov/transcriptome/Tx_amboinensis_sialome/Table_1/links/TX-contig_390.txt","TX-contig_390")</f>
        <v>TX-contig_390</v>
      </c>
      <c r="B454" t="str">
        <f>HYPERLINK("http://exon.niaid.nih.gov/transcriptome/Tx_amboinensis_sialome/Table_1/links/TX-5-90-90-asb-390.txt","Contig-390")</f>
        <v>Contig-390</v>
      </c>
      <c r="C454" t="str">
        <f>HYPERLINK("http://exon.niaid.nih.gov/transcriptome/Tx_amboinensis_sialome/Table_1/links/TX-5-90-90-390-CLU.txt","Contig390")</f>
        <v>Contig390</v>
      </c>
      <c r="D454" s="4">
        <v>1</v>
      </c>
      <c r="E454">
        <v>133</v>
      </c>
      <c r="F454" t="s">
        <v>322</v>
      </c>
      <c r="G454">
        <v>59.4</v>
      </c>
      <c r="H454">
        <v>114</v>
      </c>
      <c r="I454">
        <v>390</v>
      </c>
      <c r="J454" t="s">
        <v>1244</v>
      </c>
      <c r="K454">
        <v>114</v>
      </c>
      <c r="L454" s="3" t="s">
        <v>1036</v>
      </c>
      <c r="M454" s="4">
        <v>0</v>
      </c>
      <c r="N454" s="4">
        <v>0</v>
      </c>
      <c r="O454" s="4">
        <v>0</v>
      </c>
      <c r="P454" s="4">
        <v>0</v>
      </c>
      <c r="Q454" s="5" t="s">
        <v>1039</v>
      </c>
      <c r="Y454" t="s">
        <v>324</v>
      </c>
      <c r="Z454" s="2" t="s">
        <v>324</v>
      </c>
      <c r="AA454" t="s">
        <v>324</v>
      </c>
      <c r="AB454" t="s">
        <v>324</v>
      </c>
      <c r="AC454" t="s">
        <v>324</v>
      </c>
      <c r="AD454" t="s">
        <v>324</v>
      </c>
      <c r="AE454" t="s">
        <v>324</v>
      </c>
      <c r="AF454" t="s">
        <v>324</v>
      </c>
      <c r="AG454" s="2" t="s">
        <v>324</v>
      </c>
      <c r="AH454" t="s">
        <v>324</v>
      </c>
      <c r="AI454" t="s">
        <v>324</v>
      </c>
      <c r="AJ454" s="2" t="s">
        <v>324</v>
      </c>
      <c r="AK454" t="s">
        <v>324</v>
      </c>
      <c r="AL454" t="s">
        <v>324</v>
      </c>
      <c r="AM454" s="2" t="str">
        <f>HYPERLINK("http://exon.niaid.nih.gov/transcriptome/Tx_amboinensis_sialome/Table_1/links/PFAM\TX-contig_390-PFAM.txt","Autophagy_C")</f>
        <v>Autophagy_C</v>
      </c>
      <c r="AN454" t="str">
        <f>HYPERLINK("http://pfam.wustl.edu/cgi-bin/getdesc?acc=PF03987","0.73")</f>
        <v>0.73</v>
      </c>
      <c r="AO454" s="2" t="s">
        <v>324</v>
      </c>
      <c r="AP454" t="s">
        <v>324</v>
      </c>
      <c r="AQ454" s="2" t="s">
        <v>324</v>
      </c>
      <c r="AR454" t="s">
        <v>324</v>
      </c>
      <c r="AS454" s="2" t="s">
        <v>324</v>
      </c>
      <c r="AT454" t="s">
        <v>324</v>
      </c>
    </row>
    <row r="455" spans="1:46" ht="11.25">
      <c r="A455" t="str">
        <f>HYPERLINK("http://exon.niaid.nih.gov/transcriptome/Tx_amboinensis_sialome/Table_1/links/TX-contig_392.txt","TX-contig_392")</f>
        <v>TX-contig_392</v>
      </c>
      <c r="B455" t="str">
        <f>HYPERLINK("http://exon.niaid.nih.gov/transcriptome/Tx_amboinensis_sialome/Table_1/links/TX-5-90-90-asb-392.txt","Contig-392")</f>
        <v>Contig-392</v>
      </c>
      <c r="C455" t="str">
        <f>HYPERLINK("http://exon.niaid.nih.gov/transcriptome/Tx_amboinensis_sialome/Table_1/links/TX-5-90-90-392-CLU.txt","Contig392")</f>
        <v>Contig392</v>
      </c>
      <c r="D455" s="4">
        <v>1</v>
      </c>
      <c r="E455">
        <v>143</v>
      </c>
      <c r="F455">
        <v>2.8</v>
      </c>
      <c r="G455">
        <v>55.2</v>
      </c>
      <c r="H455">
        <v>124</v>
      </c>
      <c r="I455">
        <v>392</v>
      </c>
      <c r="J455" t="s">
        <v>1246</v>
      </c>
      <c r="K455">
        <v>124</v>
      </c>
      <c r="L455" s="3" t="s">
        <v>1036</v>
      </c>
      <c r="M455" s="4">
        <v>0</v>
      </c>
      <c r="N455" s="4">
        <v>0</v>
      </c>
      <c r="O455" s="4">
        <v>0</v>
      </c>
      <c r="P455" s="4">
        <v>0</v>
      </c>
      <c r="Q455" s="5" t="s">
        <v>1039</v>
      </c>
      <c r="Y455" t="s">
        <v>324</v>
      </c>
      <c r="Z455" s="2" t="s">
        <v>324</v>
      </c>
      <c r="AA455" t="s">
        <v>324</v>
      </c>
      <c r="AB455" t="s">
        <v>324</v>
      </c>
      <c r="AC455" t="s">
        <v>324</v>
      </c>
      <c r="AD455" t="s">
        <v>324</v>
      </c>
      <c r="AE455" t="s">
        <v>324</v>
      </c>
      <c r="AF455" t="s">
        <v>324</v>
      </c>
      <c r="AG455" s="2" t="s">
        <v>324</v>
      </c>
      <c r="AH455" t="s">
        <v>324</v>
      </c>
      <c r="AI455" t="s">
        <v>324</v>
      </c>
      <c r="AJ455" s="2" t="s">
        <v>324</v>
      </c>
      <c r="AK455" t="s">
        <v>324</v>
      </c>
      <c r="AL455" t="s">
        <v>324</v>
      </c>
      <c r="AM455" s="2" t="s">
        <v>324</v>
      </c>
      <c r="AN455" t="s">
        <v>324</v>
      </c>
      <c r="AO455" s="2" t="str">
        <f>HYPERLINK("http://exon.niaid.nih.gov/transcriptome/Tx_amboinensis_sialome/Table_1/links/SMART\TX-contig_392-SMART.txt","KISc")</f>
        <v>KISc</v>
      </c>
      <c r="AP455" t="str">
        <f>HYPERLINK("http://smart.embl-heidelberg.de/smart/do_annotation.pl?DOMAIN=KISc&amp;BLAST=DUMMY","0.059")</f>
        <v>0.059</v>
      </c>
      <c r="AQ455" s="2" t="s">
        <v>324</v>
      </c>
      <c r="AR455" t="s">
        <v>324</v>
      </c>
      <c r="AS455" s="2" t="s">
        <v>324</v>
      </c>
      <c r="AT455" t="s">
        <v>324</v>
      </c>
    </row>
    <row r="456" spans="1:46" ht="11.25">
      <c r="A456" t="str">
        <f>HYPERLINK("http://exon.niaid.nih.gov/transcriptome/Tx_amboinensis_sialome/Table_1/links/TX-contig_397.txt","TX-contig_397")</f>
        <v>TX-contig_397</v>
      </c>
      <c r="B456" t="str">
        <f>HYPERLINK("http://exon.niaid.nih.gov/transcriptome/Tx_amboinensis_sialome/Table_1/links/TX-5-90-90-asb-397.txt","Contig-397")</f>
        <v>Contig-397</v>
      </c>
      <c r="C456" t="str">
        <f>HYPERLINK("http://exon.niaid.nih.gov/transcriptome/Tx_amboinensis_sialome/Table_1/links/TX-5-90-90-397-CLU.txt","Contig397")</f>
        <v>Contig397</v>
      </c>
      <c r="D456" s="4">
        <v>1</v>
      </c>
      <c r="E456">
        <v>101</v>
      </c>
      <c r="F456" t="s">
        <v>322</v>
      </c>
      <c r="G456">
        <v>69.3</v>
      </c>
      <c r="H456">
        <v>74</v>
      </c>
      <c r="I456">
        <v>397</v>
      </c>
      <c r="J456" t="s">
        <v>1251</v>
      </c>
      <c r="K456">
        <v>74</v>
      </c>
      <c r="L456" s="3" t="s">
        <v>1036</v>
      </c>
      <c r="M456" s="4">
        <v>0</v>
      </c>
      <c r="N456" s="4">
        <v>0</v>
      </c>
      <c r="O456" s="4">
        <v>0</v>
      </c>
      <c r="P456" s="4">
        <v>0</v>
      </c>
      <c r="Q456" s="5" t="s">
        <v>1039</v>
      </c>
      <c r="Y456" t="s">
        <v>324</v>
      </c>
      <c r="Z456" s="2" t="s">
        <v>324</v>
      </c>
      <c r="AA456" t="s">
        <v>324</v>
      </c>
      <c r="AB456" t="s">
        <v>324</v>
      </c>
      <c r="AC456" t="s">
        <v>324</v>
      </c>
      <c r="AD456" t="s">
        <v>324</v>
      </c>
      <c r="AE456" t="s">
        <v>324</v>
      </c>
      <c r="AF456" t="s">
        <v>324</v>
      </c>
      <c r="AG456" s="2" t="s">
        <v>324</v>
      </c>
      <c r="AH456" t="s">
        <v>324</v>
      </c>
      <c r="AI456" t="s">
        <v>324</v>
      </c>
      <c r="AJ456" s="2" t="s">
        <v>324</v>
      </c>
      <c r="AK456" t="s">
        <v>324</v>
      </c>
      <c r="AL456" t="s">
        <v>324</v>
      </c>
      <c r="AM456" s="2" t="s">
        <v>324</v>
      </c>
      <c r="AN456" t="s">
        <v>324</v>
      </c>
      <c r="AO456" s="2" t="str">
        <f>HYPERLINK("http://exon.niaid.nih.gov/transcriptome/Tx_amboinensis_sialome/Table_1/links/SMART\TX-contig_397-SMART.txt","PTPc")</f>
        <v>PTPc</v>
      </c>
      <c r="AP456" t="str">
        <f>HYPERLINK("http://smart.embl-heidelberg.de/smart/do_annotation.pl?DOMAIN=PTPc&amp;BLAST=DUMMY","0.56")</f>
        <v>0.56</v>
      </c>
      <c r="AQ456" s="2" t="s">
        <v>324</v>
      </c>
      <c r="AR456" t="s">
        <v>324</v>
      </c>
      <c r="AS456" s="2" t="s">
        <v>324</v>
      </c>
      <c r="AT456" t="s">
        <v>324</v>
      </c>
    </row>
    <row r="457" spans="1:46" ht="11.25">
      <c r="A457" t="str">
        <f>HYPERLINK("http://exon.niaid.nih.gov/transcriptome/Tx_amboinensis_sialome/Table_1/links/TX-contig_399.txt","TX-contig_399")</f>
        <v>TX-contig_399</v>
      </c>
      <c r="B457" t="str">
        <f>HYPERLINK("http://exon.niaid.nih.gov/transcriptome/Tx_amboinensis_sialome/Table_1/links/TX-5-90-90-asb-399.txt","Contig-399")</f>
        <v>Contig-399</v>
      </c>
      <c r="C457" t="str">
        <f>HYPERLINK("http://exon.niaid.nih.gov/transcriptome/Tx_amboinensis_sialome/Table_1/links/TX-5-90-90-399-CLU.txt","Contig399")</f>
        <v>Contig399</v>
      </c>
      <c r="D457" s="4">
        <v>1</v>
      </c>
      <c r="E457">
        <v>110</v>
      </c>
      <c r="F457">
        <v>0.9</v>
      </c>
      <c r="G457">
        <v>96.4</v>
      </c>
      <c r="H457">
        <v>13</v>
      </c>
      <c r="I457">
        <v>399</v>
      </c>
      <c r="J457" t="s">
        <v>1253</v>
      </c>
      <c r="K457">
        <v>13</v>
      </c>
      <c r="L457" s="3" t="s">
        <v>1036</v>
      </c>
      <c r="M457" s="4">
        <v>0</v>
      </c>
      <c r="N457" s="4">
        <v>0</v>
      </c>
      <c r="O457" s="4">
        <v>0</v>
      </c>
      <c r="P457" s="4">
        <v>0</v>
      </c>
      <c r="Q457" s="5" t="s">
        <v>1039</v>
      </c>
      <c r="Y457" t="s">
        <v>324</v>
      </c>
      <c r="Z457" s="2" t="s">
        <v>324</v>
      </c>
      <c r="AA457" t="s">
        <v>324</v>
      </c>
      <c r="AB457" t="s">
        <v>324</v>
      </c>
      <c r="AC457" t="s">
        <v>324</v>
      </c>
      <c r="AD457" t="s">
        <v>324</v>
      </c>
      <c r="AE457" t="s">
        <v>324</v>
      </c>
      <c r="AF457" t="s">
        <v>324</v>
      </c>
      <c r="AG457" s="2" t="s">
        <v>324</v>
      </c>
      <c r="AH457" t="s">
        <v>324</v>
      </c>
      <c r="AI457" t="s">
        <v>324</v>
      </c>
      <c r="AJ457" s="2" t="s">
        <v>324</v>
      </c>
      <c r="AK457" t="s">
        <v>324</v>
      </c>
      <c r="AL457" t="s">
        <v>324</v>
      </c>
      <c r="AM457" s="2" t="s">
        <v>324</v>
      </c>
      <c r="AN457" t="s">
        <v>324</v>
      </c>
      <c r="AO457" s="2" t="s">
        <v>324</v>
      </c>
      <c r="AP457" t="s">
        <v>324</v>
      </c>
      <c r="AQ457" s="2" t="s">
        <v>324</v>
      </c>
      <c r="AR457" t="s">
        <v>324</v>
      </c>
      <c r="AS457" s="2" t="s">
        <v>324</v>
      </c>
      <c r="AT457" t="s">
        <v>324</v>
      </c>
    </row>
    <row r="458" spans="1:46" ht="11.25">
      <c r="A458" t="str">
        <f>HYPERLINK("http://exon.niaid.nih.gov/transcriptome/Tx_amboinensis_sialome/Table_1/links/TX-contig_400.txt","TX-contig_400")</f>
        <v>TX-contig_400</v>
      </c>
      <c r="B458" t="str">
        <f>HYPERLINK("http://exon.niaid.nih.gov/transcriptome/Tx_amboinensis_sialome/Table_1/links/TX-5-90-90-asb-400.txt","Contig-400")</f>
        <v>Contig-400</v>
      </c>
      <c r="C458" t="str">
        <f>HYPERLINK("http://exon.niaid.nih.gov/transcriptome/Tx_amboinensis_sialome/Table_1/links/TX-5-90-90-400-CLU.txt","Contig400")</f>
        <v>Contig400</v>
      </c>
      <c r="D458" s="4">
        <v>1</v>
      </c>
      <c r="E458">
        <v>114</v>
      </c>
      <c r="F458">
        <v>2.6</v>
      </c>
      <c r="G458">
        <v>75.4</v>
      </c>
      <c r="H458">
        <v>38</v>
      </c>
      <c r="I458">
        <v>400</v>
      </c>
      <c r="J458" t="s">
        <v>1254</v>
      </c>
      <c r="K458">
        <v>38</v>
      </c>
      <c r="L458" s="3" t="s">
        <v>1036</v>
      </c>
      <c r="M458" s="4">
        <v>0</v>
      </c>
      <c r="N458" s="4">
        <v>0</v>
      </c>
      <c r="O458" s="4">
        <v>0</v>
      </c>
      <c r="P458" s="4">
        <v>0</v>
      </c>
      <c r="Q458" s="5" t="s">
        <v>1039</v>
      </c>
      <c r="Y458" t="s">
        <v>324</v>
      </c>
      <c r="Z458" s="2" t="s">
        <v>324</v>
      </c>
      <c r="AA458" t="s">
        <v>324</v>
      </c>
      <c r="AB458" t="s">
        <v>324</v>
      </c>
      <c r="AC458" t="s">
        <v>324</v>
      </c>
      <c r="AD458" t="s">
        <v>324</v>
      </c>
      <c r="AE458" t="s">
        <v>324</v>
      </c>
      <c r="AF458" t="s">
        <v>324</v>
      </c>
      <c r="AG458" s="2" t="s">
        <v>324</v>
      </c>
      <c r="AH458" t="s">
        <v>324</v>
      </c>
      <c r="AI458" t="s">
        <v>324</v>
      </c>
      <c r="AJ458" s="2" t="s">
        <v>324</v>
      </c>
      <c r="AK458" t="s">
        <v>324</v>
      </c>
      <c r="AL458" t="s">
        <v>324</v>
      </c>
      <c r="AM458" s="2" t="s">
        <v>324</v>
      </c>
      <c r="AN458" t="s">
        <v>324</v>
      </c>
      <c r="AO458" s="2" t="s">
        <v>324</v>
      </c>
      <c r="AP458" t="s">
        <v>324</v>
      </c>
      <c r="AQ458" s="2" t="s">
        <v>324</v>
      </c>
      <c r="AR458" t="s">
        <v>324</v>
      </c>
      <c r="AS458" s="2" t="s">
        <v>324</v>
      </c>
      <c r="AT458" t="s">
        <v>324</v>
      </c>
    </row>
    <row r="459" spans="1:46" ht="11.25">
      <c r="A459" t="str">
        <f>HYPERLINK("http://exon.niaid.nih.gov/transcriptome/Tx_amboinensis_sialome/Table_1/links/TX-contig_402.txt","TX-contig_402")</f>
        <v>TX-contig_402</v>
      </c>
      <c r="B459" t="str">
        <f>HYPERLINK("http://exon.niaid.nih.gov/transcriptome/Tx_amboinensis_sialome/Table_1/links/TX-5-90-90-asb-402.txt","Contig-402")</f>
        <v>Contig-402</v>
      </c>
      <c r="C459" t="str">
        <f>HYPERLINK("http://exon.niaid.nih.gov/transcriptome/Tx_amboinensis_sialome/Table_1/links/TX-5-90-90-402-CLU.txt","Contig402")</f>
        <v>Contig402</v>
      </c>
      <c r="D459" s="4">
        <v>1</v>
      </c>
      <c r="E459">
        <v>159</v>
      </c>
      <c r="F459">
        <v>3.1</v>
      </c>
      <c r="G459">
        <v>85.5</v>
      </c>
      <c r="H459">
        <v>49</v>
      </c>
      <c r="I459">
        <v>402</v>
      </c>
      <c r="J459" t="s">
        <v>1256</v>
      </c>
      <c r="K459">
        <v>49</v>
      </c>
      <c r="L459" s="3" t="s">
        <v>1036</v>
      </c>
      <c r="M459" s="4">
        <v>0</v>
      </c>
      <c r="N459" s="4">
        <v>0</v>
      </c>
      <c r="O459" s="4">
        <v>0</v>
      </c>
      <c r="P459" s="4">
        <v>0</v>
      </c>
      <c r="Q459" s="5" t="s">
        <v>1039</v>
      </c>
      <c r="Y459" t="s">
        <v>324</v>
      </c>
      <c r="Z459" s="2" t="s">
        <v>324</v>
      </c>
      <c r="AA459" t="s">
        <v>324</v>
      </c>
      <c r="AB459" t="s">
        <v>324</v>
      </c>
      <c r="AC459" t="s">
        <v>324</v>
      </c>
      <c r="AD459" t="s">
        <v>324</v>
      </c>
      <c r="AE459" t="s">
        <v>324</v>
      </c>
      <c r="AF459" t="s">
        <v>324</v>
      </c>
      <c r="AG459" s="2" t="s">
        <v>324</v>
      </c>
      <c r="AH459" t="s">
        <v>324</v>
      </c>
      <c r="AI459" t="s">
        <v>324</v>
      </c>
      <c r="AJ459" s="2" t="s">
        <v>324</v>
      </c>
      <c r="AK459" t="s">
        <v>324</v>
      </c>
      <c r="AL459" t="s">
        <v>324</v>
      </c>
      <c r="AM459" s="2" t="s">
        <v>324</v>
      </c>
      <c r="AN459" t="s">
        <v>324</v>
      </c>
      <c r="AO459" s="2" t="s">
        <v>324</v>
      </c>
      <c r="AP459" t="s">
        <v>324</v>
      </c>
      <c r="AQ459" s="2" t="s">
        <v>324</v>
      </c>
      <c r="AR459" t="s">
        <v>324</v>
      </c>
      <c r="AS459" s="2" t="s">
        <v>324</v>
      </c>
      <c r="AT459" t="s">
        <v>324</v>
      </c>
    </row>
    <row r="460" spans="1:46" ht="11.25">
      <c r="A460" t="str">
        <f>HYPERLINK("http://exon.niaid.nih.gov/transcriptome/Tx_amboinensis_sialome/Table_1/links/TX-contig_403.txt","TX-contig_403")</f>
        <v>TX-contig_403</v>
      </c>
      <c r="B460" t="str">
        <f>HYPERLINK("http://exon.niaid.nih.gov/transcriptome/Tx_amboinensis_sialome/Table_1/links/TX-5-90-90-asb-403.txt","Contig-403")</f>
        <v>Contig-403</v>
      </c>
      <c r="C460" t="str">
        <f>HYPERLINK("http://exon.niaid.nih.gov/transcriptome/Tx_amboinensis_sialome/Table_1/links/TX-5-90-90-403-CLU.txt","Contig403")</f>
        <v>Contig403</v>
      </c>
      <c r="D460" s="4">
        <v>1</v>
      </c>
      <c r="E460">
        <v>99</v>
      </c>
      <c r="F460" t="s">
        <v>322</v>
      </c>
      <c r="G460">
        <v>92.9</v>
      </c>
      <c r="H460">
        <v>24</v>
      </c>
      <c r="I460">
        <v>403</v>
      </c>
      <c r="J460" t="s">
        <v>1257</v>
      </c>
      <c r="K460">
        <v>24</v>
      </c>
      <c r="L460" s="3" t="s">
        <v>1036</v>
      </c>
      <c r="M460" s="4">
        <v>0</v>
      </c>
      <c r="N460" s="4">
        <v>0</v>
      </c>
      <c r="O460" s="4">
        <v>0</v>
      </c>
      <c r="P460" s="4">
        <v>0</v>
      </c>
      <c r="Q460" s="5" t="s">
        <v>1039</v>
      </c>
      <c r="Y460" t="s">
        <v>324</v>
      </c>
      <c r="Z460" s="2" t="s">
        <v>324</v>
      </c>
      <c r="AA460" t="s">
        <v>324</v>
      </c>
      <c r="AB460" t="s">
        <v>324</v>
      </c>
      <c r="AC460" t="s">
        <v>324</v>
      </c>
      <c r="AD460" t="s">
        <v>324</v>
      </c>
      <c r="AE460" t="s">
        <v>324</v>
      </c>
      <c r="AF460" t="s">
        <v>324</v>
      </c>
      <c r="AG460" s="2" t="s">
        <v>324</v>
      </c>
      <c r="AH460" t="s">
        <v>324</v>
      </c>
      <c r="AI460" t="s">
        <v>324</v>
      </c>
      <c r="AJ460" s="2" t="s">
        <v>324</v>
      </c>
      <c r="AK460" t="s">
        <v>324</v>
      </c>
      <c r="AL460" t="s">
        <v>324</v>
      </c>
      <c r="AM460" s="2" t="s">
        <v>324</v>
      </c>
      <c r="AN460" t="s">
        <v>324</v>
      </c>
      <c r="AO460" s="2" t="s">
        <v>324</v>
      </c>
      <c r="AP460" t="s">
        <v>324</v>
      </c>
      <c r="AQ460" s="2" t="s">
        <v>324</v>
      </c>
      <c r="AR460" t="s">
        <v>324</v>
      </c>
      <c r="AS460" s="2" t="s">
        <v>324</v>
      </c>
      <c r="AT460" t="s">
        <v>324</v>
      </c>
    </row>
    <row r="461" spans="1:46" ht="11.25">
      <c r="A461" t="str">
        <f>HYPERLINK("http://exon.niaid.nih.gov/transcriptome/Tx_amboinensis_sialome/Table_1/links/TX-contig_405.txt","TX-contig_405")</f>
        <v>TX-contig_405</v>
      </c>
      <c r="B461" t="str">
        <f>HYPERLINK("http://exon.niaid.nih.gov/transcriptome/Tx_amboinensis_sialome/Table_1/links/TX-5-90-90-asb-405.txt","Contig-405")</f>
        <v>Contig-405</v>
      </c>
      <c r="C461" t="str">
        <f>HYPERLINK("http://exon.niaid.nih.gov/transcriptome/Tx_amboinensis_sialome/Table_1/links/TX-5-90-90-405-CLU.txt","Contig405")</f>
        <v>Contig405</v>
      </c>
      <c r="D461" s="4">
        <v>1</v>
      </c>
      <c r="E461">
        <v>95</v>
      </c>
      <c r="F461">
        <v>1.1</v>
      </c>
      <c r="G461">
        <v>73.7</v>
      </c>
      <c r="H461">
        <v>68</v>
      </c>
      <c r="I461">
        <v>405</v>
      </c>
      <c r="J461" t="s">
        <v>1259</v>
      </c>
      <c r="K461">
        <v>68</v>
      </c>
      <c r="L461" s="3" t="s">
        <v>1036</v>
      </c>
      <c r="M461" s="4">
        <v>0</v>
      </c>
      <c r="N461" s="4">
        <v>0</v>
      </c>
      <c r="O461" s="4">
        <v>0</v>
      </c>
      <c r="P461" s="4">
        <v>0</v>
      </c>
      <c r="Q461" s="5" t="s">
        <v>1039</v>
      </c>
      <c r="Y461" t="s">
        <v>324</v>
      </c>
      <c r="Z461" s="2" t="s">
        <v>324</v>
      </c>
      <c r="AA461" t="s">
        <v>324</v>
      </c>
      <c r="AB461" t="s">
        <v>324</v>
      </c>
      <c r="AC461" t="s">
        <v>324</v>
      </c>
      <c r="AD461" t="s">
        <v>324</v>
      </c>
      <c r="AE461" t="s">
        <v>324</v>
      </c>
      <c r="AF461" t="s">
        <v>324</v>
      </c>
      <c r="AG461" s="2" t="s">
        <v>324</v>
      </c>
      <c r="AH461" t="s">
        <v>324</v>
      </c>
      <c r="AI461" t="s">
        <v>324</v>
      </c>
      <c r="AJ461" s="2" t="s">
        <v>324</v>
      </c>
      <c r="AK461" t="s">
        <v>324</v>
      </c>
      <c r="AL461" t="s">
        <v>324</v>
      </c>
      <c r="AM461" s="2" t="s">
        <v>324</v>
      </c>
      <c r="AN461" t="s">
        <v>324</v>
      </c>
      <c r="AO461" s="2" t="s">
        <v>324</v>
      </c>
      <c r="AP461" t="s">
        <v>324</v>
      </c>
      <c r="AQ461" s="2" t="s">
        <v>324</v>
      </c>
      <c r="AR461" t="s">
        <v>324</v>
      </c>
      <c r="AS461" s="2" t="s">
        <v>324</v>
      </c>
      <c r="AT461" t="s">
        <v>324</v>
      </c>
    </row>
    <row r="462" spans="1:46" ht="11.25">
      <c r="A462" t="str">
        <f>HYPERLINK("http://exon.niaid.nih.gov/transcriptome/Tx_amboinensis_sialome/Table_1/links/TX-contig_406.txt","TX-contig_406")</f>
        <v>TX-contig_406</v>
      </c>
      <c r="B462" t="str">
        <f>HYPERLINK("http://exon.niaid.nih.gov/transcriptome/Tx_amboinensis_sialome/Table_1/links/TX-5-90-90-asb-406.txt","Contig-406")</f>
        <v>Contig-406</v>
      </c>
      <c r="C462" t="str">
        <f>HYPERLINK("http://exon.niaid.nih.gov/transcriptome/Tx_amboinensis_sialome/Table_1/links/TX-5-90-90-406-CLU.txt","Contig406")</f>
        <v>Contig406</v>
      </c>
      <c r="D462" s="4">
        <v>1</v>
      </c>
      <c r="E462">
        <v>121</v>
      </c>
      <c r="F462">
        <v>5</v>
      </c>
      <c r="G462">
        <v>94.2</v>
      </c>
      <c r="H462">
        <v>9</v>
      </c>
      <c r="I462">
        <v>406</v>
      </c>
      <c r="J462" t="s">
        <v>1260</v>
      </c>
      <c r="K462">
        <v>9</v>
      </c>
      <c r="L462" s="3" t="s">
        <v>1036</v>
      </c>
      <c r="M462" s="4">
        <v>0</v>
      </c>
      <c r="N462" s="4">
        <v>0</v>
      </c>
      <c r="O462" s="4">
        <v>0</v>
      </c>
      <c r="P462" s="4">
        <v>0</v>
      </c>
      <c r="Q462" s="5" t="s">
        <v>1039</v>
      </c>
      <c r="Y462" t="s">
        <v>324</v>
      </c>
      <c r="Z462" s="2" t="s">
        <v>324</v>
      </c>
      <c r="AA462" t="s">
        <v>324</v>
      </c>
      <c r="AB462" t="s">
        <v>324</v>
      </c>
      <c r="AC462" t="s">
        <v>324</v>
      </c>
      <c r="AD462" t="s">
        <v>324</v>
      </c>
      <c r="AE462" t="s">
        <v>324</v>
      </c>
      <c r="AF462" t="s">
        <v>324</v>
      </c>
      <c r="AG462" s="2" t="s">
        <v>324</v>
      </c>
      <c r="AH462" t="s">
        <v>324</v>
      </c>
      <c r="AI462" t="s">
        <v>324</v>
      </c>
      <c r="AJ462" s="2" t="s">
        <v>324</v>
      </c>
      <c r="AK462" t="s">
        <v>324</v>
      </c>
      <c r="AL462" t="s">
        <v>324</v>
      </c>
      <c r="AM462" s="2" t="s">
        <v>324</v>
      </c>
      <c r="AN462" t="s">
        <v>324</v>
      </c>
      <c r="AO462" s="2" t="s">
        <v>324</v>
      </c>
      <c r="AP462" t="s">
        <v>324</v>
      </c>
      <c r="AQ462" s="2" t="s">
        <v>324</v>
      </c>
      <c r="AR462" t="s">
        <v>324</v>
      </c>
      <c r="AS462" s="2" t="s">
        <v>324</v>
      </c>
      <c r="AT462" t="s">
        <v>324</v>
      </c>
    </row>
    <row r="463" spans="1:46" ht="11.25">
      <c r="A463" t="str">
        <f>HYPERLINK("http://exon.niaid.nih.gov/transcriptome/Tx_amboinensis_sialome/Table_1/links/TX-contig_409.txt","TX-contig_409")</f>
        <v>TX-contig_409</v>
      </c>
      <c r="B463" t="str">
        <f>HYPERLINK("http://exon.niaid.nih.gov/transcriptome/Tx_amboinensis_sialome/Table_1/links/TX-5-90-90-asb-409.txt","Contig-409")</f>
        <v>Contig-409</v>
      </c>
      <c r="C463" t="str">
        <f>HYPERLINK("http://exon.niaid.nih.gov/transcriptome/Tx_amboinensis_sialome/Table_1/links/TX-5-90-90-409-CLU.txt","Contig409")</f>
        <v>Contig409</v>
      </c>
      <c r="D463" s="4">
        <v>1</v>
      </c>
      <c r="E463">
        <v>125</v>
      </c>
      <c r="F463" t="s">
        <v>322</v>
      </c>
      <c r="G463">
        <v>100</v>
      </c>
      <c r="H463">
        <v>1</v>
      </c>
      <c r="I463">
        <v>409</v>
      </c>
      <c r="J463" t="s">
        <v>1263</v>
      </c>
      <c r="K463">
        <v>1</v>
      </c>
      <c r="L463" s="3" t="s">
        <v>1036</v>
      </c>
      <c r="M463" s="4">
        <v>0</v>
      </c>
      <c r="N463" s="4">
        <v>0</v>
      </c>
      <c r="O463" s="4">
        <v>0</v>
      </c>
      <c r="P463" s="4">
        <v>0</v>
      </c>
      <c r="Q463" s="5" t="s">
        <v>1039</v>
      </c>
      <c r="Y463" t="s">
        <v>324</v>
      </c>
      <c r="Z463" s="2" t="s">
        <v>324</v>
      </c>
      <c r="AA463" t="s">
        <v>324</v>
      </c>
      <c r="AB463" t="s">
        <v>324</v>
      </c>
      <c r="AC463" t="s">
        <v>324</v>
      </c>
      <c r="AD463" t="s">
        <v>324</v>
      </c>
      <c r="AE463" t="s">
        <v>324</v>
      </c>
      <c r="AF463" t="s">
        <v>324</v>
      </c>
      <c r="AG463" s="2" t="s">
        <v>324</v>
      </c>
      <c r="AH463" t="s">
        <v>324</v>
      </c>
      <c r="AI463" t="s">
        <v>324</v>
      </c>
      <c r="AJ463" s="2" t="s">
        <v>324</v>
      </c>
      <c r="AK463" t="s">
        <v>324</v>
      </c>
      <c r="AL463" t="s">
        <v>324</v>
      </c>
      <c r="AM463" s="2" t="s">
        <v>324</v>
      </c>
      <c r="AN463" t="s">
        <v>324</v>
      </c>
      <c r="AO463" s="2" t="s">
        <v>324</v>
      </c>
      <c r="AP463" t="s">
        <v>324</v>
      </c>
      <c r="AQ463" s="2" t="s">
        <v>324</v>
      </c>
      <c r="AR463" t="s">
        <v>324</v>
      </c>
      <c r="AS463" s="2" t="s">
        <v>324</v>
      </c>
      <c r="AT463" t="s">
        <v>324</v>
      </c>
    </row>
    <row r="464" spans="1:46" ht="11.25">
      <c r="A464" t="str">
        <f>HYPERLINK("http://exon.niaid.nih.gov/transcriptome/Tx_amboinensis_sialome/Table_1/links/TX-contig_410.txt","TX-contig_410")</f>
        <v>TX-contig_410</v>
      </c>
      <c r="B464" t="str">
        <f>HYPERLINK("http://exon.niaid.nih.gov/transcriptome/Tx_amboinensis_sialome/Table_1/links/TX-5-90-90-asb-410.txt","Contig-410")</f>
        <v>Contig-410</v>
      </c>
      <c r="C464" t="str">
        <f>HYPERLINK("http://exon.niaid.nih.gov/transcriptome/Tx_amboinensis_sialome/Table_1/links/TX-5-90-90-410-CLU.txt","Contig410")</f>
        <v>Contig410</v>
      </c>
      <c r="D464" s="4">
        <v>1</v>
      </c>
      <c r="E464">
        <v>122</v>
      </c>
      <c r="F464">
        <v>2.5</v>
      </c>
      <c r="G464">
        <v>92.6</v>
      </c>
      <c r="H464">
        <v>23</v>
      </c>
      <c r="I464">
        <v>410</v>
      </c>
      <c r="J464" t="s">
        <v>1264</v>
      </c>
      <c r="K464">
        <v>23</v>
      </c>
      <c r="L464" s="3" t="s">
        <v>1036</v>
      </c>
      <c r="M464" s="4">
        <v>0</v>
      </c>
      <c r="N464" s="4">
        <v>0</v>
      </c>
      <c r="O464" s="4">
        <v>0</v>
      </c>
      <c r="P464" s="4">
        <v>0</v>
      </c>
      <c r="Q464" s="5" t="s">
        <v>1039</v>
      </c>
      <c r="Y464" t="s">
        <v>324</v>
      </c>
      <c r="Z464" s="2" t="s">
        <v>324</v>
      </c>
      <c r="AA464" t="s">
        <v>324</v>
      </c>
      <c r="AB464" t="s">
        <v>324</v>
      </c>
      <c r="AC464" t="s">
        <v>324</v>
      </c>
      <c r="AD464" t="s">
        <v>324</v>
      </c>
      <c r="AE464" t="s">
        <v>324</v>
      </c>
      <c r="AF464" t="s">
        <v>324</v>
      </c>
      <c r="AG464" s="2" t="s">
        <v>324</v>
      </c>
      <c r="AH464" t="s">
        <v>324</v>
      </c>
      <c r="AI464" t="s">
        <v>324</v>
      </c>
      <c r="AJ464" s="2" t="s">
        <v>324</v>
      </c>
      <c r="AK464" t="s">
        <v>324</v>
      </c>
      <c r="AL464" t="s">
        <v>324</v>
      </c>
      <c r="AM464" s="2" t="s">
        <v>324</v>
      </c>
      <c r="AN464" t="s">
        <v>324</v>
      </c>
      <c r="AO464" s="2" t="s">
        <v>324</v>
      </c>
      <c r="AP464" t="s">
        <v>324</v>
      </c>
      <c r="AQ464" s="2" t="s">
        <v>324</v>
      </c>
      <c r="AR464" t="s">
        <v>324</v>
      </c>
      <c r="AS464" s="2" t="s">
        <v>324</v>
      </c>
      <c r="AT464" t="s">
        <v>324</v>
      </c>
    </row>
    <row r="465" spans="1:46" ht="11.25">
      <c r="A465" t="str">
        <f>HYPERLINK("http://exon.niaid.nih.gov/transcriptome/Tx_amboinensis_sialome/Table_1/links/TX-contig_411.txt","TX-contig_411")</f>
        <v>TX-contig_411</v>
      </c>
      <c r="B465" t="str">
        <f>HYPERLINK("http://exon.niaid.nih.gov/transcriptome/Tx_amboinensis_sialome/Table_1/links/TX-5-90-90-asb-411.txt","Contig-411")</f>
        <v>Contig-411</v>
      </c>
      <c r="C465" t="str">
        <f>HYPERLINK("http://exon.niaid.nih.gov/transcriptome/Tx_amboinensis_sialome/Table_1/links/TX-5-90-90-411-CLU.txt","Contig411")</f>
        <v>Contig411</v>
      </c>
      <c r="D465" s="4">
        <v>1</v>
      </c>
      <c r="E465">
        <v>115</v>
      </c>
      <c r="F465">
        <v>0.9</v>
      </c>
      <c r="G465">
        <v>70.4</v>
      </c>
      <c r="H465">
        <v>96</v>
      </c>
      <c r="I465">
        <v>411</v>
      </c>
      <c r="J465" t="s">
        <v>1265</v>
      </c>
      <c r="K465">
        <v>96</v>
      </c>
      <c r="L465" s="3" t="s">
        <v>1036</v>
      </c>
      <c r="M465" s="4">
        <v>0</v>
      </c>
      <c r="N465" s="4">
        <v>0</v>
      </c>
      <c r="O465" s="4">
        <v>0</v>
      </c>
      <c r="P465" s="4">
        <v>0</v>
      </c>
      <c r="Q465" s="5" t="s">
        <v>1039</v>
      </c>
      <c r="Y465" t="s">
        <v>324</v>
      </c>
      <c r="Z465" s="2" t="s">
        <v>324</v>
      </c>
      <c r="AA465" t="s">
        <v>324</v>
      </c>
      <c r="AB465" t="s">
        <v>324</v>
      </c>
      <c r="AC465" t="s">
        <v>324</v>
      </c>
      <c r="AD465" t="s">
        <v>324</v>
      </c>
      <c r="AE465" t="s">
        <v>324</v>
      </c>
      <c r="AF465" t="s">
        <v>324</v>
      </c>
      <c r="AG465" s="2" t="s">
        <v>324</v>
      </c>
      <c r="AH465" t="s">
        <v>324</v>
      </c>
      <c r="AI465" t="s">
        <v>324</v>
      </c>
      <c r="AJ465" s="2" t="s">
        <v>324</v>
      </c>
      <c r="AK465" t="s">
        <v>324</v>
      </c>
      <c r="AL465" t="s">
        <v>324</v>
      </c>
      <c r="AM465" s="2" t="s">
        <v>324</v>
      </c>
      <c r="AN465" t="s">
        <v>324</v>
      </c>
      <c r="AO465" s="2" t="s">
        <v>324</v>
      </c>
      <c r="AP465" t="s">
        <v>324</v>
      </c>
      <c r="AQ465" s="2" t="s">
        <v>324</v>
      </c>
      <c r="AR465" t="s">
        <v>324</v>
      </c>
      <c r="AS465" s="2" t="s">
        <v>324</v>
      </c>
      <c r="AT465" t="s">
        <v>324</v>
      </c>
    </row>
    <row r="466" spans="1:46" ht="11.25">
      <c r="A466" t="str">
        <f>HYPERLINK("http://exon.niaid.nih.gov/transcriptome/Tx_amboinensis_sialome/Table_1/links/TX-contig_412.txt","TX-contig_412")</f>
        <v>TX-contig_412</v>
      </c>
      <c r="B466" t="str">
        <f>HYPERLINK("http://exon.niaid.nih.gov/transcriptome/Tx_amboinensis_sialome/Table_1/links/TX-5-90-90-asb-412.txt","Contig-412")</f>
        <v>Contig-412</v>
      </c>
      <c r="C466" t="str">
        <f>HYPERLINK("http://exon.niaid.nih.gov/transcriptome/Tx_amboinensis_sialome/Table_1/links/TX-5-90-90-412-CLU.txt","Contig412")</f>
        <v>Contig412</v>
      </c>
      <c r="D466" s="4">
        <v>1</v>
      </c>
      <c r="E466">
        <v>218</v>
      </c>
      <c r="F466">
        <v>1.4</v>
      </c>
      <c r="G466">
        <v>64.7</v>
      </c>
      <c r="H466">
        <v>149</v>
      </c>
      <c r="I466">
        <v>412</v>
      </c>
      <c r="J466" t="s">
        <v>1266</v>
      </c>
      <c r="K466">
        <v>149</v>
      </c>
      <c r="L466" s="3" t="s">
        <v>1036</v>
      </c>
      <c r="M466" s="4">
        <v>0</v>
      </c>
      <c r="N466" s="4">
        <v>0</v>
      </c>
      <c r="O466" s="4">
        <v>0</v>
      </c>
      <c r="P466" s="4">
        <v>0</v>
      </c>
      <c r="Q466" s="5" t="s">
        <v>1039</v>
      </c>
      <c r="Y466" t="s">
        <v>324</v>
      </c>
      <c r="Z466" s="2" t="s">
        <v>324</v>
      </c>
      <c r="AA466" t="s">
        <v>324</v>
      </c>
      <c r="AB466" t="s">
        <v>324</v>
      </c>
      <c r="AC466" t="s">
        <v>324</v>
      </c>
      <c r="AD466" t="s">
        <v>324</v>
      </c>
      <c r="AE466" t="s">
        <v>324</v>
      </c>
      <c r="AF466" t="s">
        <v>324</v>
      </c>
      <c r="AG466" s="2" t="s">
        <v>324</v>
      </c>
      <c r="AH466" t="s">
        <v>324</v>
      </c>
      <c r="AI466" t="s">
        <v>324</v>
      </c>
      <c r="AJ466" s="2" t="s">
        <v>324</v>
      </c>
      <c r="AK466" t="s">
        <v>324</v>
      </c>
      <c r="AL466" t="s">
        <v>324</v>
      </c>
      <c r="AM466" s="2" t="s">
        <v>324</v>
      </c>
      <c r="AN466" t="s">
        <v>324</v>
      </c>
      <c r="AO466" s="2" t="str">
        <f>HYPERLINK("http://exon.niaid.nih.gov/transcriptome/Tx_amboinensis_sialome/Table_1/links/SMART\TX-contig_412-SMART.txt","SO")</f>
        <v>SO</v>
      </c>
      <c r="AP466" t="str">
        <f>HYPERLINK("http://smart.embl-heidelberg.de/smart/do_annotation.pl?DOMAIN=SO&amp;BLAST=DUMMY","0.35")</f>
        <v>0.35</v>
      </c>
      <c r="AQ466" s="2" t="s">
        <v>324</v>
      </c>
      <c r="AR466" t="s">
        <v>324</v>
      </c>
      <c r="AS466" s="2" t="s">
        <v>324</v>
      </c>
      <c r="AT466" t="s">
        <v>324</v>
      </c>
    </row>
    <row r="467" spans="1:46" ht="11.25">
      <c r="A467" t="str">
        <f>HYPERLINK("http://exon.niaid.nih.gov/transcriptome/Tx_amboinensis_sialome/Table_1/links/TX-contig_414.txt","TX-contig_414")</f>
        <v>TX-contig_414</v>
      </c>
      <c r="B467" t="str">
        <f>HYPERLINK("http://exon.niaid.nih.gov/transcriptome/Tx_amboinensis_sialome/Table_1/links/TX-5-90-90-asb-414.txt","Contig-414")</f>
        <v>Contig-414</v>
      </c>
      <c r="C467" t="str">
        <f>HYPERLINK("http://exon.niaid.nih.gov/transcriptome/Tx_amboinensis_sialome/Table_1/links/TX-5-90-90-414-CLU.txt","Contig414")</f>
        <v>Contig414</v>
      </c>
      <c r="D467" s="4">
        <v>1</v>
      </c>
      <c r="E467">
        <v>121</v>
      </c>
      <c r="F467">
        <v>0.8</v>
      </c>
      <c r="G467">
        <v>71.1</v>
      </c>
      <c r="H467">
        <v>102</v>
      </c>
      <c r="I467">
        <v>414</v>
      </c>
      <c r="J467" t="s">
        <v>1268</v>
      </c>
      <c r="K467">
        <v>102</v>
      </c>
      <c r="L467" s="3" t="s">
        <v>1036</v>
      </c>
      <c r="M467" s="4">
        <v>0</v>
      </c>
      <c r="N467" s="4">
        <v>0</v>
      </c>
      <c r="O467" s="4">
        <v>0</v>
      </c>
      <c r="P467" s="4">
        <v>0</v>
      </c>
      <c r="Q467" s="5" t="s">
        <v>1039</v>
      </c>
      <c r="Y467" t="s">
        <v>324</v>
      </c>
      <c r="Z467" s="2" t="s">
        <v>324</v>
      </c>
      <c r="AA467" t="s">
        <v>324</v>
      </c>
      <c r="AB467" t="s">
        <v>324</v>
      </c>
      <c r="AC467" t="s">
        <v>324</v>
      </c>
      <c r="AD467" t="s">
        <v>324</v>
      </c>
      <c r="AE467" t="s">
        <v>324</v>
      </c>
      <c r="AF467" t="s">
        <v>324</v>
      </c>
      <c r="AG467" s="2" t="s">
        <v>324</v>
      </c>
      <c r="AH467" t="s">
        <v>324</v>
      </c>
      <c r="AI467" t="s">
        <v>324</v>
      </c>
      <c r="AJ467" s="2" t="s">
        <v>324</v>
      </c>
      <c r="AK467" t="s">
        <v>324</v>
      </c>
      <c r="AL467" t="s">
        <v>324</v>
      </c>
      <c r="AM467" s="2" t="s">
        <v>324</v>
      </c>
      <c r="AN467" t="s">
        <v>324</v>
      </c>
      <c r="AO467" s="2" t="s">
        <v>324</v>
      </c>
      <c r="AP467" t="s">
        <v>324</v>
      </c>
      <c r="AQ467" s="2" t="s">
        <v>324</v>
      </c>
      <c r="AR467" t="s">
        <v>324</v>
      </c>
      <c r="AS467" s="2" t="s">
        <v>324</v>
      </c>
      <c r="AT467" t="s">
        <v>324</v>
      </c>
    </row>
    <row r="468" spans="1:46" ht="11.25">
      <c r="A468" t="str">
        <f>HYPERLINK("http://exon.niaid.nih.gov/transcriptome/Tx_amboinensis_sialome/Table_1/links/TX-contig_415.txt","TX-contig_415")</f>
        <v>TX-contig_415</v>
      </c>
      <c r="B468" t="str">
        <f>HYPERLINK("http://exon.niaid.nih.gov/transcriptome/Tx_amboinensis_sialome/Table_1/links/TX-5-90-90-asb-415.txt","Contig-415")</f>
        <v>Contig-415</v>
      </c>
      <c r="C468" t="str">
        <f>HYPERLINK("http://exon.niaid.nih.gov/transcriptome/Tx_amboinensis_sialome/Table_1/links/TX-5-90-90-415-CLU.txt","Contig415")</f>
        <v>Contig415</v>
      </c>
      <c r="D468" s="4">
        <v>1</v>
      </c>
      <c r="E468">
        <v>102</v>
      </c>
      <c r="F468" t="s">
        <v>322</v>
      </c>
      <c r="G468">
        <v>68.6</v>
      </c>
      <c r="H468">
        <v>75</v>
      </c>
      <c r="I468">
        <v>415</v>
      </c>
      <c r="J468" t="s">
        <v>1269</v>
      </c>
      <c r="K468">
        <v>75</v>
      </c>
      <c r="L468" s="3" t="s">
        <v>1036</v>
      </c>
      <c r="M468" s="4">
        <v>0</v>
      </c>
      <c r="N468" s="4">
        <v>0</v>
      </c>
      <c r="O468" s="4">
        <v>0</v>
      </c>
      <c r="P468" s="4">
        <v>0</v>
      </c>
      <c r="Q468" s="5" t="s">
        <v>1039</v>
      </c>
      <c r="Y468" t="s">
        <v>324</v>
      </c>
      <c r="Z468" s="2" t="s">
        <v>324</v>
      </c>
      <c r="AA468" t="s">
        <v>324</v>
      </c>
      <c r="AB468" t="s">
        <v>324</v>
      </c>
      <c r="AC468" t="s">
        <v>324</v>
      </c>
      <c r="AD468" t="s">
        <v>324</v>
      </c>
      <c r="AE468" t="s">
        <v>324</v>
      </c>
      <c r="AF468" t="s">
        <v>324</v>
      </c>
      <c r="AG468" s="2" t="s">
        <v>324</v>
      </c>
      <c r="AH468" t="s">
        <v>324</v>
      </c>
      <c r="AI468" t="s">
        <v>324</v>
      </c>
      <c r="AJ468" s="2" t="s">
        <v>324</v>
      </c>
      <c r="AK468" t="s">
        <v>324</v>
      </c>
      <c r="AL468" t="s">
        <v>324</v>
      </c>
      <c r="AM468" s="2" t="s">
        <v>324</v>
      </c>
      <c r="AN468" t="s">
        <v>324</v>
      </c>
      <c r="AO468" s="2" t="str">
        <f>HYPERLINK("http://exon.niaid.nih.gov/transcriptome/Tx_amboinensis_sialome/Table_1/links/SMART\TX-contig_415-SMART.txt","SO")</f>
        <v>SO</v>
      </c>
      <c r="AP468" t="str">
        <f>HYPERLINK("http://smart.embl-heidelberg.de/smart/do_annotation.pl?DOMAIN=SO&amp;BLAST=DUMMY","0.34")</f>
        <v>0.34</v>
      </c>
      <c r="AQ468" s="2" t="s">
        <v>324</v>
      </c>
      <c r="AR468" t="s">
        <v>324</v>
      </c>
      <c r="AS468" s="2" t="s">
        <v>324</v>
      </c>
      <c r="AT468" t="s">
        <v>324</v>
      </c>
    </row>
    <row r="469" spans="1:46" ht="11.25">
      <c r="A469" t="str">
        <f>HYPERLINK("http://exon.niaid.nih.gov/transcriptome/Tx_amboinensis_sialome/Table_1/links/TX-contig_417.txt","TX-contig_417")</f>
        <v>TX-contig_417</v>
      </c>
      <c r="B469" t="str">
        <f>HYPERLINK("http://exon.niaid.nih.gov/transcriptome/Tx_amboinensis_sialome/Table_1/links/TX-5-90-90-asb-417.txt","Contig-417")</f>
        <v>Contig-417</v>
      </c>
      <c r="C469" t="str">
        <f>HYPERLINK("http://exon.niaid.nih.gov/transcriptome/Tx_amboinensis_sialome/Table_1/links/TX-5-90-90-417-CLU.txt","Contig417")</f>
        <v>Contig417</v>
      </c>
      <c r="D469" s="4">
        <v>1</v>
      </c>
      <c r="E469">
        <v>95</v>
      </c>
      <c r="F469">
        <v>1.1</v>
      </c>
      <c r="G469">
        <v>95.8</v>
      </c>
      <c r="H469">
        <v>14</v>
      </c>
      <c r="I469">
        <v>417</v>
      </c>
      <c r="J469" t="s">
        <v>1271</v>
      </c>
      <c r="K469">
        <v>14</v>
      </c>
      <c r="L469" s="3" t="s">
        <v>1036</v>
      </c>
      <c r="M469" s="4">
        <v>0</v>
      </c>
      <c r="N469" s="4">
        <v>0</v>
      </c>
      <c r="O469" s="4">
        <v>0</v>
      </c>
      <c r="P469" s="4">
        <v>0</v>
      </c>
      <c r="Q469" s="5" t="s">
        <v>1039</v>
      </c>
      <c r="Y469" t="s">
        <v>324</v>
      </c>
      <c r="Z469" s="2" t="s">
        <v>324</v>
      </c>
      <c r="AA469" t="s">
        <v>324</v>
      </c>
      <c r="AB469" t="s">
        <v>324</v>
      </c>
      <c r="AC469" t="s">
        <v>324</v>
      </c>
      <c r="AD469" t="s">
        <v>324</v>
      </c>
      <c r="AE469" t="s">
        <v>324</v>
      </c>
      <c r="AF469" t="s">
        <v>324</v>
      </c>
      <c r="AG469" s="2" t="s">
        <v>324</v>
      </c>
      <c r="AH469" t="s">
        <v>324</v>
      </c>
      <c r="AI469" t="s">
        <v>324</v>
      </c>
      <c r="AJ469" s="2" t="s">
        <v>324</v>
      </c>
      <c r="AK469" t="s">
        <v>324</v>
      </c>
      <c r="AL469" t="s">
        <v>324</v>
      </c>
      <c r="AM469" s="2" t="s">
        <v>324</v>
      </c>
      <c r="AN469" t="s">
        <v>324</v>
      </c>
      <c r="AO469" s="2" t="s">
        <v>324</v>
      </c>
      <c r="AP469" t="s">
        <v>324</v>
      </c>
      <c r="AQ469" s="2" t="s">
        <v>324</v>
      </c>
      <c r="AR469" t="s">
        <v>324</v>
      </c>
      <c r="AS469" s="2" t="s">
        <v>324</v>
      </c>
      <c r="AT469" t="s">
        <v>324</v>
      </c>
    </row>
    <row r="470" spans="1:46" ht="11.25">
      <c r="A470" t="str">
        <f>HYPERLINK("http://exon.niaid.nih.gov/transcriptome/Tx_amboinensis_sialome/Table_1/links/TX-contig_418.txt","TX-contig_418")</f>
        <v>TX-contig_418</v>
      </c>
      <c r="B470" t="str">
        <f>HYPERLINK("http://exon.niaid.nih.gov/transcriptome/Tx_amboinensis_sialome/Table_1/links/TX-5-90-90-asb-418.txt","Contig-418")</f>
        <v>Contig-418</v>
      </c>
      <c r="C470" t="str">
        <f>HYPERLINK("http://exon.niaid.nih.gov/transcriptome/Tx_amboinensis_sialome/Table_1/links/TX-5-90-90-418-CLU.txt","Contig418")</f>
        <v>Contig418</v>
      </c>
      <c r="D470" s="4">
        <v>1</v>
      </c>
      <c r="E470">
        <v>115</v>
      </c>
      <c r="F470">
        <v>1.7</v>
      </c>
      <c r="G470">
        <v>73.9</v>
      </c>
      <c r="H470">
        <v>96</v>
      </c>
      <c r="I470">
        <v>418</v>
      </c>
      <c r="J470" t="s">
        <v>1272</v>
      </c>
      <c r="K470">
        <v>96</v>
      </c>
      <c r="L470" s="3" t="s">
        <v>1036</v>
      </c>
      <c r="M470" s="4">
        <v>0</v>
      </c>
      <c r="N470" s="4">
        <v>0</v>
      </c>
      <c r="O470" s="4">
        <v>0</v>
      </c>
      <c r="P470" s="4">
        <v>0</v>
      </c>
      <c r="Q470" s="5" t="s">
        <v>1039</v>
      </c>
      <c r="Y470" t="s">
        <v>324</v>
      </c>
      <c r="Z470" s="2" t="s">
        <v>324</v>
      </c>
      <c r="AA470" t="s">
        <v>324</v>
      </c>
      <c r="AB470" t="s">
        <v>324</v>
      </c>
      <c r="AC470" t="s">
        <v>324</v>
      </c>
      <c r="AD470" t="s">
        <v>324</v>
      </c>
      <c r="AE470" t="s">
        <v>324</v>
      </c>
      <c r="AF470" t="s">
        <v>324</v>
      </c>
      <c r="AG470" s="2" t="s">
        <v>324</v>
      </c>
      <c r="AH470" t="s">
        <v>324</v>
      </c>
      <c r="AI470" t="s">
        <v>324</v>
      </c>
      <c r="AJ470" s="2" t="s">
        <v>324</v>
      </c>
      <c r="AK470" t="s">
        <v>324</v>
      </c>
      <c r="AL470" t="s">
        <v>324</v>
      </c>
      <c r="AM470" s="2" t="s">
        <v>324</v>
      </c>
      <c r="AN470" t="s">
        <v>324</v>
      </c>
      <c r="AO470" s="2" t="s">
        <v>324</v>
      </c>
      <c r="AP470" t="s">
        <v>324</v>
      </c>
      <c r="AQ470" s="2" t="s">
        <v>324</v>
      </c>
      <c r="AR470" t="s">
        <v>324</v>
      </c>
      <c r="AS470" s="2" t="s">
        <v>324</v>
      </c>
      <c r="AT470" t="s">
        <v>324</v>
      </c>
    </row>
    <row r="471" spans="1:46" ht="11.25">
      <c r="A471" t="str">
        <f>HYPERLINK("http://exon.niaid.nih.gov/transcriptome/Tx_amboinensis_sialome/Table_1/links/TX-contig_419.txt","TX-contig_419")</f>
        <v>TX-contig_419</v>
      </c>
      <c r="B471" t="str">
        <f>HYPERLINK("http://exon.niaid.nih.gov/transcriptome/Tx_amboinensis_sialome/Table_1/links/TX-5-90-90-asb-419.txt","Contig-419")</f>
        <v>Contig-419</v>
      </c>
      <c r="C471" t="str">
        <f>HYPERLINK("http://exon.niaid.nih.gov/transcriptome/Tx_amboinensis_sialome/Table_1/links/TX-5-90-90-419-CLU.txt","Contig419")</f>
        <v>Contig419</v>
      </c>
      <c r="D471" s="4">
        <v>1</v>
      </c>
      <c r="E471">
        <v>104</v>
      </c>
      <c r="F471" t="s">
        <v>322</v>
      </c>
      <c r="G471">
        <v>76.9</v>
      </c>
      <c r="H471">
        <v>76</v>
      </c>
      <c r="I471">
        <v>419</v>
      </c>
      <c r="J471" t="s">
        <v>1273</v>
      </c>
      <c r="K471">
        <v>76</v>
      </c>
      <c r="L471" s="3" t="s">
        <v>1036</v>
      </c>
      <c r="M471" s="4">
        <v>0</v>
      </c>
      <c r="N471" s="4">
        <v>0</v>
      </c>
      <c r="O471" s="4">
        <v>0</v>
      </c>
      <c r="P471" s="4">
        <v>0</v>
      </c>
      <c r="Q471" s="5" t="s">
        <v>1039</v>
      </c>
      <c r="Y471" t="s">
        <v>324</v>
      </c>
      <c r="Z471" s="2" t="s">
        <v>324</v>
      </c>
      <c r="AA471" t="s">
        <v>324</v>
      </c>
      <c r="AB471" t="s">
        <v>324</v>
      </c>
      <c r="AC471" t="s">
        <v>324</v>
      </c>
      <c r="AD471" t="s">
        <v>324</v>
      </c>
      <c r="AE471" t="s">
        <v>324</v>
      </c>
      <c r="AF471" t="s">
        <v>324</v>
      </c>
      <c r="AG471" s="2" t="s">
        <v>324</v>
      </c>
      <c r="AH471" t="s">
        <v>324</v>
      </c>
      <c r="AI471" t="s">
        <v>324</v>
      </c>
      <c r="AJ471" s="2" t="s">
        <v>324</v>
      </c>
      <c r="AK471" t="s">
        <v>324</v>
      </c>
      <c r="AL471" t="s">
        <v>324</v>
      </c>
      <c r="AM471" s="2" t="s">
        <v>324</v>
      </c>
      <c r="AN471" t="s">
        <v>324</v>
      </c>
      <c r="AO471" s="2" t="str">
        <f>HYPERLINK("http://exon.niaid.nih.gov/transcriptome/Tx_amboinensis_sialome/Table_1/links/SMART\TX-contig_419-SMART.txt","LIGANc")</f>
        <v>LIGANc</v>
      </c>
      <c r="AP471" t="str">
        <f>HYPERLINK("http://smart.embl-heidelberg.de/smart/do_annotation.pl?DOMAIN=LIGANc&amp;BLAST=DUMMY","0.75")</f>
        <v>0.75</v>
      </c>
      <c r="AQ471" s="2" t="s">
        <v>324</v>
      </c>
      <c r="AR471" t="s">
        <v>324</v>
      </c>
      <c r="AS471" s="2" t="s">
        <v>324</v>
      </c>
      <c r="AT471" t="s">
        <v>324</v>
      </c>
    </row>
    <row r="472" spans="1:46" ht="11.25">
      <c r="A472" t="str">
        <f>HYPERLINK("http://exon.niaid.nih.gov/transcriptome/Tx_amboinensis_sialome/Table_1/links/TX-contig_420.txt","TX-contig_420")</f>
        <v>TX-contig_420</v>
      </c>
      <c r="B472" t="str">
        <f>HYPERLINK("http://exon.niaid.nih.gov/transcriptome/Tx_amboinensis_sialome/Table_1/links/TX-5-90-90-asb-420.txt","Contig-420")</f>
        <v>Contig-420</v>
      </c>
      <c r="C472" t="str">
        <f>HYPERLINK("http://exon.niaid.nih.gov/transcriptome/Tx_amboinensis_sialome/Table_1/links/TX-5-90-90-420-CLU.txt","Contig420")</f>
        <v>Contig420</v>
      </c>
      <c r="D472" s="4">
        <v>1</v>
      </c>
      <c r="E472">
        <v>107</v>
      </c>
      <c r="F472" t="s">
        <v>322</v>
      </c>
      <c r="G472">
        <v>75.7</v>
      </c>
      <c r="H472">
        <v>88</v>
      </c>
      <c r="I472">
        <v>420</v>
      </c>
      <c r="J472" t="s">
        <v>1274</v>
      </c>
      <c r="K472">
        <v>88</v>
      </c>
      <c r="L472" s="3" t="s">
        <v>1036</v>
      </c>
      <c r="M472" s="4">
        <v>0</v>
      </c>
      <c r="N472" s="4">
        <v>0</v>
      </c>
      <c r="O472" s="4">
        <v>0</v>
      </c>
      <c r="P472" s="4">
        <v>0</v>
      </c>
      <c r="Q472" s="5" t="s">
        <v>1039</v>
      </c>
      <c r="Y472" t="s">
        <v>324</v>
      </c>
      <c r="Z472" s="2" t="s">
        <v>324</v>
      </c>
      <c r="AA472" t="s">
        <v>324</v>
      </c>
      <c r="AB472" t="s">
        <v>324</v>
      </c>
      <c r="AC472" t="s">
        <v>324</v>
      </c>
      <c r="AD472" t="s">
        <v>324</v>
      </c>
      <c r="AE472" t="s">
        <v>324</v>
      </c>
      <c r="AF472" t="s">
        <v>324</v>
      </c>
      <c r="AG472" s="2" t="s">
        <v>324</v>
      </c>
      <c r="AH472" t="s">
        <v>324</v>
      </c>
      <c r="AI472" t="s">
        <v>324</v>
      </c>
      <c r="AJ472" s="2" t="s">
        <v>324</v>
      </c>
      <c r="AK472" t="s">
        <v>324</v>
      </c>
      <c r="AL472" t="s">
        <v>324</v>
      </c>
      <c r="AM472" s="2" t="s">
        <v>324</v>
      </c>
      <c r="AN472" t="s">
        <v>324</v>
      </c>
      <c r="AO472" s="2" t="s">
        <v>324</v>
      </c>
      <c r="AP472" t="s">
        <v>324</v>
      </c>
      <c r="AQ472" s="2" t="s">
        <v>324</v>
      </c>
      <c r="AR472" t="s">
        <v>324</v>
      </c>
      <c r="AS472" s="2" t="s">
        <v>324</v>
      </c>
      <c r="AT472" t="s">
        <v>324</v>
      </c>
    </row>
    <row r="473" spans="1:46" ht="11.25">
      <c r="A473" t="str">
        <f>HYPERLINK("http://exon.niaid.nih.gov/transcriptome/Tx_amboinensis_sialome/Table_1/links/TX-contig_421.txt","TX-contig_421")</f>
        <v>TX-contig_421</v>
      </c>
      <c r="B473" t="str">
        <f>HYPERLINK("http://exon.niaid.nih.gov/transcriptome/Tx_amboinensis_sialome/Table_1/links/TX-5-90-90-asb-421.txt","Contig-421")</f>
        <v>Contig-421</v>
      </c>
      <c r="C473" t="str">
        <f>HYPERLINK("http://exon.niaid.nih.gov/transcriptome/Tx_amboinensis_sialome/Table_1/links/TX-5-90-90-421-CLU.txt","Contig421")</f>
        <v>Contig421</v>
      </c>
      <c r="D473" s="4">
        <v>1</v>
      </c>
      <c r="E473">
        <v>91</v>
      </c>
      <c r="F473" t="s">
        <v>322</v>
      </c>
      <c r="G473">
        <v>93.4</v>
      </c>
      <c r="H473">
        <v>12</v>
      </c>
      <c r="I473">
        <v>421</v>
      </c>
      <c r="J473" t="s">
        <v>1275</v>
      </c>
      <c r="K473">
        <v>12</v>
      </c>
      <c r="L473" s="3" t="s">
        <v>1036</v>
      </c>
      <c r="M473" s="4">
        <v>0</v>
      </c>
      <c r="N473" s="4">
        <v>0</v>
      </c>
      <c r="O473" s="4">
        <v>0</v>
      </c>
      <c r="P473" s="4">
        <v>0</v>
      </c>
      <c r="Q473" s="5" t="s">
        <v>1039</v>
      </c>
      <c r="Y473" t="s">
        <v>324</v>
      </c>
      <c r="Z473" s="2" t="s">
        <v>324</v>
      </c>
      <c r="AA473" t="s">
        <v>324</v>
      </c>
      <c r="AB473" t="s">
        <v>324</v>
      </c>
      <c r="AC473" t="s">
        <v>324</v>
      </c>
      <c r="AD473" t="s">
        <v>324</v>
      </c>
      <c r="AE473" t="s">
        <v>324</v>
      </c>
      <c r="AF473" t="s">
        <v>324</v>
      </c>
      <c r="AG473" s="2" t="s">
        <v>324</v>
      </c>
      <c r="AH473" t="s">
        <v>324</v>
      </c>
      <c r="AI473" t="s">
        <v>324</v>
      </c>
      <c r="AJ473" s="2" t="s">
        <v>324</v>
      </c>
      <c r="AK473" t="s">
        <v>324</v>
      </c>
      <c r="AL473" t="s">
        <v>324</v>
      </c>
      <c r="AM473" s="2" t="s">
        <v>324</v>
      </c>
      <c r="AN473" t="s">
        <v>324</v>
      </c>
      <c r="AO473" s="2" t="s">
        <v>324</v>
      </c>
      <c r="AP473" t="s">
        <v>324</v>
      </c>
      <c r="AQ473" s="2" t="s">
        <v>324</v>
      </c>
      <c r="AR473" t="s">
        <v>324</v>
      </c>
      <c r="AS473" s="2" t="s">
        <v>324</v>
      </c>
      <c r="AT473" t="s">
        <v>324</v>
      </c>
    </row>
    <row r="474" spans="1:46" ht="11.25">
      <c r="A474" t="str">
        <f>HYPERLINK("http://exon.niaid.nih.gov/transcriptome/Tx_amboinensis_sialome/Table_1/links/TX-contig_423.txt","TX-contig_423")</f>
        <v>TX-contig_423</v>
      </c>
      <c r="B474" t="str">
        <f>HYPERLINK("http://exon.niaid.nih.gov/transcriptome/Tx_amboinensis_sialome/Table_1/links/TX-5-90-90-asb-423.txt","Contig-423")</f>
        <v>Contig-423</v>
      </c>
      <c r="C474" t="str">
        <f>HYPERLINK("http://exon.niaid.nih.gov/transcriptome/Tx_amboinensis_sialome/Table_1/links/TX-5-90-90-423-CLU.txt","Contig423")</f>
        <v>Contig423</v>
      </c>
      <c r="D474" s="4">
        <v>1</v>
      </c>
      <c r="E474">
        <v>109</v>
      </c>
      <c r="F474">
        <v>4.6</v>
      </c>
      <c r="G474">
        <v>65.1</v>
      </c>
      <c r="H474">
        <v>62</v>
      </c>
      <c r="I474">
        <v>423</v>
      </c>
      <c r="J474" t="s">
        <v>1277</v>
      </c>
      <c r="K474">
        <v>62</v>
      </c>
      <c r="L474" s="3" t="s">
        <v>1036</v>
      </c>
      <c r="M474" s="4">
        <v>0</v>
      </c>
      <c r="N474" s="4">
        <v>0</v>
      </c>
      <c r="O474" s="4">
        <v>0</v>
      </c>
      <c r="P474" s="4">
        <v>0</v>
      </c>
      <c r="Q474" s="5" t="s">
        <v>1039</v>
      </c>
      <c r="Y474" t="s">
        <v>324</v>
      </c>
      <c r="Z474" s="2" t="s">
        <v>324</v>
      </c>
      <c r="AA474" t="s">
        <v>324</v>
      </c>
      <c r="AB474" t="s">
        <v>324</v>
      </c>
      <c r="AC474" t="s">
        <v>324</v>
      </c>
      <c r="AD474" t="s">
        <v>324</v>
      </c>
      <c r="AE474" t="s">
        <v>324</v>
      </c>
      <c r="AF474" t="s">
        <v>324</v>
      </c>
      <c r="AG474" s="2" t="s">
        <v>324</v>
      </c>
      <c r="AH474" t="s">
        <v>324</v>
      </c>
      <c r="AI474" t="s">
        <v>324</v>
      </c>
      <c r="AJ474" s="2" t="s">
        <v>324</v>
      </c>
      <c r="AK474" t="s">
        <v>324</v>
      </c>
      <c r="AL474" t="s">
        <v>324</v>
      </c>
      <c r="AM474" s="2" t="s">
        <v>324</v>
      </c>
      <c r="AN474" t="s">
        <v>324</v>
      </c>
      <c r="AO474" s="2" t="s">
        <v>324</v>
      </c>
      <c r="AP474" t="s">
        <v>324</v>
      </c>
      <c r="AQ474" s="2" t="s">
        <v>324</v>
      </c>
      <c r="AR474" t="s">
        <v>324</v>
      </c>
      <c r="AS474" s="2" t="s">
        <v>324</v>
      </c>
      <c r="AT474" t="s">
        <v>324</v>
      </c>
    </row>
    <row r="475" spans="1:46" ht="11.25">
      <c r="A475" t="str">
        <f>HYPERLINK("http://exon.niaid.nih.gov/transcriptome/Tx_amboinensis_sialome/Table_1/links/TX-contig_425.txt","TX-contig_425")</f>
        <v>TX-contig_425</v>
      </c>
      <c r="B475" t="str">
        <f>HYPERLINK("http://exon.niaid.nih.gov/transcriptome/Tx_amboinensis_sialome/Table_1/links/TX-5-90-90-asb-425.txt","Contig-425")</f>
        <v>Contig-425</v>
      </c>
      <c r="C475" t="str">
        <f>HYPERLINK("http://exon.niaid.nih.gov/transcriptome/Tx_amboinensis_sialome/Table_1/links/TX-5-90-90-425-CLU.txt","Contig425")</f>
        <v>Contig425</v>
      </c>
      <c r="D475" s="4">
        <v>1</v>
      </c>
      <c r="E475">
        <v>115</v>
      </c>
      <c r="F475" t="s">
        <v>322</v>
      </c>
      <c r="G475">
        <v>98.3</v>
      </c>
      <c r="H475">
        <v>5</v>
      </c>
      <c r="I475">
        <v>425</v>
      </c>
      <c r="J475" t="s">
        <v>1279</v>
      </c>
      <c r="K475">
        <v>5</v>
      </c>
      <c r="L475" s="3" t="s">
        <v>1036</v>
      </c>
      <c r="M475" s="4">
        <v>0</v>
      </c>
      <c r="N475" s="4">
        <v>0</v>
      </c>
      <c r="O475" s="4">
        <v>0</v>
      </c>
      <c r="P475" s="4">
        <v>0</v>
      </c>
      <c r="Q475" s="5" t="s">
        <v>1039</v>
      </c>
      <c r="Y475" t="s">
        <v>324</v>
      </c>
      <c r="Z475" s="2" t="s">
        <v>324</v>
      </c>
      <c r="AA475" t="s">
        <v>324</v>
      </c>
      <c r="AB475" t="s">
        <v>324</v>
      </c>
      <c r="AC475" t="s">
        <v>324</v>
      </c>
      <c r="AD475" t="s">
        <v>324</v>
      </c>
      <c r="AE475" t="s">
        <v>324</v>
      </c>
      <c r="AF475" t="s">
        <v>324</v>
      </c>
      <c r="AG475" s="2" t="s">
        <v>324</v>
      </c>
      <c r="AH475" t="s">
        <v>324</v>
      </c>
      <c r="AI475" t="s">
        <v>324</v>
      </c>
      <c r="AJ475" s="2" t="s">
        <v>324</v>
      </c>
      <c r="AK475" t="s">
        <v>324</v>
      </c>
      <c r="AL475" t="s">
        <v>324</v>
      </c>
      <c r="AM475" s="2" t="s">
        <v>324</v>
      </c>
      <c r="AN475" t="s">
        <v>324</v>
      </c>
      <c r="AO475" s="2" t="s">
        <v>324</v>
      </c>
      <c r="AP475" t="s">
        <v>324</v>
      </c>
      <c r="AQ475" s="2" t="s">
        <v>324</v>
      </c>
      <c r="AR475" t="s">
        <v>324</v>
      </c>
      <c r="AS475" s="2" t="s">
        <v>324</v>
      </c>
      <c r="AT475" t="s">
        <v>324</v>
      </c>
    </row>
    <row r="476" spans="1:46" ht="11.25">
      <c r="A476" t="str">
        <f>HYPERLINK("http://exon.niaid.nih.gov/transcriptome/Tx_amboinensis_sialome/Table_1/links/TX-contig_429.txt","TX-contig_429")</f>
        <v>TX-contig_429</v>
      </c>
      <c r="B476" t="str">
        <f>HYPERLINK("http://exon.niaid.nih.gov/transcriptome/Tx_amboinensis_sialome/Table_1/links/TX-5-90-90-asb-429.txt","Contig-429")</f>
        <v>Contig-429</v>
      </c>
      <c r="C476" t="str">
        <f>HYPERLINK("http://exon.niaid.nih.gov/transcriptome/Tx_amboinensis_sialome/Table_1/links/TX-5-90-90-429-CLU.txt","Contig429")</f>
        <v>Contig429</v>
      </c>
      <c r="D476" s="4">
        <v>1</v>
      </c>
      <c r="E476">
        <v>105</v>
      </c>
      <c r="F476">
        <v>1.9</v>
      </c>
      <c r="G476">
        <v>88.6</v>
      </c>
      <c r="H476">
        <v>29</v>
      </c>
      <c r="I476">
        <v>429</v>
      </c>
      <c r="J476" t="s">
        <v>1283</v>
      </c>
      <c r="K476">
        <v>29</v>
      </c>
      <c r="L476" s="3" t="s">
        <v>1036</v>
      </c>
      <c r="M476" s="4">
        <v>0</v>
      </c>
      <c r="N476" s="4">
        <v>0</v>
      </c>
      <c r="O476" s="4">
        <v>0</v>
      </c>
      <c r="P476" s="4">
        <v>0</v>
      </c>
      <c r="Q476" s="5" t="s">
        <v>1039</v>
      </c>
      <c r="Y476" t="s">
        <v>324</v>
      </c>
      <c r="Z476" s="2" t="s">
        <v>324</v>
      </c>
      <c r="AA476" t="s">
        <v>324</v>
      </c>
      <c r="AB476" t="s">
        <v>324</v>
      </c>
      <c r="AC476" t="s">
        <v>324</v>
      </c>
      <c r="AD476" t="s">
        <v>324</v>
      </c>
      <c r="AE476" t="s">
        <v>324</v>
      </c>
      <c r="AF476" t="s">
        <v>324</v>
      </c>
      <c r="AG476" s="2" t="s">
        <v>324</v>
      </c>
      <c r="AH476" t="s">
        <v>324</v>
      </c>
      <c r="AI476" t="s">
        <v>324</v>
      </c>
      <c r="AJ476" s="2" t="s">
        <v>324</v>
      </c>
      <c r="AK476" t="s">
        <v>324</v>
      </c>
      <c r="AL476" t="s">
        <v>324</v>
      </c>
      <c r="AM476" s="2" t="s">
        <v>324</v>
      </c>
      <c r="AN476" t="s">
        <v>324</v>
      </c>
      <c r="AO476" s="2" t="s">
        <v>324</v>
      </c>
      <c r="AP476" t="s">
        <v>324</v>
      </c>
      <c r="AQ476" s="2" t="s">
        <v>324</v>
      </c>
      <c r="AR476" t="s">
        <v>324</v>
      </c>
      <c r="AS476" s="2" t="s">
        <v>324</v>
      </c>
      <c r="AT476" t="s">
        <v>324</v>
      </c>
    </row>
    <row r="477" spans="1:46" ht="11.25">
      <c r="A477" t="str">
        <f>HYPERLINK("http://exon.niaid.nih.gov/transcriptome/Tx_amboinensis_sialome/Table_1/links/TX-contig_430.txt","TX-contig_430")</f>
        <v>TX-contig_430</v>
      </c>
      <c r="B477" t="str">
        <f>HYPERLINK("http://exon.niaid.nih.gov/transcriptome/Tx_amboinensis_sialome/Table_1/links/TX-5-90-90-asb-430.txt","Contig-430")</f>
        <v>Contig-430</v>
      </c>
      <c r="C477" t="str">
        <f>HYPERLINK("http://exon.niaid.nih.gov/transcriptome/Tx_amboinensis_sialome/Table_1/links/TX-5-90-90-430-CLU.txt","Contig430")</f>
        <v>Contig430</v>
      </c>
      <c r="D477" s="4">
        <v>1</v>
      </c>
      <c r="E477">
        <v>114</v>
      </c>
      <c r="F477">
        <v>0.9</v>
      </c>
      <c r="G477">
        <v>95.6</v>
      </c>
      <c r="H477">
        <v>7</v>
      </c>
      <c r="I477">
        <v>430</v>
      </c>
      <c r="J477" t="s">
        <v>1284</v>
      </c>
      <c r="K477">
        <v>7</v>
      </c>
      <c r="L477" s="3" t="s">
        <v>1036</v>
      </c>
      <c r="M477" s="4">
        <v>0</v>
      </c>
      <c r="N477" s="4">
        <v>0</v>
      </c>
      <c r="O477" s="4">
        <v>0</v>
      </c>
      <c r="P477" s="4">
        <v>0</v>
      </c>
      <c r="Q477" s="5" t="s">
        <v>1039</v>
      </c>
      <c r="Y477" t="s">
        <v>324</v>
      </c>
      <c r="Z477" s="2" t="s">
        <v>324</v>
      </c>
      <c r="AA477" t="s">
        <v>324</v>
      </c>
      <c r="AB477" t="s">
        <v>324</v>
      </c>
      <c r="AC477" t="s">
        <v>324</v>
      </c>
      <c r="AD477" t="s">
        <v>324</v>
      </c>
      <c r="AE477" t="s">
        <v>324</v>
      </c>
      <c r="AF477" t="s">
        <v>324</v>
      </c>
      <c r="AG477" s="2" t="s">
        <v>324</v>
      </c>
      <c r="AH477" t="s">
        <v>324</v>
      </c>
      <c r="AI477" t="s">
        <v>324</v>
      </c>
      <c r="AJ477" s="2" t="s">
        <v>324</v>
      </c>
      <c r="AK477" t="s">
        <v>324</v>
      </c>
      <c r="AL477" t="s">
        <v>324</v>
      </c>
      <c r="AM477" s="2" t="s">
        <v>324</v>
      </c>
      <c r="AN477" t="s">
        <v>324</v>
      </c>
      <c r="AO477" s="2" t="s">
        <v>324</v>
      </c>
      <c r="AP477" t="s">
        <v>324</v>
      </c>
      <c r="AQ477" s="2" t="s">
        <v>324</v>
      </c>
      <c r="AR477" t="s">
        <v>324</v>
      </c>
      <c r="AS477" s="2" t="s">
        <v>324</v>
      </c>
      <c r="AT477" t="s">
        <v>324</v>
      </c>
    </row>
    <row r="478" spans="1:46" ht="11.25">
      <c r="A478" t="str">
        <f>HYPERLINK("http://exon.niaid.nih.gov/transcriptome/Tx_amboinensis_sialome/Table_1/links/TX-contig_431.txt","TX-contig_431")</f>
        <v>TX-contig_431</v>
      </c>
      <c r="B478" t="str">
        <f>HYPERLINK("http://exon.niaid.nih.gov/transcriptome/Tx_amboinensis_sialome/Table_1/links/TX-5-90-90-asb-431.txt","Contig-431")</f>
        <v>Contig-431</v>
      </c>
      <c r="C478" t="str">
        <f>HYPERLINK("http://exon.niaid.nih.gov/transcriptome/Tx_amboinensis_sialome/Table_1/links/TX-5-90-90-431-CLU.txt","Contig431")</f>
        <v>Contig431</v>
      </c>
      <c r="D478" s="4">
        <v>1</v>
      </c>
      <c r="E478">
        <v>141</v>
      </c>
      <c r="F478">
        <v>1.4</v>
      </c>
      <c r="G478">
        <v>85.8</v>
      </c>
      <c r="H478">
        <v>34</v>
      </c>
      <c r="I478">
        <v>431</v>
      </c>
      <c r="J478" t="s">
        <v>1285</v>
      </c>
      <c r="K478">
        <v>34</v>
      </c>
      <c r="L478" s="3" t="s">
        <v>1036</v>
      </c>
      <c r="M478" s="4">
        <v>0</v>
      </c>
      <c r="N478" s="4">
        <v>0</v>
      </c>
      <c r="O478" s="4">
        <v>0</v>
      </c>
      <c r="P478" s="4">
        <v>0</v>
      </c>
      <c r="Q478" s="5" t="s">
        <v>1039</v>
      </c>
      <c r="Y478" t="s">
        <v>324</v>
      </c>
      <c r="Z478" s="2" t="s">
        <v>324</v>
      </c>
      <c r="AA478" t="s">
        <v>324</v>
      </c>
      <c r="AB478" t="s">
        <v>324</v>
      </c>
      <c r="AC478" t="s">
        <v>324</v>
      </c>
      <c r="AD478" t="s">
        <v>324</v>
      </c>
      <c r="AE478" t="s">
        <v>324</v>
      </c>
      <c r="AF478" t="s">
        <v>324</v>
      </c>
      <c r="AG478" s="2" t="s">
        <v>324</v>
      </c>
      <c r="AH478" t="s">
        <v>324</v>
      </c>
      <c r="AI478" t="s">
        <v>324</v>
      </c>
      <c r="AJ478" s="2" t="s">
        <v>324</v>
      </c>
      <c r="AK478" t="s">
        <v>324</v>
      </c>
      <c r="AL478" t="s">
        <v>324</v>
      </c>
      <c r="AM478" s="2" t="s">
        <v>324</v>
      </c>
      <c r="AN478" t="s">
        <v>324</v>
      </c>
      <c r="AO478" s="2" t="s">
        <v>324</v>
      </c>
      <c r="AP478" t="s">
        <v>324</v>
      </c>
      <c r="AQ478" s="2" t="s">
        <v>324</v>
      </c>
      <c r="AR478" t="s">
        <v>324</v>
      </c>
      <c r="AS478" s="2" t="s">
        <v>324</v>
      </c>
      <c r="AT478" t="s">
        <v>324</v>
      </c>
    </row>
    <row r="479" spans="1:46" ht="11.25">
      <c r="A479" t="str">
        <f>HYPERLINK("http://exon.niaid.nih.gov/transcriptome/Tx_amboinensis_sialome/Table_1/links/TX-contig_432.txt","TX-contig_432")</f>
        <v>TX-contig_432</v>
      </c>
      <c r="B479" t="str">
        <f>HYPERLINK("http://exon.niaid.nih.gov/transcriptome/Tx_amboinensis_sialome/Table_1/links/TX-5-90-90-asb-432.txt","Contig-432")</f>
        <v>Contig-432</v>
      </c>
      <c r="C479" t="str">
        <f>HYPERLINK("http://exon.niaid.nih.gov/transcriptome/Tx_amboinensis_sialome/Table_1/links/TX-5-90-90-432-CLU.txt","Contig432")</f>
        <v>Contig432</v>
      </c>
      <c r="D479" s="4">
        <v>1</v>
      </c>
      <c r="E479">
        <v>134</v>
      </c>
      <c r="F479">
        <v>0.7</v>
      </c>
      <c r="G479">
        <v>97</v>
      </c>
      <c r="H479">
        <v>8</v>
      </c>
      <c r="I479">
        <v>432</v>
      </c>
      <c r="J479" t="s">
        <v>1286</v>
      </c>
      <c r="K479">
        <v>8</v>
      </c>
      <c r="L479" s="3" t="s">
        <v>1036</v>
      </c>
      <c r="M479" s="4">
        <v>0</v>
      </c>
      <c r="N479" s="4">
        <v>0</v>
      </c>
      <c r="O479" s="4">
        <v>0</v>
      </c>
      <c r="P479" s="4">
        <v>0</v>
      </c>
      <c r="Q479" s="5" t="s">
        <v>1039</v>
      </c>
      <c r="Y479" t="s">
        <v>324</v>
      </c>
      <c r="Z479" s="2" t="s">
        <v>324</v>
      </c>
      <c r="AA479" t="s">
        <v>324</v>
      </c>
      <c r="AB479" t="s">
        <v>324</v>
      </c>
      <c r="AC479" t="s">
        <v>324</v>
      </c>
      <c r="AD479" t="s">
        <v>324</v>
      </c>
      <c r="AE479" t="s">
        <v>324</v>
      </c>
      <c r="AF479" t="s">
        <v>324</v>
      </c>
      <c r="AG479" s="2" t="s">
        <v>324</v>
      </c>
      <c r="AH479" t="s">
        <v>324</v>
      </c>
      <c r="AI479" t="s">
        <v>324</v>
      </c>
      <c r="AJ479" s="2" t="s">
        <v>324</v>
      </c>
      <c r="AK479" t="s">
        <v>324</v>
      </c>
      <c r="AL479" t="s">
        <v>324</v>
      </c>
      <c r="AM479" s="2" t="s">
        <v>324</v>
      </c>
      <c r="AN479" t="s">
        <v>324</v>
      </c>
      <c r="AO479" s="2" t="s">
        <v>324</v>
      </c>
      <c r="AP479" t="s">
        <v>324</v>
      </c>
      <c r="AQ479" s="2" t="s">
        <v>324</v>
      </c>
      <c r="AR479" t="s">
        <v>324</v>
      </c>
      <c r="AS479" s="2" t="s">
        <v>324</v>
      </c>
      <c r="AT479" t="s">
        <v>324</v>
      </c>
    </row>
    <row r="480" spans="1:46" ht="11.25">
      <c r="A480" t="str">
        <f>HYPERLINK("http://exon.niaid.nih.gov/transcriptome/Tx_amboinensis_sialome/Table_1/links/TX-contig_434.txt","TX-contig_434")</f>
        <v>TX-contig_434</v>
      </c>
      <c r="B480" t="str">
        <f>HYPERLINK("http://exon.niaid.nih.gov/transcriptome/Tx_amboinensis_sialome/Table_1/links/TX-5-90-90-asb-434.txt","Contig-434")</f>
        <v>Contig-434</v>
      </c>
      <c r="C480" t="str">
        <f>HYPERLINK("http://exon.niaid.nih.gov/transcriptome/Tx_amboinensis_sialome/Table_1/links/TX-5-90-90-434-CLU.txt","Contig434")</f>
        <v>Contig434</v>
      </c>
      <c r="D480" s="4">
        <v>1</v>
      </c>
      <c r="E480">
        <v>139</v>
      </c>
      <c r="F480" t="s">
        <v>322</v>
      </c>
      <c r="G480">
        <v>95</v>
      </c>
      <c r="H480">
        <v>30</v>
      </c>
      <c r="I480">
        <v>434</v>
      </c>
      <c r="J480" t="s">
        <v>1288</v>
      </c>
      <c r="K480">
        <v>30</v>
      </c>
      <c r="L480" s="3" t="s">
        <v>1036</v>
      </c>
      <c r="M480" s="4">
        <v>0</v>
      </c>
      <c r="N480" s="4">
        <v>0</v>
      </c>
      <c r="O480" s="4">
        <v>0</v>
      </c>
      <c r="P480" s="4">
        <v>0</v>
      </c>
      <c r="Q480" s="5" t="s">
        <v>1039</v>
      </c>
      <c r="Y480" t="s">
        <v>324</v>
      </c>
      <c r="Z480" s="2" t="s">
        <v>324</v>
      </c>
      <c r="AA480" t="s">
        <v>324</v>
      </c>
      <c r="AB480" t="s">
        <v>324</v>
      </c>
      <c r="AC480" t="s">
        <v>324</v>
      </c>
      <c r="AD480" t="s">
        <v>324</v>
      </c>
      <c r="AE480" t="s">
        <v>324</v>
      </c>
      <c r="AF480" t="s">
        <v>324</v>
      </c>
      <c r="AG480" s="2" t="s">
        <v>324</v>
      </c>
      <c r="AH480" t="s">
        <v>324</v>
      </c>
      <c r="AI480" t="s">
        <v>324</v>
      </c>
      <c r="AJ480" s="2" t="s">
        <v>324</v>
      </c>
      <c r="AK480" t="s">
        <v>324</v>
      </c>
      <c r="AL480" t="s">
        <v>324</v>
      </c>
      <c r="AM480" s="2" t="s">
        <v>324</v>
      </c>
      <c r="AN480" t="s">
        <v>324</v>
      </c>
      <c r="AO480" s="2" t="s">
        <v>324</v>
      </c>
      <c r="AP480" t="s">
        <v>324</v>
      </c>
      <c r="AQ480" s="2" t="s">
        <v>324</v>
      </c>
      <c r="AR480" t="s">
        <v>324</v>
      </c>
      <c r="AS480" s="2" t="s">
        <v>324</v>
      </c>
      <c r="AT480" t="s">
        <v>324</v>
      </c>
    </row>
    <row r="481" spans="1:46" ht="11.25">
      <c r="A481" t="str">
        <f>HYPERLINK("http://exon.niaid.nih.gov/transcriptome/Tx_amboinensis_sialome/Table_1/links/TX-contig_435.txt","TX-contig_435")</f>
        <v>TX-contig_435</v>
      </c>
      <c r="B481" t="str">
        <f>HYPERLINK("http://exon.niaid.nih.gov/transcriptome/Tx_amboinensis_sialome/Table_1/links/TX-5-90-90-asb-435.txt","Contig-435")</f>
        <v>Contig-435</v>
      </c>
      <c r="C481" t="str">
        <f>HYPERLINK("http://exon.niaid.nih.gov/transcriptome/Tx_amboinensis_sialome/Table_1/links/TX-5-90-90-435-CLU.txt","Contig435")</f>
        <v>Contig435</v>
      </c>
      <c r="D481" s="4">
        <v>1</v>
      </c>
      <c r="E481">
        <v>98</v>
      </c>
      <c r="F481">
        <v>4.1</v>
      </c>
      <c r="G481">
        <v>87.8</v>
      </c>
      <c r="H481">
        <v>17</v>
      </c>
      <c r="I481">
        <v>435</v>
      </c>
      <c r="J481" t="s">
        <v>1289</v>
      </c>
      <c r="K481">
        <v>17</v>
      </c>
      <c r="L481" s="3" t="s">
        <v>1036</v>
      </c>
      <c r="M481" s="4">
        <v>0</v>
      </c>
      <c r="N481" s="4">
        <v>0</v>
      </c>
      <c r="O481" s="4">
        <v>0</v>
      </c>
      <c r="P481" s="4">
        <v>0</v>
      </c>
      <c r="Q481" s="5" t="s">
        <v>1039</v>
      </c>
      <c r="Y481" t="s">
        <v>324</v>
      </c>
      <c r="Z481" s="2" t="s">
        <v>324</v>
      </c>
      <c r="AA481" t="s">
        <v>324</v>
      </c>
      <c r="AB481" t="s">
        <v>324</v>
      </c>
      <c r="AC481" t="s">
        <v>324</v>
      </c>
      <c r="AD481" t="s">
        <v>324</v>
      </c>
      <c r="AE481" t="s">
        <v>324</v>
      </c>
      <c r="AF481" t="s">
        <v>324</v>
      </c>
      <c r="AG481" s="2" t="s">
        <v>324</v>
      </c>
      <c r="AH481" t="s">
        <v>324</v>
      </c>
      <c r="AI481" t="s">
        <v>324</v>
      </c>
      <c r="AJ481" s="2" t="s">
        <v>324</v>
      </c>
      <c r="AK481" t="s">
        <v>324</v>
      </c>
      <c r="AL481" t="s">
        <v>324</v>
      </c>
      <c r="AM481" s="2" t="s">
        <v>324</v>
      </c>
      <c r="AN481" t="s">
        <v>324</v>
      </c>
      <c r="AO481" s="2" t="s">
        <v>324</v>
      </c>
      <c r="AP481" t="s">
        <v>324</v>
      </c>
      <c r="AQ481" s="2" t="s">
        <v>324</v>
      </c>
      <c r="AR481" t="s">
        <v>324</v>
      </c>
      <c r="AS481" s="2" t="s">
        <v>324</v>
      </c>
      <c r="AT481" t="s">
        <v>324</v>
      </c>
    </row>
    <row r="482" spans="1:46" ht="11.25">
      <c r="A482" t="str">
        <f>HYPERLINK("http://exon.niaid.nih.gov/transcriptome/Tx_amboinensis_sialome/Table_1/links/TX-contig_441.txt","TX-contig_441")</f>
        <v>TX-contig_441</v>
      </c>
      <c r="B482" t="str">
        <f>HYPERLINK("http://exon.niaid.nih.gov/transcriptome/Tx_amboinensis_sialome/Table_1/links/TX-5-90-90-asb-441.txt","Contig-441")</f>
        <v>Contig-441</v>
      </c>
      <c r="C482" t="str">
        <f>HYPERLINK("http://exon.niaid.nih.gov/transcriptome/Tx_amboinensis_sialome/Table_1/links/TX-5-90-90-441-CLU.txt","Contig441")</f>
        <v>Contig441</v>
      </c>
      <c r="D482" s="4">
        <v>1</v>
      </c>
      <c r="E482">
        <v>151</v>
      </c>
      <c r="F482" t="s">
        <v>322</v>
      </c>
      <c r="G482">
        <v>53.6</v>
      </c>
      <c r="H482">
        <v>132</v>
      </c>
      <c r="I482">
        <v>441</v>
      </c>
      <c r="J482" t="s">
        <v>1295</v>
      </c>
      <c r="K482">
        <v>132</v>
      </c>
      <c r="L482" s="3" t="s">
        <v>1036</v>
      </c>
      <c r="M482" s="4">
        <v>0</v>
      </c>
      <c r="N482" s="4">
        <v>0</v>
      </c>
      <c r="O482" s="4">
        <v>0</v>
      </c>
      <c r="P482" s="4">
        <v>0</v>
      </c>
      <c r="Q482" s="5" t="s">
        <v>1039</v>
      </c>
      <c r="Y482" t="s">
        <v>324</v>
      </c>
      <c r="Z482" s="2" t="s">
        <v>324</v>
      </c>
      <c r="AA482" t="s">
        <v>324</v>
      </c>
      <c r="AB482" t="s">
        <v>324</v>
      </c>
      <c r="AC482" t="s">
        <v>324</v>
      </c>
      <c r="AD482" t="s">
        <v>324</v>
      </c>
      <c r="AE482" t="s">
        <v>324</v>
      </c>
      <c r="AF482" t="s">
        <v>324</v>
      </c>
      <c r="AG482" s="2" t="s">
        <v>324</v>
      </c>
      <c r="AH482" t="s">
        <v>324</v>
      </c>
      <c r="AI482" t="s">
        <v>324</v>
      </c>
      <c r="AJ482" s="2" t="s">
        <v>324</v>
      </c>
      <c r="AK482" t="s">
        <v>324</v>
      </c>
      <c r="AL482" t="s">
        <v>324</v>
      </c>
      <c r="AM482" s="2" t="s">
        <v>324</v>
      </c>
      <c r="AN482" t="s">
        <v>324</v>
      </c>
      <c r="AO482" s="2" t="str">
        <f>HYPERLINK("http://exon.niaid.nih.gov/transcriptome/Tx_amboinensis_sialome/Table_1/links/SMART\TX-contig_441-SMART.txt","SO")</f>
        <v>SO</v>
      </c>
      <c r="AP482" t="str">
        <f>HYPERLINK("http://smart.embl-heidelberg.de/smart/do_annotation.pl?DOMAIN=SO&amp;BLAST=DUMMY","0.35")</f>
        <v>0.35</v>
      </c>
      <c r="AQ482" s="2" t="s">
        <v>324</v>
      </c>
      <c r="AR482" t="s">
        <v>324</v>
      </c>
      <c r="AS482" s="2" t="s">
        <v>324</v>
      </c>
      <c r="AT482" t="s">
        <v>324</v>
      </c>
    </row>
    <row r="483" spans="1:46" ht="11.25">
      <c r="A483" t="str">
        <f>HYPERLINK("http://exon.niaid.nih.gov/transcriptome/Tx_amboinensis_sialome/Table_1/links/TX-contig_442.txt","TX-contig_442")</f>
        <v>TX-contig_442</v>
      </c>
      <c r="B483" t="str">
        <f>HYPERLINK("http://exon.niaid.nih.gov/transcriptome/Tx_amboinensis_sialome/Table_1/links/TX-5-90-90-asb-442.txt","Contig-442")</f>
        <v>Contig-442</v>
      </c>
      <c r="C483" t="str">
        <f>HYPERLINK("http://exon.niaid.nih.gov/transcriptome/Tx_amboinensis_sialome/Table_1/links/TX-5-90-90-442-CLU.txt","Contig442")</f>
        <v>Contig442</v>
      </c>
      <c r="D483" s="4">
        <v>1</v>
      </c>
      <c r="E483">
        <v>133</v>
      </c>
      <c r="F483">
        <v>3.8</v>
      </c>
      <c r="G483">
        <v>83.5</v>
      </c>
      <c r="H483">
        <v>47</v>
      </c>
      <c r="I483">
        <v>442</v>
      </c>
      <c r="J483" t="s">
        <v>1296</v>
      </c>
      <c r="K483">
        <v>47</v>
      </c>
      <c r="L483" s="3" t="s">
        <v>1036</v>
      </c>
      <c r="M483" s="4">
        <v>0</v>
      </c>
      <c r="N483" s="4">
        <v>0</v>
      </c>
      <c r="O483" s="4">
        <v>0</v>
      </c>
      <c r="P483" s="4">
        <v>0</v>
      </c>
      <c r="Q483" s="5" t="s">
        <v>1039</v>
      </c>
      <c r="Y483" t="s">
        <v>324</v>
      </c>
      <c r="Z483" s="2" t="s">
        <v>324</v>
      </c>
      <c r="AA483" t="s">
        <v>324</v>
      </c>
      <c r="AB483" t="s">
        <v>324</v>
      </c>
      <c r="AC483" t="s">
        <v>324</v>
      </c>
      <c r="AD483" t="s">
        <v>324</v>
      </c>
      <c r="AE483" t="s">
        <v>324</v>
      </c>
      <c r="AF483" t="s">
        <v>324</v>
      </c>
      <c r="AG483" s="2" t="s">
        <v>324</v>
      </c>
      <c r="AH483" t="s">
        <v>324</v>
      </c>
      <c r="AI483" t="s">
        <v>324</v>
      </c>
      <c r="AJ483" s="2" t="s">
        <v>324</v>
      </c>
      <c r="AK483" t="s">
        <v>324</v>
      </c>
      <c r="AL483" t="s">
        <v>324</v>
      </c>
      <c r="AM483" s="2" t="s">
        <v>324</v>
      </c>
      <c r="AN483" t="s">
        <v>324</v>
      </c>
      <c r="AO483" s="2" t="s">
        <v>324</v>
      </c>
      <c r="AP483" t="s">
        <v>324</v>
      </c>
      <c r="AQ483" s="2" t="s">
        <v>324</v>
      </c>
      <c r="AR483" t="s">
        <v>324</v>
      </c>
      <c r="AS483" s="2" t="s">
        <v>324</v>
      </c>
      <c r="AT483" t="s">
        <v>324</v>
      </c>
    </row>
    <row r="484" spans="1:46" ht="11.25">
      <c r="A484" t="str">
        <f>HYPERLINK("http://exon.niaid.nih.gov/transcriptome/Tx_amboinensis_sialome/Table_1/links/TX-contig_447.txt","TX-contig_447")</f>
        <v>TX-contig_447</v>
      </c>
      <c r="B484" t="str">
        <f>HYPERLINK("http://exon.niaid.nih.gov/transcriptome/Tx_amboinensis_sialome/Table_1/links/TX-5-90-90-asb-447.txt","Contig-447")</f>
        <v>Contig-447</v>
      </c>
      <c r="C484" t="str">
        <f>HYPERLINK("http://exon.niaid.nih.gov/transcriptome/Tx_amboinensis_sialome/Table_1/links/TX-5-90-90-447-CLU.txt","Contig447")</f>
        <v>Contig447</v>
      </c>
      <c r="D484" s="4">
        <v>1</v>
      </c>
      <c r="E484">
        <v>200</v>
      </c>
      <c r="F484">
        <v>4</v>
      </c>
      <c r="G484">
        <v>55.5</v>
      </c>
      <c r="H484">
        <v>181</v>
      </c>
      <c r="I484">
        <v>447</v>
      </c>
      <c r="J484" t="s">
        <v>617</v>
      </c>
      <c r="K484">
        <v>181</v>
      </c>
      <c r="L484" s="3" t="s">
        <v>1036</v>
      </c>
      <c r="M484" s="4">
        <v>0</v>
      </c>
      <c r="N484" s="4">
        <v>0</v>
      </c>
      <c r="O484" s="4">
        <v>0</v>
      </c>
      <c r="P484" s="4">
        <v>0</v>
      </c>
      <c r="Q484" s="5" t="s">
        <v>1039</v>
      </c>
      <c r="Y484" t="s">
        <v>324</v>
      </c>
      <c r="Z484" s="2" t="s">
        <v>324</v>
      </c>
      <c r="AA484" t="s">
        <v>324</v>
      </c>
      <c r="AB484" t="s">
        <v>324</v>
      </c>
      <c r="AC484" t="s">
        <v>324</v>
      </c>
      <c r="AD484" t="s">
        <v>324</v>
      </c>
      <c r="AE484" t="s">
        <v>324</v>
      </c>
      <c r="AF484" t="s">
        <v>324</v>
      </c>
      <c r="AG484" s="2" t="s">
        <v>324</v>
      </c>
      <c r="AH484" t="s">
        <v>324</v>
      </c>
      <c r="AI484" t="s">
        <v>324</v>
      </c>
      <c r="AJ484" s="2" t="s">
        <v>324</v>
      </c>
      <c r="AK484" t="s">
        <v>324</v>
      </c>
      <c r="AL484" t="s">
        <v>324</v>
      </c>
      <c r="AM484" s="2" t="s">
        <v>324</v>
      </c>
      <c r="AN484" t="s">
        <v>324</v>
      </c>
      <c r="AO484" s="2" t="s">
        <v>324</v>
      </c>
      <c r="AP484" t="s">
        <v>324</v>
      </c>
      <c r="AQ484" s="2" t="s">
        <v>324</v>
      </c>
      <c r="AR484" t="s">
        <v>324</v>
      </c>
      <c r="AS484" s="2" t="s">
        <v>324</v>
      </c>
      <c r="AT484" t="s">
        <v>324</v>
      </c>
    </row>
    <row r="485" spans="1:46" ht="11.25">
      <c r="A485" t="str">
        <f>HYPERLINK("http://exon.niaid.nih.gov/transcriptome/Tx_amboinensis_sialome/Table_1/links/TX-contig_448.txt","TX-contig_448")</f>
        <v>TX-contig_448</v>
      </c>
      <c r="B485" t="str">
        <f>HYPERLINK("http://exon.niaid.nih.gov/transcriptome/Tx_amboinensis_sialome/Table_1/links/TX-5-90-90-asb-448.txt","Contig-448")</f>
        <v>Contig-448</v>
      </c>
      <c r="C485" t="str">
        <f>HYPERLINK("http://exon.niaid.nih.gov/transcriptome/Tx_amboinensis_sialome/Table_1/links/TX-5-90-90-448-CLU.txt","Contig448")</f>
        <v>Contig448</v>
      </c>
      <c r="D485" s="4">
        <v>1</v>
      </c>
      <c r="E485">
        <v>106</v>
      </c>
      <c r="F485" t="s">
        <v>322</v>
      </c>
      <c r="G485">
        <v>82.1</v>
      </c>
      <c r="H485">
        <v>78</v>
      </c>
      <c r="I485">
        <v>448</v>
      </c>
      <c r="J485" t="s">
        <v>618</v>
      </c>
      <c r="K485">
        <v>78</v>
      </c>
      <c r="L485" s="3" t="s">
        <v>1036</v>
      </c>
      <c r="M485" s="4">
        <v>0</v>
      </c>
      <c r="N485" s="4">
        <v>0</v>
      </c>
      <c r="O485" s="4">
        <v>0</v>
      </c>
      <c r="P485" s="4">
        <v>0</v>
      </c>
      <c r="Q485" s="5" t="s">
        <v>1039</v>
      </c>
      <c r="Y485" t="s">
        <v>324</v>
      </c>
      <c r="Z485" s="2" t="s">
        <v>324</v>
      </c>
      <c r="AA485" t="s">
        <v>324</v>
      </c>
      <c r="AB485" t="s">
        <v>324</v>
      </c>
      <c r="AC485" t="s">
        <v>324</v>
      </c>
      <c r="AD485" t="s">
        <v>324</v>
      </c>
      <c r="AE485" t="s">
        <v>324</v>
      </c>
      <c r="AF485" t="s">
        <v>324</v>
      </c>
      <c r="AG485" s="2" t="s">
        <v>324</v>
      </c>
      <c r="AH485" t="s">
        <v>324</v>
      </c>
      <c r="AI485" t="s">
        <v>324</v>
      </c>
      <c r="AJ485" s="2" t="s">
        <v>324</v>
      </c>
      <c r="AK485" t="s">
        <v>324</v>
      </c>
      <c r="AL485" t="s">
        <v>324</v>
      </c>
      <c r="AM485" s="2" t="s">
        <v>324</v>
      </c>
      <c r="AN485" t="s">
        <v>324</v>
      </c>
      <c r="AO485" s="2" t="s">
        <v>324</v>
      </c>
      <c r="AP485" t="s">
        <v>324</v>
      </c>
      <c r="AQ485" s="2" t="s">
        <v>324</v>
      </c>
      <c r="AR485" t="s">
        <v>324</v>
      </c>
      <c r="AS485" s="2" t="s">
        <v>324</v>
      </c>
      <c r="AT485" t="s">
        <v>324</v>
      </c>
    </row>
    <row r="486" spans="1:46" ht="11.25">
      <c r="A486" t="str">
        <f>HYPERLINK("http://exon.niaid.nih.gov/transcriptome/Tx_amboinensis_sialome/Table_1/links/TX-contig_449.txt","TX-contig_449")</f>
        <v>TX-contig_449</v>
      </c>
      <c r="B486" t="str">
        <f>HYPERLINK("http://exon.niaid.nih.gov/transcriptome/Tx_amboinensis_sialome/Table_1/links/TX-5-90-90-asb-449.txt","Contig-449")</f>
        <v>Contig-449</v>
      </c>
      <c r="C486" t="str">
        <f>HYPERLINK("http://exon.niaid.nih.gov/transcriptome/Tx_amboinensis_sialome/Table_1/links/TX-5-90-90-449-CLU.txt","Contig449")</f>
        <v>Contig449</v>
      </c>
      <c r="D486" s="4">
        <v>1</v>
      </c>
      <c r="E486">
        <v>107</v>
      </c>
      <c r="F486">
        <v>1.9</v>
      </c>
      <c r="G486">
        <v>98.1</v>
      </c>
      <c r="H486">
        <v>1</v>
      </c>
      <c r="I486">
        <v>449</v>
      </c>
      <c r="J486" t="s">
        <v>619</v>
      </c>
      <c r="K486">
        <v>1</v>
      </c>
      <c r="L486" s="3" t="s">
        <v>1036</v>
      </c>
      <c r="M486" s="4">
        <v>0</v>
      </c>
      <c r="N486" s="4">
        <v>0</v>
      </c>
      <c r="O486" s="4">
        <v>0</v>
      </c>
      <c r="P486" s="4">
        <v>0</v>
      </c>
      <c r="Q486" s="5" t="s">
        <v>1039</v>
      </c>
      <c r="Y486" t="s">
        <v>324</v>
      </c>
      <c r="Z486" s="2" t="s">
        <v>324</v>
      </c>
      <c r="AA486" t="s">
        <v>324</v>
      </c>
      <c r="AB486" t="s">
        <v>324</v>
      </c>
      <c r="AC486" t="s">
        <v>324</v>
      </c>
      <c r="AD486" t="s">
        <v>324</v>
      </c>
      <c r="AE486" t="s">
        <v>324</v>
      </c>
      <c r="AF486" t="s">
        <v>324</v>
      </c>
      <c r="AG486" s="2" t="s">
        <v>324</v>
      </c>
      <c r="AH486" t="s">
        <v>324</v>
      </c>
      <c r="AI486" t="s">
        <v>324</v>
      </c>
      <c r="AJ486" s="2" t="s">
        <v>324</v>
      </c>
      <c r="AK486" t="s">
        <v>324</v>
      </c>
      <c r="AL486" t="s">
        <v>324</v>
      </c>
      <c r="AM486" s="2" t="s">
        <v>324</v>
      </c>
      <c r="AN486" t="s">
        <v>324</v>
      </c>
      <c r="AO486" s="2" t="s">
        <v>324</v>
      </c>
      <c r="AP486" t="s">
        <v>324</v>
      </c>
      <c r="AQ486" s="2" t="s">
        <v>324</v>
      </c>
      <c r="AR486" t="s">
        <v>324</v>
      </c>
      <c r="AS486" s="2" t="s">
        <v>324</v>
      </c>
      <c r="AT486" t="s">
        <v>324</v>
      </c>
    </row>
    <row r="487" spans="1:46" ht="11.25">
      <c r="A487" t="str">
        <f>HYPERLINK("http://exon.niaid.nih.gov/transcriptome/Tx_amboinensis_sialome/Table_1/links/TX-contig_451.txt","TX-contig_451")</f>
        <v>TX-contig_451</v>
      </c>
      <c r="B487" t="str">
        <f>HYPERLINK("http://exon.niaid.nih.gov/transcriptome/Tx_amboinensis_sialome/Table_1/links/TX-5-90-90-asb-451.txt","Contig-451")</f>
        <v>Contig-451</v>
      </c>
      <c r="C487" t="str">
        <f>HYPERLINK("http://exon.niaid.nih.gov/transcriptome/Tx_amboinensis_sialome/Table_1/links/TX-5-90-90-451-CLU.txt","Contig451")</f>
        <v>Contig451</v>
      </c>
      <c r="D487" s="4">
        <v>1</v>
      </c>
      <c r="E487">
        <v>152</v>
      </c>
      <c r="F487">
        <v>1.3</v>
      </c>
      <c r="G487">
        <v>80.3</v>
      </c>
      <c r="H487">
        <v>48</v>
      </c>
      <c r="I487">
        <v>451</v>
      </c>
      <c r="J487" t="s">
        <v>621</v>
      </c>
      <c r="K487">
        <v>48</v>
      </c>
      <c r="L487" s="3" t="s">
        <v>1036</v>
      </c>
      <c r="M487" s="4">
        <v>0</v>
      </c>
      <c r="N487" s="4">
        <v>0</v>
      </c>
      <c r="O487" s="4">
        <v>0</v>
      </c>
      <c r="P487" s="4">
        <v>0</v>
      </c>
      <c r="Q487" s="5" t="s">
        <v>1039</v>
      </c>
      <c r="Y487" t="s">
        <v>324</v>
      </c>
      <c r="Z487" s="2" t="s">
        <v>324</v>
      </c>
      <c r="AA487" t="s">
        <v>324</v>
      </c>
      <c r="AB487" t="s">
        <v>324</v>
      </c>
      <c r="AC487" t="s">
        <v>324</v>
      </c>
      <c r="AD487" t="s">
        <v>324</v>
      </c>
      <c r="AE487" t="s">
        <v>324</v>
      </c>
      <c r="AF487" t="s">
        <v>324</v>
      </c>
      <c r="AG487" s="2" t="s">
        <v>324</v>
      </c>
      <c r="AH487" t="s">
        <v>324</v>
      </c>
      <c r="AI487" t="s">
        <v>324</v>
      </c>
      <c r="AJ487" s="2" t="s">
        <v>324</v>
      </c>
      <c r="AK487" t="s">
        <v>324</v>
      </c>
      <c r="AL487" t="s">
        <v>324</v>
      </c>
      <c r="AM487" s="2" t="s">
        <v>324</v>
      </c>
      <c r="AN487" t="s">
        <v>324</v>
      </c>
      <c r="AO487" s="2" t="s">
        <v>324</v>
      </c>
      <c r="AP487" t="s">
        <v>324</v>
      </c>
      <c r="AQ487" s="2" t="s">
        <v>324</v>
      </c>
      <c r="AR487" t="s">
        <v>324</v>
      </c>
      <c r="AS487" s="2" t="s">
        <v>324</v>
      </c>
      <c r="AT487" t="s">
        <v>324</v>
      </c>
    </row>
    <row r="488" spans="1:46" ht="11.25">
      <c r="A488" t="str">
        <f>HYPERLINK("http://exon.niaid.nih.gov/transcriptome/Tx_amboinensis_sialome/Table_1/links/TX-contig_453.txt","TX-contig_453")</f>
        <v>TX-contig_453</v>
      </c>
      <c r="B488" t="str">
        <f>HYPERLINK("http://exon.niaid.nih.gov/transcriptome/Tx_amboinensis_sialome/Table_1/links/TX-5-90-90-asb-453.txt","Contig-453")</f>
        <v>Contig-453</v>
      </c>
      <c r="C488" t="str">
        <f>HYPERLINK("http://exon.niaid.nih.gov/transcriptome/Tx_amboinensis_sialome/Table_1/links/TX-5-90-90-453-CLU.txt","Contig453")</f>
        <v>Contig453</v>
      </c>
      <c r="D488" s="4">
        <v>1</v>
      </c>
      <c r="E488">
        <v>102</v>
      </c>
      <c r="F488" t="s">
        <v>322</v>
      </c>
      <c r="G488">
        <v>88.2</v>
      </c>
      <c r="H488">
        <v>34</v>
      </c>
      <c r="I488">
        <v>453</v>
      </c>
      <c r="J488" t="s">
        <v>623</v>
      </c>
      <c r="K488">
        <v>34</v>
      </c>
      <c r="L488" s="3" t="s">
        <v>1036</v>
      </c>
      <c r="M488" s="4">
        <v>0</v>
      </c>
      <c r="N488" s="4">
        <v>0</v>
      </c>
      <c r="O488" s="4">
        <v>0</v>
      </c>
      <c r="P488" s="4">
        <v>0</v>
      </c>
      <c r="Q488" s="5" t="s">
        <v>1039</v>
      </c>
      <c r="Y488" t="s">
        <v>324</v>
      </c>
      <c r="Z488" s="2" t="s">
        <v>324</v>
      </c>
      <c r="AA488" t="s">
        <v>324</v>
      </c>
      <c r="AB488" t="s">
        <v>324</v>
      </c>
      <c r="AC488" t="s">
        <v>324</v>
      </c>
      <c r="AD488" t="s">
        <v>324</v>
      </c>
      <c r="AE488" t="s">
        <v>324</v>
      </c>
      <c r="AF488" t="s">
        <v>324</v>
      </c>
      <c r="AG488" s="2" t="s">
        <v>324</v>
      </c>
      <c r="AH488" t="s">
        <v>324</v>
      </c>
      <c r="AI488" t="s">
        <v>324</v>
      </c>
      <c r="AJ488" s="2" t="s">
        <v>324</v>
      </c>
      <c r="AK488" t="s">
        <v>324</v>
      </c>
      <c r="AL488" t="s">
        <v>324</v>
      </c>
      <c r="AM488" s="2" t="s">
        <v>324</v>
      </c>
      <c r="AN488" t="s">
        <v>324</v>
      </c>
      <c r="AO488" s="2" t="s">
        <v>324</v>
      </c>
      <c r="AP488" t="s">
        <v>324</v>
      </c>
      <c r="AQ488" s="2" t="s">
        <v>324</v>
      </c>
      <c r="AR488" t="s">
        <v>324</v>
      </c>
      <c r="AS488" s="2" t="s">
        <v>324</v>
      </c>
      <c r="AT488" t="s">
        <v>324</v>
      </c>
    </row>
    <row r="489" spans="1:46" ht="11.25">
      <c r="A489" t="str">
        <f>HYPERLINK("http://exon.niaid.nih.gov/transcriptome/Tx_amboinensis_sialome/Table_1/links/TX-contig_457.txt","TX-contig_457")</f>
        <v>TX-contig_457</v>
      </c>
      <c r="B489" t="str">
        <f>HYPERLINK("http://exon.niaid.nih.gov/transcriptome/Tx_amboinensis_sialome/Table_1/links/TX-5-90-90-asb-457.txt","Contig-457")</f>
        <v>Contig-457</v>
      </c>
      <c r="C489" t="str">
        <f>HYPERLINK("http://exon.niaid.nih.gov/transcriptome/Tx_amboinensis_sialome/Table_1/links/TX-5-90-90-457-CLU.txt","Contig457")</f>
        <v>Contig457</v>
      </c>
      <c r="D489" s="4">
        <v>1</v>
      </c>
      <c r="E489">
        <v>92</v>
      </c>
      <c r="F489" t="s">
        <v>322</v>
      </c>
      <c r="G489">
        <v>92.4</v>
      </c>
      <c r="H489">
        <v>29</v>
      </c>
      <c r="I489">
        <v>457</v>
      </c>
      <c r="J489" t="s">
        <v>627</v>
      </c>
      <c r="K489">
        <v>29</v>
      </c>
      <c r="L489" s="3" t="s">
        <v>1036</v>
      </c>
      <c r="M489" s="4">
        <v>0</v>
      </c>
      <c r="N489" s="4">
        <v>0</v>
      </c>
      <c r="O489" s="4">
        <v>0</v>
      </c>
      <c r="P489" s="4">
        <v>0</v>
      </c>
      <c r="Q489" s="5" t="s">
        <v>1039</v>
      </c>
      <c r="Y489" t="s">
        <v>324</v>
      </c>
      <c r="Z489" s="2" t="s">
        <v>324</v>
      </c>
      <c r="AA489" t="s">
        <v>324</v>
      </c>
      <c r="AB489" t="s">
        <v>324</v>
      </c>
      <c r="AC489" t="s">
        <v>324</v>
      </c>
      <c r="AD489" t="s">
        <v>324</v>
      </c>
      <c r="AE489" t="s">
        <v>324</v>
      </c>
      <c r="AF489" t="s">
        <v>324</v>
      </c>
      <c r="AG489" s="2" t="s">
        <v>324</v>
      </c>
      <c r="AH489" t="s">
        <v>324</v>
      </c>
      <c r="AI489" t="s">
        <v>324</v>
      </c>
      <c r="AJ489" s="2" t="s">
        <v>324</v>
      </c>
      <c r="AK489" t="s">
        <v>324</v>
      </c>
      <c r="AL489" t="s">
        <v>324</v>
      </c>
      <c r="AM489" s="2" t="s">
        <v>324</v>
      </c>
      <c r="AN489" t="s">
        <v>324</v>
      </c>
      <c r="AO489" s="2" t="s">
        <v>324</v>
      </c>
      <c r="AP489" t="s">
        <v>324</v>
      </c>
      <c r="AQ489" s="2" t="s">
        <v>324</v>
      </c>
      <c r="AR489" t="s">
        <v>324</v>
      </c>
      <c r="AS489" s="2" t="s">
        <v>324</v>
      </c>
      <c r="AT489" t="s">
        <v>324</v>
      </c>
    </row>
    <row r="490" spans="1:46" ht="11.25">
      <c r="A490" t="str">
        <f>HYPERLINK("http://exon.niaid.nih.gov/transcriptome/Tx_amboinensis_sialome/Table_1/links/TX-contig_458.txt","TX-contig_458")</f>
        <v>TX-contig_458</v>
      </c>
      <c r="B490" t="str">
        <f>HYPERLINK("http://exon.niaid.nih.gov/transcriptome/Tx_amboinensis_sialome/Table_1/links/TX-5-90-90-asb-458.txt","Contig-458")</f>
        <v>Contig-458</v>
      </c>
      <c r="C490" t="str">
        <f>HYPERLINK("http://exon.niaid.nih.gov/transcriptome/Tx_amboinensis_sialome/Table_1/links/TX-5-90-90-458-CLU.txt","Contig458")</f>
        <v>Contig458</v>
      </c>
      <c r="D490" s="4">
        <v>1</v>
      </c>
      <c r="E490">
        <v>125</v>
      </c>
      <c r="F490">
        <v>2.4</v>
      </c>
      <c r="G490">
        <v>78.4</v>
      </c>
      <c r="H490">
        <v>40</v>
      </c>
      <c r="I490">
        <v>458</v>
      </c>
      <c r="J490" t="s">
        <v>628</v>
      </c>
      <c r="K490">
        <v>40</v>
      </c>
      <c r="L490" s="3" t="s">
        <v>1036</v>
      </c>
      <c r="M490" s="4">
        <v>0</v>
      </c>
      <c r="N490" s="4">
        <v>0</v>
      </c>
      <c r="O490" s="4">
        <v>0</v>
      </c>
      <c r="P490" s="4">
        <v>0</v>
      </c>
      <c r="Q490" s="5" t="s">
        <v>1039</v>
      </c>
      <c r="Y490" t="s">
        <v>324</v>
      </c>
      <c r="Z490" s="2" t="s">
        <v>324</v>
      </c>
      <c r="AA490" t="s">
        <v>324</v>
      </c>
      <c r="AB490" t="s">
        <v>324</v>
      </c>
      <c r="AC490" t="s">
        <v>324</v>
      </c>
      <c r="AD490" t="s">
        <v>324</v>
      </c>
      <c r="AE490" t="s">
        <v>324</v>
      </c>
      <c r="AF490" t="s">
        <v>324</v>
      </c>
      <c r="AG490" s="2" t="s">
        <v>324</v>
      </c>
      <c r="AH490" t="s">
        <v>324</v>
      </c>
      <c r="AI490" t="s">
        <v>324</v>
      </c>
      <c r="AJ490" s="2" t="s">
        <v>324</v>
      </c>
      <c r="AK490" t="s">
        <v>324</v>
      </c>
      <c r="AL490" t="s">
        <v>324</v>
      </c>
      <c r="AM490" s="2" t="s">
        <v>324</v>
      </c>
      <c r="AN490" t="s">
        <v>324</v>
      </c>
      <c r="AO490" s="2" t="s">
        <v>324</v>
      </c>
      <c r="AP490" t="s">
        <v>324</v>
      </c>
      <c r="AQ490" s="2" t="s">
        <v>324</v>
      </c>
      <c r="AR490" t="s">
        <v>324</v>
      </c>
      <c r="AS490" s="2" t="s">
        <v>324</v>
      </c>
      <c r="AT490" t="s">
        <v>324</v>
      </c>
    </row>
    <row r="491" spans="1:46" ht="11.25">
      <c r="A491" t="str">
        <f>HYPERLINK("http://exon.niaid.nih.gov/transcriptome/Tx_amboinensis_sialome/Table_1/links/TX-contig_459.txt","TX-contig_459")</f>
        <v>TX-contig_459</v>
      </c>
      <c r="B491" t="str">
        <f>HYPERLINK("http://exon.niaid.nih.gov/transcriptome/Tx_amboinensis_sialome/Table_1/links/TX-5-90-90-asb-459.txt","Contig-459")</f>
        <v>Contig-459</v>
      </c>
      <c r="C491" t="str">
        <f>HYPERLINK("http://exon.niaid.nih.gov/transcriptome/Tx_amboinensis_sialome/Table_1/links/TX-5-90-90-459-CLU.txt","Contig459")</f>
        <v>Contig459</v>
      </c>
      <c r="D491" s="4">
        <v>1</v>
      </c>
      <c r="E491">
        <v>117</v>
      </c>
      <c r="F491">
        <v>3.4</v>
      </c>
      <c r="G491">
        <v>96.6</v>
      </c>
      <c r="H491">
        <v>1</v>
      </c>
      <c r="I491">
        <v>459</v>
      </c>
      <c r="J491" t="s">
        <v>629</v>
      </c>
      <c r="K491">
        <v>1</v>
      </c>
      <c r="L491" s="3" t="s">
        <v>1036</v>
      </c>
      <c r="M491" s="4">
        <v>0</v>
      </c>
      <c r="N491" s="4">
        <v>0</v>
      </c>
      <c r="O491" s="4">
        <v>0</v>
      </c>
      <c r="P491" s="4">
        <v>0</v>
      </c>
      <c r="Q491" s="5" t="s">
        <v>1039</v>
      </c>
      <c r="Y491" t="s">
        <v>324</v>
      </c>
      <c r="Z491" s="2" t="s">
        <v>324</v>
      </c>
      <c r="AA491" t="s">
        <v>324</v>
      </c>
      <c r="AB491" t="s">
        <v>324</v>
      </c>
      <c r="AC491" t="s">
        <v>324</v>
      </c>
      <c r="AD491" t="s">
        <v>324</v>
      </c>
      <c r="AE491" t="s">
        <v>324</v>
      </c>
      <c r="AF491" t="s">
        <v>324</v>
      </c>
      <c r="AG491" s="2" t="s">
        <v>324</v>
      </c>
      <c r="AH491" t="s">
        <v>324</v>
      </c>
      <c r="AI491" t="s">
        <v>324</v>
      </c>
      <c r="AJ491" s="2" t="s">
        <v>324</v>
      </c>
      <c r="AK491" t="s">
        <v>324</v>
      </c>
      <c r="AL491" t="s">
        <v>324</v>
      </c>
      <c r="AM491" s="2" t="s">
        <v>324</v>
      </c>
      <c r="AN491" t="s">
        <v>324</v>
      </c>
      <c r="AO491" s="2" t="s">
        <v>324</v>
      </c>
      <c r="AP491" t="s">
        <v>324</v>
      </c>
      <c r="AQ491" s="2" t="s">
        <v>324</v>
      </c>
      <c r="AR491" t="s">
        <v>324</v>
      </c>
      <c r="AS491" s="2" t="s">
        <v>324</v>
      </c>
      <c r="AT491" t="s">
        <v>324</v>
      </c>
    </row>
    <row r="492" spans="1:46" ht="11.25">
      <c r="A492" t="str">
        <f>HYPERLINK("http://exon.niaid.nih.gov/transcriptome/Tx_amboinensis_sialome/Table_1/links/TX-contig_464.txt","TX-contig_464")</f>
        <v>TX-contig_464</v>
      </c>
      <c r="B492" t="str">
        <f>HYPERLINK("http://exon.niaid.nih.gov/transcriptome/Tx_amboinensis_sialome/Table_1/links/TX-5-90-90-asb-464.txt","Contig-464")</f>
        <v>Contig-464</v>
      </c>
      <c r="C492" t="str">
        <f>HYPERLINK("http://exon.niaid.nih.gov/transcriptome/Tx_amboinensis_sialome/Table_1/links/TX-5-90-90-464-CLU.txt","Contig464")</f>
        <v>Contig464</v>
      </c>
      <c r="D492" s="4">
        <v>1</v>
      </c>
      <c r="E492">
        <v>129</v>
      </c>
      <c r="F492" t="s">
        <v>322</v>
      </c>
      <c r="G492">
        <v>100</v>
      </c>
      <c r="H492">
        <v>1</v>
      </c>
      <c r="I492">
        <v>464</v>
      </c>
      <c r="J492" t="s">
        <v>634</v>
      </c>
      <c r="K492">
        <v>1</v>
      </c>
      <c r="L492" s="3" t="s">
        <v>1036</v>
      </c>
      <c r="M492" s="4">
        <v>0</v>
      </c>
      <c r="N492" s="4">
        <v>0</v>
      </c>
      <c r="O492" s="4">
        <v>0</v>
      </c>
      <c r="P492" s="4">
        <v>0</v>
      </c>
      <c r="Q492" s="5" t="s">
        <v>1039</v>
      </c>
      <c r="Y492" t="s">
        <v>324</v>
      </c>
      <c r="Z492" s="2" t="s">
        <v>324</v>
      </c>
      <c r="AA492" t="s">
        <v>324</v>
      </c>
      <c r="AB492" t="s">
        <v>324</v>
      </c>
      <c r="AC492" t="s">
        <v>324</v>
      </c>
      <c r="AD492" t="s">
        <v>324</v>
      </c>
      <c r="AE492" t="s">
        <v>324</v>
      </c>
      <c r="AF492" t="s">
        <v>324</v>
      </c>
      <c r="AG492" s="2" t="s">
        <v>324</v>
      </c>
      <c r="AH492" t="s">
        <v>324</v>
      </c>
      <c r="AI492" t="s">
        <v>324</v>
      </c>
      <c r="AJ492" s="2" t="s">
        <v>324</v>
      </c>
      <c r="AK492" t="s">
        <v>324</v>
      </c>
      <c r="AL492" t="s">
        <v>324</v>
      </c>
      <c r="AM492" s="2" t="s">
        <v>324</v>
      </c>
      <c r="AN492" t="s">
        <v>324</v>
      </c>
      <c r="AO492" s="2" t="s">
        <v>324</v>
      </c>
      <c r="AP492" t="s">
        <v>324</v>
      </c>
      <c r="AQ492" s="2" t="s">
        <v>324</v>
      </c>
      <c r="AR492" t="s">
        <v>324</v>
      </c>
      <c r="AS492" s="2" t="s">
        <v>324</v>
      </c>
      <c r="AT492" t="s">
        <v>324</v>
      </c>
    </row>
    <row r="493" spans="1:46" ht="11.25">
      <c r="A493" t="str">
        <f>HYPERLINK("http://exon.niaid.nih.gov/transcriptome/Tx_amboinensis_sialome/Table_1/links/TX-contig_468.txt","TX-contig_468")</f>
        <v>TX-contig_468</v>
      </c>
      <c r="B493" t="str">
        <f>HYPERLINK("http://exon.niaid.nih.gov/transcriptome/Tx_amboinensis_sialome/Table_1/links/TX-5-90-90-asb-468.txt","Contig-468")</f>
        <v>Contig-468</v>
      </c>
      <c r="C493" t="str">
        <f>HYPERLINK("http://exon.niaid.nih.gov/transcriptome/Tx_amboinensis_sialome/Table_1/links/TX-5-90-90-468-CLU.txt","Contig468")</f>
        <v>Contig468</v>
      </c>
      <c r="D493" s="4">
        <v>1</v>
      </c>
      <c r="E493">
        <v>140</v>
      </c>
      <c r="F493" t="s">
        <v>322</v>
      </c>
      <c r="G493">
        <v>62.9</v>
      </c>
      <c r="H493">
        <v>121</v>
      </c>
      <c r="I493">
        <v>468</v>
      </c>
      <c r="J493" t="s">
        <v>638</v>
      </c>
      <c r="K493">
        <v>121</v>
      </c>
      <c r="L493" s="3" t="s">
        <v>1036</v>
      </c>
      <c r="M493" s="4">
        <v>0</v>
      </c>
      <c r="N493" s="4">
        <v>0</v>
      </c>
      <c r="O493" s="4">
        <v>0</v>
      </c>
      <c r="P493" s="4">
        <v>0</v>
      </c>
      <c r="Q493" s="5" t="s">
        <v>1039</v>
      </c>
      <c r="Y493" t="s">
        <v>324</v>
      </c>
      <c r="Z493" s="2" t="s">
        <v>324</v>
      </c>
      <c r="AA493" t="s">
        <v>324</v>
      </c>
      <c r="AB493" t="s">
        <v>324</v>
      </c>
      <c r="AC493" t="s">
        <v>324</v>
      </c>
      <c r="AD493" t="s">
        <v>324</v>
      </c>
      <c r="AE493" t="s">
        <v>324</v>
      </c>
      <c r="AF493" t="s">
        <v>324</v>
      </c>
      <c r="AG493" s="2" t="s">
        <v>324</v>
      </c>
      <c r="AH493" t="s">
        <v>324</v>
      </c>
      <c r="AI493" t="s">
        <v>324</v>
      </c>
      <c r="AJ493" s="2" t="s">
        <v>324</v>
      </c>
      <c r="AK493" t="s">
        <v>324</v>
      </c>
      <c r="AL493" t="s">
        <v>324</v>
      </c>
      <c r="AM493" s="2" t="s">
        <v>324</v>
      </c>
      <c r="AN493" t="s">
        <v>324</v>
      </c>
      <c r="AO493" s="2" t="s">
        <v>324</v>
      </c>
      <c r="AP493" t="s">
        <v>324</v>
      </c>
      <c r="AQ493" s="2" t="s">
        <v>324</v>
      </c>
      <c r="AR493" t="s">
        <v>324</v>
      </c>
      <c r="AS493" s="2" t="s">
        <v>324</v>
      </c>
      <c r="AT493" t="s">
        <v>324</v>
      </c>
    </row>
    <row r="494" spans="1:46" ht="11.25">
      <c r="A494" t="str">
        <f>HYPERLINK("http://exon.niaid.nih.gov/transcriptome/Tx_amboinensis_sialome/Table_1/links/TX-contig_472.txt","TX-contig_472")</f>
        <v>TX-contig_472</v>
      </c>
      <c r="B494" t="str">
        <f>HYPERLINK("http://exon.niaid.nih.gov/transcriptome/Tx_amboinensis_sialome/Table_1/links/TX-5-90-90-asb-472.txt","Contig-472")</f>
        <v>Contig-472</v>
      </c>
      <c r="C494" t="str">
        <f>HYPERLINK("http://exon.niaid.nih.gov/transcriptome/Tx_amboinensis_sialome/Table_1/links/TX-5-90-90-472-CLU.txt","Contig472")</f>
        <v>Contig472</v>
      </c>
      <c r="D494" s="4">
        <v>1</v>
      </c>
      <c r="E494">
        <v>112</v>
      </c>
      <c r="F494" t="s">
        <v>322</v>
      </c>
      <c r="G494">
        <v>63.4</v>
      </c>
      <c r="H494">
        <v>93</v>
      </c>
      <c r="I494">
        <v>472</v>
      </c>
      <c r="J494" t="s">
        <v>642</v>
      </c>
      <c r="K494">
        <v>93</v>
      </c>
      <c r="L494" s="3" t="s">
        <v>1036</v>
      </c>
      <c r="M494" s="4">
        <v>0</v>
      </c>
      <c r="N494" s="4">
        <v>0</v>
      </c>
      <c r="O494" s="4">
        <v>0</v>
      </c>
      <c r="P494" s="4">
        <v>0</v>
      </c>
      <c r="Q494" s="5" t="s">
        <v>1039</v>
      </c>
      <c r="Y494" t="s">
        <v>324</v>
      </c>
      <c r="Z494" s="2" t="s">
        <v>324</v>
      </c>
      <c r="AA494" t="s">
        <v>324</v>
      </c>
      <c r="AB494" t="s">
        <v>324</v>
      </c>
      <c r="AC494" t="s">
        <v>324</v>
      </c>
      <c r="AD494" t="s">
        <v>324</v>
      </c>
      <c r="AE494" t="s">
        <v>324</v>
      </c>
      <c r="AF494" t="s">
        <v>324</v>
      </c>
      <c r="AG494" s="2" t="s">
        <v>324</v>
      </c>
      <c r="AH494" t="s">
        <v>324</v>
      </c>
      <c r="AI494" t="s">
        <v>324</v>
      </c>
      <c r="AJ494" s="2" t="s">
        <v>324</v>
      </c>
      <c r="AK494" t="s">
        <v>324</v>
      </c>
      <c r="AL494" t="s">
        <v>324</v>
      </c>
      <c r="AM494" s="2" t="s">
        <v>324</v>
      </c>
      <c r="AN494" t="s">
        <v>324</v>
      </c>
      <c r="AO494" s="2" t="s">
        <v>324</v>
      </c>
      <c r="AP494" t="s">
        <v>324</v>
      </c>
      <c r="AQ494" s="2" t="s">
        <v>324</v>
      </c>
      <c r="AR494" t="s">
        <v>324</v>
      </c>
      <c r="AS494" s="2" t="s">
        <v>324</v>
      </c>
      <c r="AT494" t="s">
        <v>324</v>
      </c>
    </row>
    <row r="495" spans="1:46" ht="11.25">
      <c r="A495" t="str">
        <f>HYPERLINK("http://exon.niaid.nih.gov/transcriptome/Tx_amboinensis_sialome/Table_1/links/TX-contig_476.txt","TX-contig_476")</f>
        <v>TX-contig_476</v>
      </c>
      <c r="B495" t="str">
        <f>HYPERLINK("http://exon.niaid.nih.gov/transcriptome/Tx_amboinensis_sialome/Table_1/links/TX-5-90-90-asb-476.txt","Contig-476")</f>
        <v>Contig-476</v>
      </c>
      <c r="C495" t="str">
        <f>HYPERLINK("http://exon.niaid.nih.gov/transcriptome/Tx_amboinensis_sialome/Table_1/links/TX-5-90-90-476-CLU.txt","Contig476")</f>
        <v>Contig476</v>
      </c>
      <c r="D495" s="4">
        <v>1</v>
      </c>
      <c r="E495">
        <v>103</v>
      </c>
      <c r="F495" t="s">
        <v>322</v>
      </c>
      <c r="G495">
        <v>79.6</v>
      </c>
      <c r="H495">
        <v>76</v>
      </c>
      <c r="I495">
        <v>476</v>
      </c>
      <c r="J495" t="s">
        <v>646</v>
      </c>
      <c r="K495">
        <v>76</v>
      </c>
      <c r="L495" s="3" t="s">
        <v>1036</v>
      </c>
      <c r="M495" s="4">
        <v>0</v>
      </c>
      <c r="N495" s="4">
        <v>0</v>
      </c>
      <c r="O495" s="4">
        <v>0</v>
      </c>
      <c r="P495" s="4">
        <v>0</v>
      </c>
      <c r="Q495" s="5" t="s">
        <v>1039</v>
      </c>
      <c r="Y495" t="s">
        <v>324</v>
      </c>
      <c r="Z495" s="2" t="s">
        <v>324</v>
      </c>
      <c r="AA495" t="s">
        <v>324</v>
      </c>
      <c r="AB495" t="s">
        <v>324</v>
      </c>
      <c r="AC495" t="s">
        <v>324</v>
      </c>
      <c r="AD495" t="s">
        <v>324</v>
      </c>
      <c r="AE495" t="s">
        <v>324</v>
      </c>
      <c r="AF495" t="s">
        <v>324</v>
      </c>
      <c r="AG495" s="2" t="s">
        <v>324</v>
      </c>
      <c r="AH495" t="s">
        <v>324</v>
      </c>
      <c r="AI495" t="s">
        <v>324</v>
      </c>
      <c r="AJ495" s="2" t="s">
        <v>324</v>
      </c>
      <c r="AK495" t="s">
        <v>324</v>
      </c>
      <c r="AL495" t="s">
        <v>324</v>
      </c>
      <c r="AM495" s="2" t="s">
        <v>324</v>
      </c>
      <c r="AN495" t="s">
        <v>324</v>
      </c>
      <c r="AO495" s="2" t="s">
        <v>324</v>
      </c>
      <c r="AP495" t="s">
        <v>324</v>
      </c>
      <c r="AQ495" s="2" t="s">
        <v>324</v>
      </c>
      <c r="AR495" t="s">
        <v>324</v>
      </c>
      <c r="AS495" s="2" t="s">
        <v>324</v>
      </c>
      <c r="AT495" t="s">
        <v>324</v>
      </c>
    </row>
    <row r="496" spans="1:46" ht="11.25">
      <c r="A496" t="str">
        <f>HYPERLINK("http://exon.niaid.nih.gov/transcriptome/Tx_amboinensis_sialome/Table_1/links/TX-contig_478.txt","TX-contig_478")</f>
        <v>TX-contig_478</v>
      </c>
      <c r="B496" t="str">
        <f>HYPERLINK("http://exon.niaid.nih.gov/transcriptome/Tx_amboinensis_sialome/Table_1/links/TX-5-90-90-asb-478.txt","Contig-478")</f>
        <v>Contig-478</v>
      </c>
      <c r="C496" t="str">
        <f>HYPERLINK("http://exon.niaid.nih.gov/transcriptome/Tx_amboinensis_sialome/Table_1/links/TX-5-90-90-478-CLU.txt","Contig478")</f>
        <v>Contig478</v>
      </c>
      <c r="D496" s="4">
        <v>1</v>
      </c>
      <c r="E496">
        <v>140</v>
      </c>
      <c r="F496" t="s">
        <v>322</v>
      </c>
      <c r="G496">
        <v>89.3</v>
      </c>
      <c r="H496">
        <v>40</v>
      </c>
      <c r="I496">
        <v>478</v>
      </c>
      <c r="J496" t="s">
        <v>648</v>
      </c>
      <c r="K496">
        <v>40</v>
      </c>
      <c r="L496" s="3" t="s">
        <v>1036</v>
      </c>
      <c r="M496" s="4">
        <v>0</v>
      </c>
      <c r="N496" s="4">
        <v>0</v>
      </c>
      <c r="O496" s="4">
        <v>0</v>
      </c>
      <c r="P496" s="4">
        <v>0</v>
      </c>
      <c r="Q496" s="5" t="s">
        <v>1039</v>
      </c>
      <c r="Y496" t="s">
        <v>324</v>
      </c>
      <c r="Z496" s="2" t="s">
        <v>324</v>
      </c>
      <c r="AA496" t="s">
        <v>324</v>
      </c>
      <c r="AB496" t="s">
        <v>324</v>
      </c>
      <c r="AC496" t="s">
        <v>324</v>
      </c>
      <c r="AD496" t="s">
        <v>324</v>
      </c>
      <c r="AE496" t="s">
        <v>324</v>
      </c>
      <c r="AF496" t="s">
        <v>324</v>
      </c>
      <c r="AG496" s="2" t="s">
        <v>324</v>
      </c>
      <c r="AH496" t="s">
        <v>324</v>
      </c>
      <c r="AI496" t="s">
        <v>324</v>
      </c>
      <c r="AJ496" s="2" t="s">
        <v>324</v>
      </c>
      <c r="AK496" t="s">
        <v>324</v>
      </c>
      <c r="AL496" t="s">
        <v>324</v>
      </c>
      <c r="AM496" s="2" t="s">
        <v>324</v>
      </c>
      <c r="AN496" t="s">
        <v>324</v>
      </c>
      <c r="AO496" s="2" t="s">
        <v>324</v>
      </c>
      <c r="AP496" t="s">
        <v>324</v>
      </c>
      <c r="AQ496" s="2" t="s">
        <v>324</v>
      </c>
      <c r="AR496" t="s">
        <v>324</v>
      </c>
      <c r="AS496" s="2" t="s">
        <v>324</v>
      </c>
      <c r="AT496" t="s">
        <v>324</v>
      </c>
    </row>
    <row r="497" spans="1:46" ht="11.25">
      <c r="A497" t="str">
        <f>HYPERLINK("http://exon.niaid.nih.gov/transcriptome/Tx_amboinensis_sialome/Table_1/links/TX-contig_479.txt","TX-contig_479")</f>
        <v>TX-contig_479</v>
      </c>
      <c r="B497" t="str">
        <f>HYPERLINK("http://exon.niaid.nih.gov/transcriptome/Tx_amboinensis_sialome/Table_1/links/TX-5-90-90-asb-479.txt","Contig-479")</f>
        <v>Contig-479</v>
      </c>
      <c r="C497" t="str">
        <f>HYPERLINK("http://exon.niaid.nih.gov/transcriptome/Tx_amboinensis_sialome/Table_1/links/TX-5-90-90-479-CLU.txt","Contig479")</f>
        <v>Contig479</v>
      </c>
      <c r="D497" s="4">
        <v>1</v>
      </c>
      <c r="E497">
        <v>111</v>
      </c>
      <c r="F497" t="s">
        <v>322</v>
      </c>
      <c r="G497">
        <v>100</v>
      </c>
      <c r="H497">
        <v>1</v>
      </c>
      <c r="I497">
        <v>479</v>
      </c>
      <c r="J497" t="s">
        <v>649</v>
      </c>
      <c r="K497">
        <v>1</v>
      </c>
      <c r="L497" s="3" t="s">
        <v>1036</v>
      </c>
      <c r="M497" s="4">
        <v>0</v>
      </c>
      <c r="N497" s="4">
        <v>0</v>
      </c>
      <c r="O497" s="4">
        <v>0</v>
      </c>
      <c r="P497" s="4">
        <v>0</v>
      </c>
      <c r="Q497" s="5" t="s">
        <v>1039</v>
      </c>
      <c r="Y497" t="s">
        <v>324</v>
      </c>
      <c r="Z497" s="2" t="s">
        <v>324</v>
      </c>
      <c r="AA497" t="s">
        <v>324</v>
      </c>
      <c r="AB497" t="s">
        <v>324</v>
      </c>
      <c r="AC497" t="s">
        <v>324</v>
      </c>
      <c r="AD497" t="s">
        <v>324</v>
      </c>
      <c r="AE497" t="s">
        <v>324</v>
      </c>
      <c r="AF497" t="s">
        <v>324</v>
      </c>
      <c r="AG497" s="2" t="s">
        <v>324</v>
      </c>
      <c r="AH497" t="s">
        <v>324</v>
      </c>
      <c r="AI497" t="s">
        <v>324</v>
      </c>
      <c r="AJ497" s="2" t="s">
        <v>324</v>
      </c>
      <c r="AK497" t="s">
        <v>324</v>
      </c>
      <c r="AL497" t="s">
        <v>324</v>
      </c>
      <c r="AM497" s="2" t="s">
        <v>324</v>
      </c>
      <c r="AN497" t="s">
        <v>324</v>
      </c>
      <c r="AO497" s="2" t="s">
        <v>324</v>
      </c>
      <c r="AP497" t="s">
        <v>324</v>
      </c>
      <c r="AQ497" s="2" t="s">
        <v>324</v>
      </c>
      <c r="AR497" t="s">
        <v>324</v>
      </c>
      <c r="AS497" s="2" t="s">
        <v>324</v>
      </c>
      <c r="AT497" t="s">
        <v>324</v>
      </c>
    </row>
    <row r="498" spans="1:46" ht="11.25">
      <c r="A498" t="str">
        <f>HYPERLINK("http://exon.niaid.nih.gov/transcriptome/Tx_amboinensis_sialome/Table_1/links/TX-contig_480.txt","TX-contig_480")</f>
        <v>TX-contig_480</v>
      </c>
      <c r="B498" t="str">
        <f>HYPERLINK("http://exon.niaid.nih.gov/transcriptome/Tx_amboinensis_sialome/Table_1/links/TX-5-90-90-asb-480.txt","Contig-480")</f>
        <v>Contig-480</v>
      </c>
      <c r="C498" t="str">
        <f>HYPERLINK("http://exon.niaid.nih.gov/transcriptome/Tx_amboinensis_sialome/Table_1/links/TX-5-90-90-480-CLU.txt","Contig480")</f>
        <v>Contig480</v>
      </c>
      <c r="D498" s="4">
        <v>1</v>
      </c>
      <c r="E498">
        <v>102</v>
      </c>
      <c r="F498" t="s">
        <v>322</v>
      </c>
      <c r="G498">
        <v>100</v>
      </c>
      <c r="H498">
        <v>1</v>
      </c>
      <c r="I498">
        <v>480</v>
      </c>
      <c r="J498" t="s">
        <v>650</v>
      </c>
      <c r="K498">
        <v>1</v>
      </c>
      <c r="L498" s="3" t="s">
        <v>1036</v>
      </c>
      <c r="M498" s="4">
        <v>0</v>
      </c>
      <c r="N498" s="4">
        <v>0</v>
      </c>
      <c r="O498" s="4">
        <v>0</v>
      </c>
      <c r="P498" s="4">
        <v>0</v>
      </c>
      <c r="Q498" s="5" t="s">
        <v>1039</v>
      </c>
      <c r="Y498" t="s">
        <v>324</v>
      </c>
      <c r="Z498" s="2" t="s">
        <v>324</v>
      </c>
      <c r="AA498" t="s">
        <v>324</v>
      </c>
      <c r="AB498" t="s">
        <v>324</v>
      </c>
      <c r="AC498" t="s">
        <v>324</v>
      </c>
      <c r="AD498" t="s">
        <v>324</v>
      </c>
      <c r="AE498" t="s">
        <v>324</v>
      </c>
      <c r="AF498" t="s">
        <v>324</v>
      </c>
      <c r="AG498" s="2" t="s">
        <v>324</v>
      </c>
      <c r="AH498" t="s">
        <v>324</v>
      </c>
      <c r="AI498" t="s">
        <v>324</v>
      </c>
      <c r="AJ498" s="2" t="s">
        <v>324</v>
      </c>
      <c r="AK498" t="s">
        <v>324</v>
      </c>
      <c r="AL498" t="s">
        <v>324</v>
      </c>
      <c r="AM498" s="2" t="s">
        <v>324</v>
      </c>
      <c r="AN498" t="s">
        <v>324</v>
      </c>
      <c r="AO498" s="2" t="s">
        <v>324</v>
      </c>
      <c r="AP498" t="s">
        <v>324</v>
      </c>
      <c r="AQ498" s="2" t="s">
        <v>324</v>
      </c>
      <c r="AR498" t="s">
        <v>324</v>
      </c>
      <c r="AS498" s="2" t="s">
        <v>324</v>
      </c>
      <c r="AT498" t="s">
        <v>324</v>
      </c>
    </row>
    <row r="499" spans="1:46" ht="11.25">
      <c r="A499" t="str">
        <f>HYPERLINK("http://exon.niaid.nih.gov/transcriptome/Tx_amboinensis_sialome/Table_1/links/TX-contig_467.txt","TX-contig_467")</f>
        <v>TX-contig_467</v>
      </c>
      <c r="B499" t="str">
        <f>HYPERLINK("http://exon.niaid.nih.gov/transcriptome/Tx_amboinensis_sialome/Table_1/links/TX-5-90-90-asb-467.txt","Contig-467")</f>
        <v>Contig-467</v>
      </c>
      <c r="C499" t="str">
        <f>HYPERLINK("http://exon.niaid.nih.gov/transcriptome/Tx_amboinensis_sialome/Table_1/links/TX-5-90-90-467-CLU.txt","Contig467")</f>
        <v>Contig467</v>
      </c>
      <c r="D499" s="4">
        <v>1</v>
      </c>
      <c r="E499">
        <v>137</v>
      </c>
      <c r="F499" t="s">
        <v>322</v>
      </c>
      <c r="G499">
        <v>50.4</v>
      </c>
      <c r="H499" t="s">
        <v>324</v>
      </c>
      <c r="I499">
        <v>467</v>
      </c>
      <c r="J499" t="s">
        <v>637</v>
      </c>
      <c r="K499" t="s">
        <v>324</v>
      </c>
      <c r="L499" s="3" t="s">
        <v>1036</v>
      </c>
      <c r="M499" s="4">
        <v>0</v>
      </c>
      <c r="N499" s="4">
        <v>0</v>
      </c>
      <c r="O499" s="4">
        <v>0</v>
      </c>
      <c r="P499" s="4">
        <v>0</v>
      </c>
      <c r="Q499" s="5" t="s">
        <v>1079</v>
      </c>
      <c r="R499" s="2" t="str">
        <f>HYPERLINK("http://exon.niaid.nih.gov/transcriptome/Tx_amboinensis_sialome/Table_1/links/NR\TX-contig_467-NR.txt","Zgc:112304 [Danio rerio] &gt;gnl|BL_ORD_")</f>
        <v>Zgc:112304 [Danio rerio] &gt;gnl|BL_ORD_</v>
      </c>
      <c r="S499" s="4" t="str">
        <f>HYPERLINK("http://www.ncbi.nlm.nih.gov/sutils/blink.cgi?pid=66267505","1E-025")</f>
        <v>1E-025</v>
      </c>
      <c r="T499" t="s">
        <v>1019</v>
      </c>
      <c r="U499" s="4">
        <v>100</v>
      </c>
      <c r="V499" s="4">
        <v>11</v>
      </c>
      <c r="W499" t="s">
        <v>1020</v>
      </c>
      <c r="X499" t="s">
        <v>204</v>
      </c>
      <c r="Y499" t="s">
        <v>1021</v>
      </c>
      <c r="Z499" s="2" t="s">
        <v>1022</v>
      </c>
      <c r="AA499">
        <f>HYPERLINK("http://exon.niaid.nih.gov/transcriptome/Tx_amboinensis_sialome/Table_1/links/GO\TX-contig_467-GO.txt",4E-45)</f>
        <v>0</v>
      </c>
      <c r="AB499" t="s">
        <v>850</v>
      </c>
      <c r="AC499" t="s">
        <v>850</v>
      </c>
      <c r="AE499" t="s">
        <v>851</v>
      </c>
      <c r="AF499" s="1">
        <v>4E-45</v>
      </c>
      <c r="AG499" s="2" t="str">
        <f>HYPERLINK("http://exon.niaid.nih.gov/transcriptome/Tx_amboinensis_sialome/Table_1/links/KOG\TX-contig_467-KOG.txt","Putative zinc transporter")</f>
        <v>Putative zinc transporter</v>
      </c>
      <c r="AH499" t="str">
        <f>HYPERLINK("http://www.ncbi.nlm.nih.gov/COG/new/shokog.cgi?KOG2693","2E-007")</f>
        <v>2E-007</v>
      </c>
      <c r="AI499" t="s">
        <v>840</v>
      </c>
      <c r="AJ499" s="2" t="str">
        <f>HYPERLINK("http://exon.niaid.nih.gov/transcriptome/Tx_amboinensis_sialome/Table_1/links/CDD\TX-contig_467-CDD.txt","BAF1_ABF1")</f>
        <v>BAF1_ABF1</v>
      </c>
      <c r="AK499" t="str">
        <f>HYPERLINK("http://www.ncbi.nlm.nih.gov/Structure/cdd/cddsrv.cgi?uid=pfam04684&amp;version=v4.0","5E-004")</f>
        <v>5E-004</v>
      </c>
      <c r="AL499" t="s">
        <v>1023</v>
      </c>
      <c r="AM499" s="2" t="str">
        <f>HYPERLINK("http://exon.niaid.nih.gov/transcriptome/Tx_amboinensis_sialome/Table_1/links/PFAM\TX-contig_467-PFAM.txt","Metallothio")</f>
        <v>Metallothio</v>
      </c>
      <c r="AN499" t="str">
        <f>HYPERLINK("http://pfam.wustl.edu/cgi-bin/getdesc?acc=PF00131","7E-006")</f>
        <v>7E-006</v>
      </c>
      <c r="AO499" s="2" t="str">
        <f>HYPERLINK("http://exon.niaid.nih.gov/transcriptome/Tx_amboinensis_sialome/Table_1/links/SMART\TX-contig_467-SMART.txt","LITAF")</f>
        <v>LITAF</v>
      </c>
      <c r="AP499" t="str">
        <f>HYPERLINK("http://smart.embl-heidelberg.de/smart/do_annotation.pl?DOMAIN=LITAF&amp;BLAST=DUMMY","0.025")</f>
        <v>0.025</v>
      </c>
      <c r="AS499" s="2" t="s">
        <v>324</v>
      </c>
      <c r="AT499" t="s">
        <v>324</v>
      </c>
    </row>
    <row r="500" spans="1:46" ht="11.25">
      <c r="A500" t="str">
        <f>HYPERLINK("http://www.ncbi.nlm.nih.gov/projects/omes/Tx_amboinensis_sialome/Table_1/links/TX-contig_113.txt","TX-contig_113")</f>
        <v>TX-contig_113</v>
      </c>
      <c r="B500" t="str">
        <f>HYPERLINK("http://www.ncbi.nlm.nih.gov/projects/omes/Tx_amboinensis_sialome/Table_1/links/TX-5-90-90-asb-113.txt","Contig-113")</f>
        <v>Contig-113</v>
      </c>
      <c r="C500" t="str">
        <f>HYPERLINK("http://www.ncbi.nlm.nih.gov/projects/omes/Tx_amboinensis_sialome/Table_1/links/TX-5-90-90-113-CLU.txt","Contig113")</f>
        <v>Contig113</v>
      </c>
      <c r="D500" s="4">
        <v>1</v>
      </c>
      <c r="E500">
        <v>457</v>
      </c>
      <c r="F500" t="s">
        <v>322</v>
      </c>
      <c r="G500">
        <v>84.5</v>
      </c>
      <c r="H500" t="s">
        <v>324</v>
      </c>
      <c r="I500">
        <v>113</v>
      </c>
      <c r="J500" t="s">
        <v>429</v>
      </c>
      <c r="K500" t="s">
        <v>324</v>
      </c>
      <c r="L500" s="3" t="s">
        <v>1036</v>
      </c>
      <c r="M500" s="4">
        <v>0</v>
      </c>
      <c r="N500" s="4">
        <v>0</v>
      </c>
      <c r="O500" s="4">
        <v>0</v>
      </c>
      <c r="P500" s="4">
        <v>0</v>
      </c>
      <c r="Q500" s="5" t="s">
        <v>1081</v>
      </c>
      <c r="R500" s="2" t="str">
        <f>HYPERLINK("http://www.ncbi.nlm.nih.gov/projects/omes/Tx_amboinensis_sialome/Table_1/links/NR\TX-contig_113-NR.txt","hypothetical protein, conserved [Ei")</f>
        <v>hypothetical protein, conserved [Ei</v>
      </c>
      <c r="S500" s="4" t="str">
        <f>HYPERLINK("http://www.ncbi.nlm.nih.gov/sutils/blink.cgi?pid=109238416","5E-021")</f>
        <v>5E-021</v>
      </c>
      <c r="T500" t="s">
        <v>47</v>
      </c>
      <c r="U500" s="4">
        <v>42</v>
      </c>
      <c r="V500" s="4">
        <v>11</v>
      </c>
      <c r="W500" t="s">
        <v>48</v>
      </c>
      <c r="X500" t="s">
        <v>205</v>
      </c>
      <c r="Y500" t="s">
        <v>299</v>
      </c>
      <c r="Z500" s="2" t="s">
        <v>817</v>
      </c>
      <c r="AA500">
        <f>HYPERLINK("http://www.ncbi.nlm.nih.gov/projects/omes/Tx_amboinensis_sialome/Table_1/links/GO\TX-contig_113-GO.txt",0.00000002)</f>
        <v>2E-08</v>
      </c>
      <c r="AB500" t="s">
        <v>850</v>
      </c>
      <c r="AC500" t="s">
        <v>850</v>
      </c>
      <c r="AE500" t="s">
        <v>851</v>
      </c>
      <c r="AF500">
        <v>2E-08</v>
      </c>
      <c r="AG500" s="2" t="str">
        <f>HYPERLINK("http://www.ncbi.nlm.nih.gov/projects/omes/Tx_amboinensis_sialome/Table_1/links/KOG\TX-contig_113-KOG.txt","Lipid exporter ABCA1 and related proteins, ABC superfamily")</f>
        <v>Lipid exporter ABCA1 and related proteins, ABC superfamily</v>
      </c>
      <c r="AH500" t="str">
        <f>HYPERLINK("http://www.ncbi.nlm.nih.gov/COG/new/shokog.cgi?KOG0059","1E-007")</f>
        <v>1E-007</v>
      </c>
      <c r="AI500" t="s">
        <v>980</v>
      </c>
      <c r="AJ500" s="2" t="str">
        <f>HYPERLINK("http://www.ncbi.nlm.nih.gov/projects/omes/Tx_amboinensis_sialome/Table_1/links/CDD\TX-contig_113-CDD.txt","TatC")</f>
        <v>TatC</v>
      </c>
      <c r="AK500" t="str">
        <f>HYPERLINK("http://www.ncbi.nlm.nih.gov/Structure/cdd/cddsrv.cgi?uid=pfam00902&amp;version=v4.0","2E-012")</f>
        <v>2E-012</v>
      </c>
      <c r="AL500" t="s">
        <v>300</v>
      </c>
      <c r="AM500" s="2" t="str">
        <f>HYPERLINK("http://www.ncbi.nlm.nih.gov/projects/omes/Tx_amboinensis_sialome/Table_1/links/PFAM\TX-contig_113-PFAM.txt","TatC")</f>
        <v>TatC</v>
      </c>
      <c r="AN500" t="str">
        <f>HYPERLINK("http://pfam.wustl.edu/cgi-bin/getdesc?acc=PF00902","9E-013")</f>
        <v>9E-013</v>
      </c>
      <c r="AO500" s="2" t="str">
        <f>HYPERLINK("http://www.ncbi.nlm.nih.gov/projects/omes/Tx_amboinensis_sialome/Table_1/links/SMART\TX-contig_113-SMART.txt","TLC")</f>
        <v>TLC</v>
      </c>
      <c r="AP500" t="str">
        <f>HYPERLINK("http://smart.embl-heidelberg.de/smart/do_annotation.pl?DOMAIN=TLC&amp;BLAST=DUMMY","5E-007")</f>
        <v>5E-007</v>
      </c>
      <c r="AQ500" s="2" t="s">
        <v>324</v>
      </c>
      <c r="AR500" t="s">
        <v>324</v>
      </c>
      <c r="AS500" s="2" t="s">
        <v>324</v>
      </c>
      <c r="AT500" t="s">
        <v>324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jribeiro</cp:lastModifiedBy>
  <dcterms:created xsi:type="dcterms:W3CDTF">2006-03-28T15:31:42Z</dcterms:created>
  <dcterms:modified xsi:type="dcterms:W3CDTF">2006-09-14T15:32:34Z</dcterms:modified>
  <cp:category/>
  <cp:version/>
  <cp:contentType/>
  <cp:contentStatus/>
</cp:coreProperties>
</file>