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<sst xmlns="http://schemas.openxmlformats.org/spreadsheetml/2006/main" count="2504" uniqueCount="13">
  <si>
    <t xml:space="preserve"> </t>
  </si>
  <si>
    <t xml:space="preserve">ORG_NAME </t>
  </si>
  <si>
    <t xml:space="preserve">ADDRESS1 </t>
  </si>
  <si>
    <t xml:space="preserve">ADDRESS2 </t>
  </si>
  <si>
    <t xml:space="preserve">ADDRESS3 </t>
  </si>
  <si>
    <t xml:space="preserve">ADDRESS4 </t>
  </si>
  <si>
    <t xml:space="preserve">CITY </t>
  </si>
  <si>
    <t xml:space="preserve">STATE </t>
  </si>
  <si>
    <t xml:space="preserve">ZIP </t>
  </si>
  <si>
    <t xml:space="preserve">TELEPHONE </t>
  </si>
  <si>
    <t xml:space="preserve">FAX </t>
  </si>
  <si>
    <t>BUREAU OF INDIAN AFFAIRS</t>
  </si>
  <si>
    <t xml:space="preserve">BUREAU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</si>
</sst>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6"/>
  <sheetViews>
    <sheetView tabSelected="1" workbookViewId="0" topLeftCell="E1">
      <selection activeCell="I1" sqref="I1"/>
    </sheetView>
  </sheetViews>
  <sheetFormatPr defaultColWidth="9.140625" defaultRowHeight="12.75"/>
  <cols>
    <col min="1" max="1" width="29.00390625" style="0" customWidth="1"/>
    <col min="2" max="2" width="38.8515625" style="0" customWidth="1"/>
    <col min="3" max="3" width="47.421875" style="0" customWidth="1"/>
    <col min="4" max="4" width="45.140625" style="0" customWidth="1"/>
    <col min="5" max="5" width="35.00390625" style="1" customWidth="1"/>
    <col min="6" max="6" width="26.140625" style="0" customWidth="1"/>
    <col min="7" max="7" width="22.28125" style="0" customWidth="1"/>
    <col min="9" max="9" width="13.140625" style="0" customWidth="1"/>
    <col min="10" max="10" width="15.57421875" style="0" customWidth="1"/>
    <col min="11" max="11" width="17.00390625" style="0" customWidth="1"/>
  </cols>
  <sheetData>
    <row r="1" spans="1:11" s="3" customFormat="1" ht="12.75">
      <c r="A1" s="2" t="s">
        <v>12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2" t="s">
        <v>9</v>
      </c>
      <c r="K1" s="2" t="s">
        <v>10</v>
      </c>
    </row>
    <row r="2" spans="1:11" ht="12.75">
      <c r="A2" s="1" t="s">
        <v>11</v>
      </c>
      <c r="B2" t="str">
        <f>T("BUREAU OF INDIAN AFFAIRS")</f>
        <v>BUREAU OF INDIAN AFFAIRS</v>
      </c>
      <c r="C2" t="str">
        <f>T("1849 C ST. NW  MS 2624 MIB")</f>
        <v>1849 C ST. NW  MS 2624 MIB</v>
      </c>
      <c r="D2" t="s">
        <v>0</v>
      </c>
      <c r="E2" s="1" t="s">
        <v>0</v>
      </c>
      <c r="F2" t="s">
        <v>0</v>
      </c>
      <c r="G2" t="str">
        <f>T("WASHINGTON")</f>
        <v>WASHINGTON</v>
      </c>
      <c r="H2" t="str">
        <f>T("DC ")</f>
        <v>DC </v>
      </c>
      <c r="I2" s="1">
        <f>N(20240)</f>
        <v>20240</v>
      </c>
      <c r="J2" s="1" t="str">
        <f>T("999-999-9999")</f>
        <v>999-999-9999</v>
      </c>
      <c r="K2" s="1" t="s">
        <v>0</v>
      </c>
    </row>
    <row r="3" spans="1:11" ht="12.75">
      <c r="A3" s="1" t="s">
        <v>11</v>
      </c>
      <c r="B3" t="str">
        <f>T("GREAT PLAINS REGION")</f>
        <v>GREAT PLAINS REGION</v>
      </c>
      <c r="C3" t="str">
        <f>T("DOI/BIA/GREAT PLAINS REGIONAL OFFICE")</f>
        <v>DOI/BIA/GREAT PLAINS REGIONAL OFFICE</v>
      </c>
      <c r="D3" t="str">
        <f>T("115 4TH AVENUE  SE")</f>
        <v>115 4TH AVENUE  SE</v>
      </c>
      <c r="E3" s="1" t="s">
        <v>0</v>
      </c>
      <c r="F3" t="s">
        <v>0</v>
      </c>
      <c r="G3" t="str">
        <f>T("ABERDEEN")</f>
        <v>ABERDEEN</v>
      </c>
      <c r="H3" t="str">
        <f>T("SD ")</f>
        <v>SD </v>
      </c>
      <c r="I3" s="1" t="str">
        <f>T("57401 4382")</f>
        <v>57401 4382</v>
      </c>
      <c r="J3" s="1">
        <f>N(9)</f>
        <v>9</v>
      </c>
      <c r="K3" s="1" t="s">
        <v>0</v>
      </c>
    </row>
    <row r="4" spans="1:11" ht="12.75">
      <c r="A4" s="1" t="s">
        <v>11</v>
      </c>
      <c r="B4" t="str">
        <f>T("REGIONAL DIRECTOR  GPRO")</f>
        <v>REGIONAL DIRECTOR  GPRO</v>
      </c>
      <c r="C4" t="str">
        <f>T("DOI/BIA/GREAT PLAINS REGIONAL OFFICE")</f>
        <v>DOI/BIA/GREAT PLAINS REGIONAL OFFICE</v>
      </c>
      <c r="D4" t="str">
        <f>T("115 4TH AVENUE  SE")</f>
        <v>115 4TH AVENUE  SE</v>
      </c>
      <c r="E4" s="1" t="s">
        <v>0</v>
      </c>
      <c r="F4" t="s">
        <v>0</v>
      </c>
      <c r="G4" t="str">
        <f>T("ABERDEEN")</f>
        <v>ABERDEEN</v>
      </c>
      <c r="H4" t="str">
        <f>T("SD ")</f>
        <v>SD </v>
      </c>
      <c r="I4" s="1" t="str">
        <f>T("57401 4382")</f>
        <v>57401 4382</v>
      </c>
      <c r="J4" s="1" t="s">
        <v>0</v>
      </c>
      <c r="K4" s="1" t="s">
        <v>0</v>
      </c>
    </row>
    <row r="5" spans="1:11" ht="12.75">
      <c r="A5" s="1" t="s">
        <v>11</v>
      </c>
      <c r="B5" t="str">
        <f>T("ASS'T AREA DIRECTOR FOR ADMIN")</f>
        <v>ASS'T AREA DIRECTOR FOR ADMIN</v>
      </c>
      <c r="C5" t="str">
        <f>T("DOI/BIA/GREAT PLAINS REGIONAL OFFICE")</f>
        <v>DOI/BIA/GREAT PLAINS REGIONAL OFFICE</v>
      </c>
      <c r="D5" t="str">
        <f>T("115 4TH AVENUE  SE")</f>
        <v>115 4TH AVENUE  SE</v>
      </c>
      <c r="E5" s="1" t="s">
        <v>0</v>
      </c>
      <c r="F5" t="s">
        <v>0</v>
      </c>
      <c r="G5" t="str">
        <f>T("ABERDEEN")</f>
        <v>ABERDEEN</v>
      </c>
      <c r="H5" t="str">
        <f>T("SD ")</f>
        <v>SD </v>
      </c>
      <c r="I5" s="1" t="str">
        <f>T("57401 4382")</f>
        <v>57401 4382</v>
      </c>
      <c r="J5" s="1" t="s">
        <v>0</v>
      </c>
      <c r="K5" s="1" t="s">
        <v>0</v>
      </c>
    </row>
    <row r="6" spans="1:11" ht="12.75">
      <c r="A6" s="1" t="s">
        <v>11</v>
      </c>
      <c r="B6" t="str">
        <f>T("REGIONAL DIRECTOR  SPRO")</f>
        <v>REGIONAL DIRECTOR  SPRO</v>
      </c>
      <c r="C6" t="str">
        <f>T("DOI/BIA/SOUTHERN PLAINS REGIONAL OFFICE")</f>
        <v>DOI/BIA/SOUTHERN PLAINS REGIONAL OFFICE</v>
      </c>
      <c r="D6" t="str">
        <f>T("PO BOX 368")</f>
        <v>PO BOX 368</v>
      </c>
      <c r="E6" s="1" t="s">
        <v>0</v>
      </c>
      <c r="F6" t="s">
        <v>0</v>
      </c>
      <c r="G6" t="str">
        <f>T("ANADARKO")</f>
        <v>ANADARKO</v>
      </c>
      <c r="H6" t="str">
        <f>T("OK ")</f>
        <v>OK </v>
      </c>
      <c r="I6" s="1">
        <f>N(73005)</f>
        <v>73005</v>
      </c>
      <c r="J6" s="1" t="s">
        <v>0</v>
      </c>
      <c r="K6" s="1" t="s">
        <v>0</v>
      </c>
    </row>
    <row r="7" spans="1:11" ht="12.75">
      <c r="A7" s="1" t="s">
        <v>11</v>
      </c>
      <c r="B7" t="str">
        <f>T("ROCKY MOUNTAIN REGION")</f>
        <v>ROCKY MOUNTAIN REGION</v>
      </c>
      <c r="C7" t="str">
        <f>T("DOI/BIA/ROCKY MOUNTAIN REGIONAL OFFICE")</f>
        <v>DOI/BIA/ROCKY MOUNTAIN REGIONAL OFFICE</v>
      </c>
      <c r="D7" t="str">
        <f>T("316 N.26TH STREET")</f>
        <v>316 N.26TH STREET</v>
      </c>
      <c r="E7" s="1" t="s">
        <v>0</v>
      </c>
      <c r="F7" t="s">
        <v>0</v>
      </c>
      <c r="G7" t="str">
        <f>T("BILLINGS")</f>
        <v>BILLINGS</v>
      </c>
      <c r="H7" t="str">
        <f>T("MT ")</f>
        <v>MT </v>
      </c>
      <c r="I7" s="1" t="str">
        <f>T("59101 1397")</f>
        <v>59101 1397</v>
      </c>
      <c r="J7" s="1">
        <f>N(4062477941)</f>
        <v>4062477941</v>
      </c>
      <c r="K7" s="1">
        <f>N(4062477908)</f>
        <v>4062477908</v>
      </c>
    </row>
    <row r="8" spans="1:11" ht="12.75">
      <c r="A8" s="1" t="s">
        <v>11</v>
      </c>
      <c r="B8" t="str">
        <f>T("ASST AREA DIRECTOR  SPT SVCS")</f>
        <v>ASST AREA DIRECTOR  SPT SVCS</v>
      </c>
      <c r="C8" t="str">
        <f>T("DOI/BIA/ROCKY MOUNTAIN REGIONAL OFFICE")</f>
        <v>DOI/BIA/ROCKY MOUNTAIN REGIONAL OFFICE</v>
      </c>
      <c r="D8" t="str">
        <f>T("316 N.26TH STREET")</f>
        <v>316 N.26TH STREET</v>
      </c>
      <c r="E8" s="1" t="s">
        <v>0</v>
      </c>
      <c r="F8" t="s">
        <v>0</v>
      </c>
      <c r="G8" t="str">
        <f>T("BILLINGS")</f>
        <v>BILLINGS</v>
      </c>
      <c r="H8" t="str">
        <f>T("MT ")</f>
        <v>MT </v>
      </c>
      <c r="I8" s="1" t="str">
        <f>T("59101 1397")</f>
        <v>59101 1397</v>
      </c>
      <c r="J8" s="1">
        <f>N(4062477941)</f>
        <v>4062477941</v>
      </c>
      <c r="K8" s="1">
        <f>N(4062477908)</f>
        <v>4062477908</v>
      </c>
    </row>
    <row r="9" spans="1:11" ht="12.75">
      <c r="A9" s="1" t="s">
        <v>11</v>
      </c>
      <c r="B9" t="str">
        <f>T("DIV OF REAL ESTATE SERVICES")</f>
        <v>DIV OF REAL ESTATE SERVICES</v>
      </c>
      <c r="C9" t="str">
        <f>T("DOI/BIA/ROCKY MOUNTAIN REGIONAL OFFICE")</f>
        <v>DOI/BIA/ROCKY MOUNTAIN REGIONAL OFFICE</v>
      </c>
      <c r="D9" t="str">
        <f>T("316 N.26TH STREET")</f>
        <v>316 N.26TH STREET</v>
      </c>
      <c r="E9" s="1" t="s">
        <v>0</v>
      </c>
      <c r="F9" t="s">
        <v>0</v>
      </c>
      <c r="G9" t="str">
        <f>T("BILLINGS")</f>
        <v>BILLINGS</v>
      </c>
      <c r="H9" t="str">
        <f>T("MT ")</f>
        <v>MT </v>
      </c>
      <c r="I9" s="1" t="str">
        <f>T("59101 1397")</f>
        <v>59101 1397</v>
      </c>
      <c r="J9" s="1">
        <f>N(4062477941)</f>
        <v>4062477941</v>
      </c>
      <c r="K9" s="1">
        <f>N(4062477908)</f>
        <v>4062477908</v>
      </c>
    </row>
    <row r="10" spans="1:11" ht="12.75">
      <c r="A10" s="1" t="s">
        <v>11</v>
      </c>
      <c r="B10" t="str">
        <f>T("BLACKFEET AGENCY")</f>
        <v>BLACKFEET AGENCY</v>
      </c>
      <c r="C10" t="str">
        <f>T("DOI/BIA/BLACKFEET AGENCY")</f>
        <v>DOI/BIA/BLACKFEET AGENCY</v>
      </c>
      <c r="D10" t="str">
        <f>T("P.O. BOX 880")</f>
        <v>P.O. BOX 880</v>
      </c>
      <c r="E10" s="1" t="s">
        <v>0</v>
      </c>
      <c r="F10" t="s">
        <v>0</v>
      </c>
      <c r="G10" t="str">
        <f>T("BROWNING")</f>
        <v>BROWNING</v>
      </c>
      <c r="H10" t="str">
        <f>T("MT ")</f>
        <v>MT </v>
      </c>
      <c r="I10" s="1">
        <f>N(59417)</f>
        <v>59417</v>
      </c>
      <c r="J10" s="1">
        <f>N(4063387395)</f>
        <v>4063387395</v>
      </c>
      <c r="K10" s="1">
        <f>N(4063387716)</f>
        <v>4063387716</v>
      </c>
    </row>
    <row r="11" spans="1:11" ht="12.75">
      <c r="A11" s="1" t="s">
        <v>11</v>
      </c>
      <c r="B11" t="str">
        <f>T("NORTHERN CHEYENNE AGENCY")</f>
        <v>NORTHERN CHEYENNE AGENCY</v>
      </c>
      <c r="C11" t="str">
        <f>T("DOI/BIA/NORTHERN CHEYENNE AGENCY")</f>
        <v>DOI/BIA/NORTHERN CHEYENNE AGENCY</v>
      </c>
      <c r="D11" t="str">
        <f>T("P.O. BOX 40")</f>
        <v>P.O. BOX 40</v>
      </c>
      <c r="E11" s="1" t="s">
        <v>0</v>
      </c>
      <c r="F11" t="s">
        <v>0</v>
      </c>
      <c r="G11" t="str">
        <f>T("LAME DEER")</f>
        <v>LAME DEER</v>
      </c>
      <c r="H11" t="str">
        <f>T("MT ")</f>
        <v>MT </v>
      </c>
      <c r="I11" s="1">
        <f>N(59043)</f>
        <v>59043</v>
      </c>
      <c r="J11" s="1" t="str">
        <f>T("406 477 8242")</f>
        <v>406 477 8242</v>
      </c>
      <c r="K11" s="1" t="str">
        <f>T("406 477 6636")</f>
        <v>406 477 6636</v>
      </c>
    </row>
    <row r="12" spans="1:11" ht="12.75">
      <c r="A12" s="1" t="s">
        <v>11</v>
      </c>
      <c r="B12" t="str">
        <f>T("WIND RIVER AGENCY")</f>
        <v>WIND RIVER AGENCY</v>
      </c>
      <c r="C12" t="str">
        <f>T("DOI/BIA/WIND RIVER AGENCY")</f>
        <v>DOI/BIA/WIND RIVER AGENCY</v>
      </c>
      <c r="D12" t="str">
        <f>T("P.O. BOX 158")</f>
        <v>P.O. BOX 158</v>
      </c>
      <c r="E12" s="1" t="s">
        <v>0</v>
      </c>
      <c r="F12" t="s">
        <v>0</v>
      </c>
      <c r="G12" t="str">
        <f>T("FORT WASHAKIE")</f>
        <v>FORT WASHAKIE</v>
      </c>
      <c r="H12" t="str">
        <f>T("WY ")</f>
        <v>WY </v>
      </c>
      <c r="I12" s="1">
        <f>N(82514)</f>
        <v>82514</v>
      </c>
      <c r="J12" s="1" t="str">
        <f>T("307 332 4575")</f>
        <v>307 332 4575</v>
      </c>
      <c r="K12" s="1" t="str">
        <f>T("307 332 4578")</f>
        <v>307 332 4578</v>
      </c>
    </row>
    <row r="13" spans="1:11" ht="12.75">
      <c r="A13" s="1" t="s">
        <v>11</v>
      </c>
      <c r="B13" t="str">
        <f>T("REGIONAL DIRECTOR  ARO")</f>
        <v>REGIONAL DIRECTOR  ARO</v>
      </c>
      <c r="C13" t="str">
        <f>T("DOI/BIA/ALASKA REGION")</f>
        <v>DOI/BIA/ALASKA REGION</v>
      </c>
      <c r="D13" t="str">
        <f>T("P.O. BOX 25520")</f>
        <v>P.O. BOX 25520</v>
      </c>
      <c r="E13" s="1" t="s">
        <v>0</v>
      </c>
      <c r="F13" t="s">
        <v>0</v>
      </c>
      <c r="G13" t="str">
        <f>T("JUNEAU")</f>
        <v>JUNEAU</v>
      </c>
      <c r="H13" t="str">
        <f>T("AK ")</f>
        <v>AK </v>
      </c>
      <c r="I13" s="1">
        <f>N(99802)</f>
        <v>99802</v>
      </c>
      <c r="J13" s="1" t="s">
        <v>0</v>
      </c>
      <c r="K13" s="1" t="str">
        <f>T("907 586 7252")</f>
        <v>907 586 7252</v>
      </c>
    </row>
    <row r="14" spans="1:11" ht="12.75">
      <c r="A14" s="1" t="s">
        <v>11</v>
      </c>
      <c r="B14" t="str">
        <f>T("ANCHORAGE AGENCY")</f>
        <v>ANCHORAGE AGENCY</v>
      </c>
      <c r="C14" t="str">
        <f>T("DOI/BIA/ALASKA REGION")</f>
        <v>DOI/BIA/ALASKA REGION</v>
      </c>
      <c r="D14" t="str">
        <f>T("3601 C STREET  SUIT 1100 ")</f>
        <v>3601 C STREET  SUIT 1100 </v>
      </c>
      <c r="E14" s="1" t="s">
        <v>0</v>
      </c>
      <c r="F14" t="s">
        <v>0</v>
      </c>
      <c r="G14" t="str">
        <f>T("JUNEAU")</f>
        <v>JUNEAU</v>
      </c>
      <c r="H14" t="str">
        <f>T("AK ")</f>
        <v>AK </v>
      </c>
      <c r="I14" s="1">
        <f>N(99802)</f>
        <v>99802</v>
      </c>
      <c r="J14" s="1" t="str">
        <f>T("907 271 4088")</f>
        <v>907 271 4088</v>
      </c>
      <c r="K14" s="1" t="str">
        <f>T("907 271 1746")</f>
        <v>907 271 1746</v>
      </c>
    </row>
    <row r="15" spans="1:11" ht="12.75">
      <c r="A15" s="1" t="s">
        <v>11</v>
      </c>
      <c r="B15" t="str">
        <f>T("ASST AREA DIRECTOR FOR ADMIN")</f>
        <v>ASST AREA DIRECTOR FOR ADMIN</v>
      </c>
      <c r="C15" t="str">
        <f>T("MIDWEST REGIONAL OFFICE")</f>
        <v>MIDWEST REGIONAL OFFICE</v>
      </c>
      <c r="D15" t="str">
        <f>T("ONE FEDERAL DRIVE  ROOM 550")</f>
        <v>ONE FEDERAL DRIVE  ROOM 550</v>
      </c>
      <c r="E15" s="1" t="s">
        <v>0</v>
      </c>
      <c r="F15" t="s">
        <v>0</v>
      </c>
      <c r="G15" t="str">
        <f>T("FT. SNELLING")</f>
        <v>FT. SNELLING</v>
      </c>
      <c r="H15" t="str">
        <f>T("MN ")</f>
        <v>MN </v>
      </c>
      <c r="I15" s="1" t="str">
        <f>T("55111 4007")</f>
        <v>55111 4007</v>
      </c>
      <c r="J15" s="1" t="str">
        <f>T("612 713 4400")</f>
        <v>612 713 4400</v>
      </c>
      <c r="K15" s="1" t="str">
        <f>T("612 713 4441")</f>
        <v>612 713 4441</v>
      </c>
    </row>
    <row r="16" spans="1:11" ht="12.75">
      <c r="A16" s="1" t="s">
        <v>11</v>
      </c>
      <c r="B16" t="str">
        <f>T("REGIONAL DIRECTOR  EORO")</f>
        <v>REGIONAL DIRECTOR  EORO</v>
      </c>
      <c r="C16" t="str">
        <f>T("DOI/BIA/EASTERN OKLAHOMA REGIONAL OFFICE")</f>
        <v>DOI/BIA/EASTERN OKLAHOMA REGIONAL OFFICE</v>
      </c>
      <c r="D16" t="str">
        <f>T("101 NORTH 5TH STREET")</f>
        <v>101 NORTH 5TH STREET</v>
      </c>
      <c r="E16" s="1" t="s">
        <v>0</v>
      </c>
      <c r="F16" t="s">
        <v>0</v>
      </c>
      <c r="G16" t="str">
        <f>T("MUSKOGEE")</f>
        <v>MUSKOGEE</v>
      </c>
      <c r="H16" t="str">
        <f>T("OK ")</f>
        <v>OK </v>
      </c>
      <c r="I16" s="1" t="str">
        <f>T("74401 6206")</f>
        <v>74401 6206</v>
      </c>
      <c r="J16" s="1">
        <f>N(9186872296)</f>
        <v>9186872296</v>
      </c>
      <c r="K16" s="1">
        <f>N(9186872571)</f>
        <v>9186872571</v>
      </c>
    </row>
    <row r="17" spans="1:11" ht="12.75">
      <c r="A17" s="1" t="s">
        <v>11</v>
      </c>
      <c r="B17" t="str">
        <f>T("WESTERN REGION")</f>
        <v>WESTERN REGION</v>
      </c>
      <c r="C17" t="str">
        <f>T("DOI/BIA/WESTERN REGIONAL OFFICE")</f>
        <v>DOI/BIA/WESTERN REGIONAL OFFICE</v>
      </c>
      <c r="D17" t="str">
        <f>T("P O BOX 10")</f>
        <v>P O BOX 10</v>
      </c>
      <c r="E17" s="1" t="s">
        <v>0</v>
      </c>
      <c r="F17" t="s">
        <v>0</v>
      </c>
      <c r="G17" t="str">
        <f>T("PHOENIX")</f>
        <v>PHOENIX</v>
      </c>
      <c r="H17" t="str">
        <f>T("AZ ")</f>
        <v>AZ </v>
      </c>
      <c r="I17" s="1" t="str">
        <f>T("85001 0010")</f>
        <v>85001 0010</v>
      </c>
      <c r="J17" s="1" t="str">
        <f>T("602 555 5555")</f>
        <v>602 555 5555</v>
      </c>
      <c r="K17" s="1" t="s">
        <v>0</v>
      </c>
    </row>
    <row r="18" spans="1:11" ht="12.75">
      <c r="A18" s="1" t="s">
        <v>11</v>
      </c>
      <c r="B18" t="str">
        <f>T("DEPUTY DIRECTOR-TRUST SRVS")</f>
        <v>DEPUTY DIRECTOR-TRUST SRVS</v>
      </c>
      <c r="C18" t="str">
        <f>T("DOI/BIA/WESTERN REGIONAL OFFICE")</f>
        <v>DOI/BIA/WESTERN REGIONAL OFFICE</v>
      </c>
      <c r="D18" t="str">
        <f>T("P O BOX 10")</f>
        <v>P O BOX 10</v>
      </c>
      <c r="E18" s="1" t="s">
        <v>0</v>
      </c>
      <c r="F18" t="s">
        <v>0</v>
      </c>
      <c r="G18" t="str">
        <f>T("PHOENIX")</f>
        <v>PHOENIX</v>
      </c>
      <c r="H18" t="str">
        <f>T("AZ ")</f>
        <v>AZ </v>
      </c>
      <c r="I18" s="1">
        <f>N(850010010)</f>
        <v>850010010</v>
      </c>
      <c r="J18" s="1" t="str">
        <f>T("602 379 3318")</f>
        <v>602 379 3318</v>
      </c>
      <c r="K18" s="1" t="str">
        <f>T("602 379 4413")</f>
        <v>602 379 4413</v>
      </c>
    </row>
    <row r="19" spans="1:11" ht="12.75">
      <c r="A19" s="1" t="s">
        <v>11</v>
      </c>
      <c r="B19" t="str">
        <f>T("REGIONAL DIRECTOR  PRO")</f>
        <v>REGIONAL DIRECTOR  PRO</v>
      </c>
      <c r="C19" t="str">
        <f>T("DOI/BIA/PACIFIC REGIONAL OFFICE")</f>
        <v>DOI/BIA/PACIFIC REGIONAL OFFICE</v>
      </c>
      <c r="D19" t="str">
        <f>T("2800 COTTAGE WAY  ROOM W 2820 ")</f>
        <v>2800 COTTAGE WAY  ROOM W 2820 </v>
      </c>
      <c r="E19" s="1" t="s">
        <v>0</v>
      </c>
      <c r="F19" t="s">
        <v>0</v>
      </c>
      <c r="G19" t="str">
        <f>T("SACRAMENTO")</f>
        <v>SACRAMENTO</v>
      </c>
      <c r="H19" t="str">
        <f>T("CA ")</f>
        <v>CA </v>
      </c>
      <c r="I19" s="1">
        <f>N(95825)</f>
        <v>95825</v>
      </c>
      <c r="J19" s="1" t="str">
        <f>T("916 978 6000")</f>
        <v>916 978 6000</v>
      </c>
      <c r="K19" s="1" t="str">
        <f>T("916 978 6099")</f>
        <v>916 978 6099</v>
      </c>
    </row>
    <row r="20" spans="1:11" ht="12.75">
      <c r="A20" s="1" t="s">
        <v>11</v>
      </c>
      <c r="B20" t="str">
        <f>T("DEPUTY DIRECTOR-INDIAN SRVS")</f>
        <v>DEPUTY DIRECTOR-INDIAN SRVS</v>
      </c>
      <c r="C20" t="str">
        <f>T("DOI/BIA/PACIFIC REGIONAL OFFICE")</f>
        <v>DOI/BIA/PACIFIC REGIONAL OFFICE</v>
      </c>
      <c r="D20" t="str">
        <f>T("2800 COTTAGE WAY  ROOM W 2820 ")</f>
        <v>2800 COTTAGE WAY  ROOM W 2820 </v>
      </c>
      <c r="E20" s="1" t="s">
        <v>0</v>
      </c>
      <c r="F20" t="s">
        <v>0</v>
      </c>
      <c r="G20" t="str">
        <f>T("SACRAMENTO")</f>
        <v>SACRAMENTO</v>
      </c>
      <c r="H20" t="str">
        <f>T("CA ")</f>
        <v>CA </v>
      </c>
      <c r="I20" s="1">
        <f>N(95825)</f>
        <v>95825</v>
      </c>
      <c r="J20" s="1" t="str">
        <f>T("916 978 6000")</f>
        <v>916 978 6000</v>
      </c>
      <c r="K20" s="1" t="str">
        <f>T("916 978 6099")</f>
        <v>916 978 6099</v>
      </c>
    </row>
    <row r="21" spans="1:11" ht="12.75">
      <c r="A21" s="1" t="s">
        <v>11</v>
      </c>
      <c r="B21" t="str">
        <f>T("CENTRAL OFC")</f>
        <v>CENTRAL OFC</v>
      </c>
      <c r="C21" t="str">
        <f>T("DOI BUREAU OF INDIAN AFFAIRS")</f>
        <v>DOI BUREAU OF INDIAN AFFAIRS</v>
      </c>
      <c r="D21" t="str">
        <f>T("1849 C STREET  NW  MS 4140 MIB")</f>
        <v>1849 C STREET  NW  MS 4140 MIB</v>
      </c>
      <c r="E21" s="1" t="s">
        <v>0</v>
      </c>
      <c r="F21" t="s">
        <v>0</v>
      </c>
      <c r="G21" t="str">
        <f>T("WASHINGTON")</f>
        <v>WASHINGTON</v>
      </c>
      <c r="H21" t="str">
        <f>T("DC ")</f>
        <v>DC </v>
      </c>
      <c r="I21" s="1">
        <f>N(20240)</f>
        <v>20240</v>
      </c>
      <c r="J21" s="1" t="s">
        <v>0</v>
      </c>
      <c r="K21" s="1" t="s">
        <v>0</v>
      </c>
    </row>
    <row r="22" spans="1:11" ht="12.75">
      <c r="A22" s="1" t="s">
        <v>11</v>
      </c>
      <c r="B22" t="str">
        <f>T("DIRECTOR  BIA")</f>
        <v>DIRECTOR  BIA</v>
      </c>
      <c r="C22" t="str">
        <f>T("1849 C STREET  NW")</f>
        <v>1849 C STREET  NW</v>
      </c>
      <c r="D22" t="s">
        <v>0</v>
      </c>
      <c r="E22" s="1" t="s">
        <v>0</v>
      </c>
      <c r="F22" t="s">
        <v>0</v>
      </c>
      <c r="G22" t="str">
        <f>T("WASHINGTON")</f>
        <v>WASHINGTON</v>
      </c>
      <c r="H22" t="str">
        <f>T("DC ")</f>
        <v>DC </v>
      </c>
      <c r="I22" s="1">
        <f>N(20240)</f>
        <v>20240</v>
      </c>
      <c r="J22" s="1" t="str">
        <f>T("703-390-6328")</f>
        <v>703-390-6328</v>
      </c>
      <c r="K22" s="1" t="s">
        <v>0</v>
      </c>
    </row>
    <row r="23" spans="1:11" ht="12.75">
      <c r="A23" s="1" t="s">
        <v>11</v>
      </c>
      <c r="B23" t="str">
        <f>T("DEPUTY DIRECTOR  TRIBAL SVCS")</f>
        <v>DEPUTY DIRECTOR  TRIBAL SVCS</v>
      </c>
      <c r="C23" t="str">
        <f>T("1849 C STREET  NW")</f>
        <v>1849 C STREET  NW</v>
      </c>
      <c r="D23" t="s">
        <v>0</v>
      </c>
      <c r="E23" s="1" t="s">
        <v>0</v>
      </c>
      <c r="F23" t="s">
        <v>0</v>
      </c>
      <c r="G23" t="str">
        <f>T("WASHINGTON")</f>
        <v>WASHINGTON</v>
      </c>
      <c r="H23" t="str">
        <f>T("DC ")</f>
        <v>DC </v>
      </c>
      <c r="I23" s="1">
        <f>N(20240)</f>
        <v>20240</v>
      </c>
      <c r="J23" s="1" t="str">
        <f>T("703-390-6328")</f>
        <v>703-390-6328</v>
      </c>
      <c r="K23" s="1" t="s">
        <v>0</v>
      </c>
    </row>
    <row r="24" spans="1:11" ht="12.75">
      <c r="A24" s="1" t="s">
        <v>11</v>
      </c>
      <c r="B24" t="str">
        <f>T("DEPUTY DIRECTOR  TRUST SVS")</f>
        <v>DEPUTY DIRECTOR  TRUST SVS</v>
      </c>
      <c r="C24" t="str">
        <f>T("1849 C STREET  NW")</f>
        <v>1849 C STREET  NW</v>
      </c>
      <c r="D24" t="s">
        <v>0</v>
      </c>
      <c r="E24" s="1" t="s">
        <v>0</v>
      </c>
      <c r="F24" t="s">
        <v>0</v>
      </c>
      <c r="G24" t="str">
        <f>T("WASHINGTON")</f>
        <v>WASHINGTON</v>
      </c>
      <c r="H24" t="str">
        <f>T("DC ")</f>
        <v>DC </v>
      </c>
      <c r="I24" s="1">
        <f>N(20240)</f>
        <v>20240</v>
      </c>
      <c r="J24" s="1" t="str">
        <f>T("703-390-6328")</f>
        <v>703-390-6328</v>
      </c>
      <c r="K24" s="1" t="s">
        <v>0</v>
      </c>
    </row>
    <row r="25" spans="1:11" ht="12.75">
      <c r="A25" s="1" t="s">
        <v>11</v>
      </c>
      <c r="B25" t="str">
        <f>T("OFC OF DIR  TRST FND MGMNT")</f>
        <v>OFC OF DIR  TRST FND MGMNT</v>
      </c>
      <c r="C25" t="str">
        <f>T("DOI BUREAU OF INDIAN AFFAIRS")</f>
        <v>DOI BUREAU OF INDIAN AFFAIRS</v>
      </c>
      <c r="D25" t="str">
        <f>T("1849 C STREET  NW")</f>
        <v>1849 C STREET  NW</v>
      </c>
      <c r="E25" s="1" t="s">
        <v>0</v>
      </c>
      <c r="F25" t="s">
        <v>0</v>
      </c>
      <c r="G25" t="str">
        <f>T("WASHINGTON")</f>
        <v>WASHINGTON</v>
      </c>
      <c r="H25" t="str">
        <f>T("DC ")</f>
        <v>DC </v>
      </c>
      <c r="I25" s="1">
        <f>N(20240)</f>
        <v>20240</v>
      </c>
      <c r="J25" s="1" t="s">
        <v>0</v>
      </c>
      <c r="K25" s="1" t="s">
        <v>0</v>
      </c>
    </row>
    <row r="26" spans="1:11" ht="12.75">
      <c r="A26" s="1" t="s">
        <v>11</v>
      </c>
      <c r="B26" t="str">
        <f>T("OFC OF DIR  FACIL MGMT")</f>
        <v>OFC OF DIR  FACIL MGMT</v>
      </c>
      <c r="C26" t="str">
        <f>T("DOI BUREAU OF INDIAN AFFAIRS")</f>
        <v>DOI BUREAU OF INDIAN AFFAIRS</v>
      </c>
      <c r="D26" t="str">
        <f>T("201 THIRD ST.  NW  SUITE 500")</f>
        <v>201 THIRD ST.  NW  SUITE 500</v>
      </c>
      <c r="E26" s="1" t="s">
        <v>0</v>
      </c>
      <c r="F26" t="s">
        <v>0</v>
      </c>
      <c r="G26" t="str">
        <f>T("ALBUQUERQUE")</f>
        <v>ALBUQUERQUE</v>
      </c>
      <c r="H26" t="str">
        <f>T("NM ")</f>
        <v>NM </v>
      </c>
      <c r="I26" s="1">
        <f>N(87103)</f>
        <v>87103</v>
      </c>
      <c r="J26" s="1" t="s">
        <v>0</v>
      </c>
      <c r="K26" s="1" t="s">
        <v>0</v>
      </c>
    </row>
    <row r="27" spans="1:11" ht="12.75">
      <c r="A27" s="1" t="s">
        <v>11</v>
      </c>
      <c r="B27" t="str">
        <f>T("CHEYENNE RIVER ELO")</f>
        <v>CHEYENNE RIVER ELO</v>
      </c>
      <c r="C27" t="str">
        <f>T("PO BOX 2020")</f>
        <v>PO BOX 2020</v>
      </c>
      <c r="D27" t="s">
        <v>0</v>
      </c>
      <c r="E27" s="1" t="s">
        <v>0</v>
      </c>
      <c r="F27" t="s">
        <v>0</v>
      </c>
      <c r="G27" t="str">
        <f>T("EAGLE BUTTE")</f>
        <v>EAGLE BUTTE</v>
      </c>
      <c r="H27" t="str">
        <f>T("SD ")</f>
        <v>SD </v>
      </c>
      <c r="I27" s="1">
        <f>N(57625)</f>
        <v>57625</v>
      </c>
      <c r="J27" s="1">
        <f>N(2022087658)</f>
        <v>2022087658</v>
      </c>
      <c r="K27" s="1" t="s">
        <v>0</v>
      </c>
    </row>
    <row r="28" spans="1:11" ht="12.75">
      <c r="A28" s="1" t="s">
        <v>11</v>
      </c>
      <c r="B28" t="str">
        <f>T("PINE RIDGE ELO")</f>
        <v>PINE RIDGE ELO</v>
      </c>
      <c r="C28" t="str">
        <f>T("PO BOX 333")</f>
        <v>PO BOX 333</v>
      </c>
      <c r="D28" t="s">
        <v>0</v>
      </c>
      <c r="E28" s="1" t="s">
        <v>0</v>
      </c>
      <c r="F28" t="s">
        <v>0</v>
      </c>
      <c r="G28" t="str">
        <f>T("PINE RIDGE")</f>
        <v>PINE RIDGE</v>
      </c>
      <c r="H28" t="str">
        <f>T("SD ")</f>
        <v>SD </v>
      </c>
      <c r="I28" s="1">
        <f>N(57770)</f>
        <v>57770</v>
      </c>
      <c r="J28" s="1">
        <f>N(6058671306)</f>
        <v>6058671306</v>
      </c>
      <c r="K28" s="1" t="s">
        <v>0</v>
      </c>
    </row>
    <row r="29" spans="1:11" ht="12.75">
      <c r="A29" s="1" t="s">
        <v>11</v>
      </c>
      <c r="B29" t="str">
        <f>T("ROSEBUD ELO")</f>
        <v>ROSEBUD ELO</v>
      </c>
      <c r="C29" t="str">
        <f>T("PO BOX 669")</f>
        <v>PO BOX 669</v>
      </c>
      <c r="D29" t="s">
        <v>0</v>
      </c>
      <c r="E29" s="1" t="s">
        <v>0</v>
      </c>
      <c r="F29" t="s">
        <v>0</v>
      </c>
      <c r="G29" t="str">
        <f>T("MISSION")</f>
        <v>MISSION</v>
      </c>
      <c r="H29" t="str">
        <f>T("SD ")</f>
        <v>SD </v>
      </c>
      <c r="I29" s="1">
        <f>N(57555)</f>
        <v>57555</v>
      </c>
      <c r="J29" s="1">
        <f aca="true" t="shared" si="0" ref="J29:J39">N(2022087658)</f>
        <v>2022087658</v>
      </c>
      <c r="K29" s="1" t="s">
        <v>0</v>
      </c>
    </row>
    <row r="30" spans="1:11" ht="12.75">
      <c r="A30" s="1" t="s">
        <v>11</v>
      </c>
      <c r="B30" t="str">
        <f>T("STANDING ROCK ELO")</f>
        <v>STANDING ROCK ELO</v>
      </c>
      <c r="C30" t="str">
        <f>T("PO BOX E")</f>
        <v>PO BOX E</v>
      </c>
      <c r="D30" t="s">
        <v>0</v>
      </c>
      <c r="E30" s="1" t="s">
        <v>0</v>
      </c>
      <c r="F30" t="s">
        <v>0</v>
      </c>
      <c r="G30" t="str">
        <f>T("FORT YATES")</f>
        <v>FORT YATES</v>
      </c>
      <c r="H30" t="str">
        <f>T("SD ")</f>
        <v>SD </v>
      </c>
      <c r="I30" s="1">
        <f>N(58538)</f>
        <v>58538</v>
      </c>
      <c r="J30" s="1">
        <f t="shared" si="0"/>
        <v>2022087658</v>
      </c>
      <c r="K30" s="1" t="s">
        <v>0</v>
      </c>
    </row>
    <row r="31" spans="1:11" ht="12.75">
      <c r="A31" s="1" t="s">
        <v>11</v>
      </c>
      <c r="B31" t="str">
        <f>T("TURTLE MOUNTAIN ELO")</f>
        <v>TURTLE MOUNTAIN ELO</v>
      </c>
      <c r="C31" t="str">
        <f>T("PO BOX 30")</f>
        <v>PO BOX 30</v>
      </c>
      <c r="D31" t="s">
        <v>0</v>
      </c>
      <c r="E31" s="1" t="s">
        <v>0</v>
      </c>
      <c r="F31" t="s">
        <v>0</v>
      </c>
      <c r="G31" t="str">
        <f>T("BELCOURT")</f>
        <v>BELCOURT</v>
      </c>
      <c r="H31" t="str">
        <f>T("ND ")</f>
        <v>ND </v>
      </c>
      <c r="I31" s="1">
        <f>N(58316)</f>
        <v>58316</v>
      </c>
      <c r="J31" s="1">
        <f t="shared" si="0"/>
        <v>2022087658</v>
      </c>
      <c r="K31" s="1" t="s">
        <v>0</v>
      </c>
    </row>
    <row r="32" spans="1:11" ht="12.75">
      <c r="A32" s="1" t="s">
        <v>11</v>
      </c>
      <c r="B32" t="str">
        <f>T("CROW CREEK LOWER BRULE ELO")</f>
        <v>CROW CREEK LOWER BRULE ELO</v>
      </c>
      <c r="C32" t="str">
        <f>T("190 OYATE CIRCLE")</f>
        <v>190 OYATE CIRCLE</v>
      </c>
      <c r="D32" t="str">
        <f>T("140 EDUCATION AVE.  PO BOX 139")</f>
        <v>140 EDUCATION AVE.  PO BOX 139</v>
      </c>
      <c r="E32" s="1" t="s">
        <v>0</v>
      </c>
      <c r="F32" t="s">
        <v>0</v>
      </c>
      <c r="G32" t="str">
        <f>T("LOWER BRULE")</f>
        <v>LOWER BRULE</v>
      </c>
      <c r="H32" t="str">
        <f>T("SD ")</f>
        <v>SD </v>
      </c>
      <c r="I32" s="1">
        <f>N(57548)</f>
        <v>57548</v>
      </c>
      <c r="J32" s="1">
        <f t="shared" si="0"/>
        <v>2022087658</v>
      </c>
      <c r="K32" s="1" t="s">
        <v>0</v>
      </c>
    </row>
    <row r="33" spans="1:11" ht="12.75">
      <c r="A33" s="1" t="s">
        <v>11</v>
      </c>
      <c r="B33" t="str">
        <f>T("OKLAHOMA ELO")</f>
        <v>OKLAHOMA ELO</v>
      </c>
      <c r="C33" t="str">
        <f>T("4149 HIGH LINE BLVD SUITE 380")</f>
        <v>4149 HIGH LINE BLVD SUITE 380</v>
      </c>
      <c r="D33" t="s">
        <v>0</v>
      </c>
      <c r="E33" s="1" t="s">
        <v>0</v>
      </c>
      <c r="F33" t="s">
        <v>0</v>
      </c>
      <c r="G33" t="str">
        <f>T("OKLAHOMA CITY")</f>
        <v>OKLAHOMA CITY</v>
      </c>
      <c r="H33" t="str">
        <f>T("OK ")</f>
        <v>OK </v>
      </c>
      <c r="I33" s="1">
        <f>N(73018)</f>
        <v>73018</v>
      </c>
      <c r="J33" s="1">
        <f t="shared" si="0"/>
        <v>2022087658</v>
      </c>
      <c r="K33" s="1" t="s">
        <v>0</v>
      </c>
    </row>
    <row r="34" spans="1:11" ht="12.75">
      <c r="A34" s="1" t="s">
        <v>11</v>
      </c>
      <c r="B34" t="str">
        <f>T("BILLINGS ELO")</f>
        <v>BILLINGS ELO</v>
      </c>
      <c r="C34" t="str">
        <f>T("316 N 26TH STREET")</f>
        <v>316 N 26TH STREET</v>
      </c>
      <c r="D34" t="s">
        <v>0</v>
      </c>
      <c r="E34" s="1" t="s">
        <v>0</v>
      </c>
      <c r="F34" t="s">
        <v>0</v>
      </c>
      <c r="G34" t="str">
        <f>T("BILLINGS")</f>
        <v>BILLINGS</v>
      </c>
      <c r="H34" t="str">
        <f>T("MT ")</f>
        <v>MT </v>
      </c>
      <c r="I34" s="1">
        <f>N(59101)</f>
        <v>59101</v>
      </c>
      <c r="J34" s="1">
        <f t="shared" si="0"/>
        <v>2022087658</v>
      </c>
      <c r="K34" s="1" t="s">
        <v>0</v>
      </c>
    </row>
    <row r="35" spans="1:11" ht="12.75">
      <c r="A35" s="1" t="s">
        <v>11</v>
      </c>
      <c r="B35" t="str">
        <f>T("MINNEAPOLIS ELO")</f>
        <v>MINNEAPOLIS ELO</v>
      </c>
      <c r="C35" t="str">
        <f>T("1 FEDERAL DRIVE ROOM 550")</f>
        <v>1 FEDERAL DRIVE ROOM 550</v>
      </c>
      <c r="D35" t="s">
        <v>0</v>
      </c>
      <c r="E35" s="1" t="s">
        <v>0</v>
      </c>
      <c r="F35" t="s">
        <v>0</v>
      </c>
      <c r="G35" t="str">
        <f>T("FT. SNELLING")</f>
        <v>FT. SNELLING</v>
      </c>
      <c r="H35" t="str">
        <f>T("MN ")</f>
        <v>MN </v>
      </c>
      <c r="I35" s="1">
        <f>N(55111)</f>
        <v>55111</v>
      </c>
      <c r="J35" s="1">
        <f t="shared" si="0"/>
        <v>2022087658</v>
      </c>
      <c r="K35" s="1" t="s">
        <v>0</v>
      </c>
    </row>
    <row r="36" spans="1:11" ht="12.75">
      <c r="A36" s="1" t="s">
        <v>11</v>
      </c>
      <c r="B36" t="str">
        <f>T("FORT APACHE ELO")</f>
        <v>FORT APACHE ELO</v>
      </c>
      <c r="C36" t="str">
        <f>T("PO BOX 920")</f>
        <v>PO BOX 920</v>
      </c>
      <c r="D36" t="s">
        <v>0</v>
      </c>
      <c r="E36" s="1" t="s">
        <v>0</v>
      </c>
      <c r="F36" t="s">
        <v>0</v>
      </c>
      <c r="G36" t="str">
        <f>T("WHITERIVER")</f>
        <v>WHITERIVER</v>
      </c>
      <c r="H36" t="str">
        <f>T("AZ ")</f>
        <v>AZ </v>
      </c>
      <c r="I36" s="1">
        <f>N(89541)</f>
        <v>89541</v>
      </c>
      <c r="J36" s="1">
        <f t="shared" si="0"/>
        <v>2022087658</v>
      </c>
      <c r="K36" s="1" t="s">
        <v>0</v>
      </c>
    </row>
    <row r="37" spans="1:11" ht="12.75">
      <c r="A37" s="1" t="s">
        <v>11</v>
      </c>
      <c r="B37" t="str">
        <f>T("PIMA PAPAGO ELO")</f>
        <v>PIMA PAPAGO ELO</v>
      </c>
      <c r="C37" t="str">
        <f>T("HC01 BOX 8600")</f>
        <v>HC01 BOX 8600</v>
      </c>
      <c r="D37" t="s">
        <v>0</v>
      </c>
      <c r="E37" s="1" t="s">
        <v>0</v>
      </c>
      <c r="F37" t="s">
        <v>0</v>
      </c>
      <c r="G37" t="str">
        <f>T("SELLS")</f>
        <v>SELLS</v>
      </c>
      <c r="H37" t="str">
        <f>T("AZ ")</f>
        <v>AZ </v>
      </c>
      <c r="I37" s="1">
        <f>N(85634)</f>
        <v>85634</v>
      </c>
      <c r="J37" s="1">
        <f t="shared" si="0"/>
        <v>2022087658</v>
      </c>
      <c r="K37" s="1" t="s">
        <v>0</v>
      </c>
    </row>
    <row r="38" spans="1:11" ht="12.75">
      <c r="A38" s="1" t="s">
        <v>11</v>
      </c>
      <c r="B38" t="str">
        <f>T("HOPI ELO")</f>
        <v>HOPI ELO</v>
      </c>
      <c r="C38" t="str">
        <f>T("PO BOX 568")</f>
        <v>PO BOX 568</v>
      </c>
      <c r="D38" t="s">
        <v>0</v>
      </c>
      <c r="E38" s="1" t="s">
        <v>0</v>
      </c>
      <c r="F38" t="s">
        <v>0</v>
      </c>
      <c r="G38" t="str">
        <f>T("KEAMS CANYON")</f>
        <v>KEAMS CANYON</v>
      </c>
      <c r="H38" t="str">
        <f>T("AZ ")</f>
        <v>AZ </v>
      </c>
      <c r="I38" s="1">
        <f>N(86034)</f>
        <v>86034</v>
      </c>
      <c r="J38" s="1">
        <f t="shared" si="0"/>
        <v>2022087658</v>
      </c>
      <c r="K38" s="1" t="s">
        <v>0</v>
      </c>
    </row>
    <row r="39" spans="1:11" ht="12.75">
      <c r="A39" s="1" t="s">
        <v>11</v>
      </c>
      <c r="B39" t="str">
        <f>T("SACRAMENTO ELO")</f>
        <v>SACRAMENTO ELO</v>
      </c>
      <c r="C39" t="str">
        <f>T("2800 COTTAGE WAY")</f>
        <v>2800 COTTAGE WAY</v>
      </c>
      <c r="D39" t="s">
        <v>0</v>
      </c>
      <c r="E39" s="1" t="s">
        <v>0</v>
      </c>
      <c r="F39" t="s">
        <v>0</v>
      </c>
      <c r="G39" t="str">
        <f>T("SACRAMENTO")</f>
        <v>SACRAMENTO</v>
      </c>
      <c r="H39" t="str">
        <f>T("CA ")</f>
        <v>CA </v>
      </c>
      <c r="I39" s="1">
        <f>N(95825)</f>
        <v>95825</v>
      </c>
      <c r="J39" s="1">
        <f t="shared" si="0"/>
        <v>2022087658</v>
      </c>
      <c r="K39" s="1" t="s">
        <v>0</v>
      </c>
    </row>
    <row r="40" spans="1:11" ht="12.75">
      <c r="A40" s="1" t="s">
        <v>11</v>
      </c>
      <c r="B40" t="str">
        <f>T("BR OF FACIL")</f>
        <v>BR OF FACIL</v>
      </c>
      <c r="C40" t="str">
        <f>T("DOI/BIA/OFFICE OF INDIAN EDUC. PROGRAMS")</f>
        <v>DOI/BIA/OFFICE OF INDIAN EDUC. PROGRAMS</v>
      </c>
      <c r="D40" t="str">
        <f>T("SCHOOL SUPPORT")</f>
        <v>SCHOOL SUPPORT</v>
      </c>
      <c r="E40" s="1" t="str">
        <f>T("500 GOLD AVENUE  SW ")</f>
        <v>500 GOLD AVENUE  SW </v>
      </c>
      <c r="F40" t="str">
        <f>T("7TH FLOOR   ROOM 7_A")</f>
        <v>7TH FLOOR   ROOM 7_A</v>
      </c>
      <c r="G40" t="str">
        <f>T("ALBUQUERQUE")</f>
        <v>ALBUQUERQUE</v>
      </c>
      <c r="H40" t="str">
        <f>T("NM ")</f>
        <v>NM </v>
      </c>
      <c r="I40" s="1">
        <f>N(87102)</f>
        <v>87102</v>
      </c>
      <c r="J40" s="1" t="str">
        <f>T("505 248 6946")</f>
        <v>505 248 6946</v>
      </c>
      <c r="K40" s="1" t="str">
        <f>T("505 248 6353")</f>
        <v>505 248 6353</v>
      </c>
    </row>
    <row r="41" spans="1:11" ht="12.75">
      <c r="A41" s="1" t="s">
        <v>11</v>
      </c>
      <c r="B41" t="str">
        <f>T("DIV OF PLNG  OVRSGT &amp; EVL")</f>
        <v>DIV OF PLNG  OVRSGT &amp; EVL</v>
      </c>
      <c r="C41" t="str">
        <f>T("DOI/BIA/OFFICE OF INDIAN EDUC. PROGRAMS")</f>
        <v>DOI/BIA/OFFICE OF INDIAN EDUC. PROGRAMS</v>
      </c>
      <c r="D41" t="str">
        <f>T("1849 C ST  NW  MS 3512MIB")</f>
        <v>1849 C ST  NW  MS 3512MIB</v>
      </c>
      <c r="E41" s="1" t="s">
        <v>0</v>
      </c>
      <c r="F41" t="s">
        <v>0</v>
      </c>
      <c r="G41" t="str">
        <f>T("WASHINGTON")</f>
        <v>WASHINGTON</v>
      </c>
      <c r="H41" t="str">
        <f>T("DC ")</f>
        <v>DC </v>
      </c>
      <c r="I41" s="1">
        <f>N(20240)</f>
        <v>20240</v>
      </c>
      <c r="J41" s="1" t="str">
        <f>T("202 208 5810")</f>
        <v>202 208 5810</v>
      </c>
      <c r="K41" s="1" t="str">
        <f>T("202 273 0030")</f>
        <v>202 273 0030</v>
      </c>
    </row>
    <row r="42" spans="1:11" ht="12.75">
      <c r="A42" s="1" t="s">
        <v>11</v>
      </c>
      <c r="B42" t="str">
        <f>T("SW INDIAN POLYTECH INST")</f>
        <v>SW INDIAN POLYTECH INST</v>
      </c>
      <c r="C42" t="str">
        <f>T("DOI/BIA/OFFICE OF INDIAN EDUC. PROGRAMS")</f>
        <v>DOI/BIA/OFFICE OF INDIAN EDUC. PROGRAMS</v>
      </c>
      <c r="D42" t="str">
        <f>T("9169 COORS ROAD  NW ")</f>
        <v>9169 COORS ROAD  NW </v>
      </c>
      <c r="E42" s="1" t="str">
        <f>T("PO BOX 10146 9196")</f>
        <v>PO BOX 10146 9196</v>
      </c>
      <c r="F42" t="s">
        <v>0</v>
      </c>
      <c r="G42" t="str">
        <f>T("ABUQUERQUE")</f>
        <v>ABUQUERQUE</v>
      </c>
      <c r="H42" t="str">
        <f>T("NM ")</f>
        <v>NM </v>
      </c>
      <c r="I42" s="1">
        <f>N(87184)</f>
        <v>87184</v>
      </c>
      <c r="J42" s="1" t="str">
        <f>T("505 346 2347")</f>
        <v>505 346 2347</v>
      </c>
      <c r="K42" s="1" t="str">
        <f>T("505 346 2343")</f>
        <v>505 346 2343</v>
      </c>
    </row>
    <row r="43" spans="1:11" ht="12.75">
      <c r="A43" s="1" t="s">
        <v>11</v>
      </c>
      <c r="B43" t="str">
        <f>T("SOUTHERN PUEBLOS ELO")</f>
        <v>SOUTHERN PUEBLOS ELO</v>
      </c>
      <c r="C43" t="str">
        <f>T("1000 INDIAN SCHOOL RD NW")</f>
        <v>1000 INDIAN SCHOOL RD NW</v>
      </c>
      <c r="D43" t="s">
        <v>0</v>
      </c>
      <c r="E43" s="1" t="s">
        <v>0</v>
      </c>
      <c r="F43" t="s">
        <v>0</v>
      </c>
      <c r="G43" t="str">
        <f>T("ALBUQUERQUE")</f>
        <v>ALBUQUERQUE</v>
      </c>
      <c r="H43" t="str">
        <f>T("NM ")</f>
        <v>NM </v>
      </c>
      <c r="I43" s="1">
        <f>N(87103)</f>
        <v>87103</v>
      </c>
      <c r="J43" s="1">
        <f>N(2022087658)</f>
        <v>2022087658</v>
      </c>
      <c r="K43" s="1" t="s">
        <v>0</v>
      </c>
    </row>
    <row r="44" spans="1:11" ht="12.75">
      <c r="A44" s="1" t="s">
        <v>11</v>
      </c>
      <c r="B44" t="str">
        <f>T("NRTHRN PUEBLOS AGCY-EDUCTN")</f>
        <v>NRTHRN PUEBLOS AGCY-EDUCTN</v>
      </c>
      <c r="C44" t="str">
        <f>T("DOI/BIA/OFFICE OF INDIAN EDUC. PROGRAMS")</f>
        <v>DOI/BIA/OFFICE OF INDIAN EDUC. PROGRAMS</v>
      </c>
      <c r="D44" t="str">
        <f>T("PO BOX 4269 FAIRVIEW STATION   ")</f>
        <v>PO BOX 4269 FAIRVIEW STATION   </v>
      </c>
      <c r="E44" s="1" t="s">
        <v>0</v>
      </c>
      <c r="F44" t="s">
        <v>0</v>
      </c>
      <c r="G44" t="str">
        <f>T("ESPANOLA")</f>
        <v>ESPANOLA</v>
      </c>
      <c r="H44" t="str">
        <f>T("NM ")</f>
        <v>NM </v>
      </c>
      <c r="I44" s="1">
        <f>N(87533)</f>
        <v>87533</v>
      </c>
      <c r="J44" s="1" t="str">
        <f>T("505 753 1466")</f>
        <v>505 753 1466</v>
      </c>
      <c r="K44" s="1" t="str">
        <f>T("505 753 1475")</f>
        <v>505 753 1475</v>
      </c>
    </row>
    <row r="45" spans="1:11" ht="12.75">
      <c r="A45" s="1" t="s">
        <v>11</v>
      </c>
      <c r="B45" t="str">
        <f>T("NORTHERN NAVAJO ELO")</f>
        <v>NORTHERN NAVAJO ELO</v>
      </c>
      <c r="C45" t="str">
        <f>T("PO BOX 3239")</f>
        <v>PO BOX 3239</v>
      </c>
      <c r="D45" t="s">
        <v>0</v>
      </c>
      <c r="E45" s="1" t="s">
        <v>0</v>
      </c>
      <c r="F45" t="s">
        <v>0</v>
      </c>
      <c r="G45" t="str">
        <f>T("SHIPROCK")</f>
        <v>SHIPROCK</v>
      </c>
      <c r="H45" t="str">
        <f>T("NM ")</f>
        <v>NM </v>
      </c>
      <c r="I45" s="1">
        <f>N(87420)</f>
        <v>87420</v>
      </c>
      <c r="J45" s="1">
        <f aca="true" t="shared" si="1" ref="J45:J51">N(2022087658)</f>
        <v>2022087658</v>
      </c>
      <c r="K45" s="1" t="s">
        <v>0</v>
      </c>
    </row>
    <row r="46" spans="1:11" ht="12.75">
      <c r="A46" s="1" t="s">
        <v>11</v>
      </c>
      <c r="B46" t="str">
        <f>T("WESTERN NAVAJO ELO")</f>
        <v>WESTERN NAVAJO ELO</v>
      </c>
      <c r="C46" t="str">
        <f>T("PO BOX 748")</f>
        <v>PO BOX 748</v>
      </c>
      <c r="D46" t="s">
        <v>0</v>
      </c>
      <c r="E46" s="1" t="s">
        <v>0</v>
      </c>
      <c r="F46" t="s">
        <v>0</v>
      </c>
      <c r="G46" t="str">
        <f>T("TUBA CITY")</f>
        <v>TUBA CITY</v>
      </c>
      <c r="H46" t="str">
        <f>T("AZ ")</f>
        <v>AZ </v>
      </c>
      <c r="I46" s="1">
        <f>N(86045)</f>
        <v>86045</v>
      </c>
      <c r="J46" s="1">
        <f t="shared" si="1"/>
        <v>2022087658</v>
      </c>
      <c r="K46" s="1" t="s">
        <v>0</v>
      </c>
    </row>
    <row r="47" spans="1:11" ht="12.75">
      <c r="A47" s="1" t="s">
        <v>11</v>
      </c>
      <c r="B47" t="str">
        <f>T("EASTERN NAVAJO ELO")</f>
        <v>EASTERN NAVAJO ELO</v>
      </c>
      <c r="C47" t="str">
        <f>T("PO BOX 328")</f>
        <v>PO BOX 328</v>
      </c>
      <c r="D47" t="s">
        <v>0</v>
      </c>
      <c r="E47" s="1" t="s">
        <v>0</v>
      </c>
      <c r="F47" t="s">
        <v>0</v>
      </c>
      <c r="G47" t="str">
        <f>T("CROWNPOINT")</f>
        <v>CROWNPOINT</v>
      </c>
      <c r="H47" t="str">
        <f>T("NM ")</f>
        <v>NM </v>
      </c>
      <c r="I47" s="1">
        <f>N(87313)</f>
        <v>87313</v>
      </c>
      <c r="J47" s="1">
        <f t="shared" si="1"/>
        <v>2022087658</v>
      </c>
      <c r="K47" s="1" t="s">
        <v>0</v>
      </c>
    </row>
    <row r="48" spans="1:11" ht="12.75">
      <c r="A48" s="1" t="s">
        <v>11</v>
      </c>
      <c r="B48" t="str">
        <f>T("CENTRAL NAVAJO ELO")</f>
        <v>CENTRAL NAVAJO ELO</v>
      </c>
      <c r="C48" t="str">
        <f>T("PO BOX 6003")</f>
        <v>PO BOX 6003</v>
      </c>
      <c r="D48" t="s">
        <v>0</v>
      </c>
      <c r="E48" s="1" t="s">
        <v>0</v>
      </c>
      <c r="F48" t="s">
        <v>0</v>
      </c>
      <c r="G48" t="str">
        <f>T("CHINLE")</f>
        <v>CHINLE</v>
      </c>
      <c r="H48" t="str">
        <f>T("AZ ")</f>
        <v>AZ </v>
      </c>
      <c r="I48" s="1">
        <f>N(86503)</f>
        <v>86503</v>
      </c>
      <c r="J48" s="1">
        <f t="shared" si="1"/>
        <v>2022087658</v>
      </c>
      <c r="K48" s="1" t="s">
        <v>0</v>
      </c>
    </row>
    <row r="49" spans="1:11" ht="12.75">
      <c r="A49" s="1" t="s">
        <v>11</v>
      </c>
      <c r="B49" t="str">
        <f>T("FORT DEFIANCE ELO")</f>
        <v>FORT DEFIANCE ELO</v>
      </c>
      <c r="C49" t="str">
        <f>T("PO BOX 110")</f>
        <v>PO BOX 110</v>
      </c>
      <c r="D49" t="s">
        <v>0</v>
      </c>
      <c r="E49" s="1" t="s">
        <v>0</v>
      </c>
      <c r="F49" t="s">
        <v>0</v>
      </c>
      <c r="G49" t="str">
        <f>T("FT DEFIANCE")</f>
        <v>FT DEFIANCE</v>
      </c>
      <c r="H49" t="str">
        <f>T("AZ ")</f>
        <v>AZ </v>
      </c>
      <c r="I49" s="1">
        <f>N(86504)</f>
        <v>86504</v>
      </c>
      <c r="J49" s="1">
        <f t="shared" si="1"/>
        <v>2022087658</v>
      </c>
      <c r="K49" s="1" t="s">
        <v>0</v>
      </c>
    </row>
    <row r="50" spans="1:11" ht="12.75">
      <c r="A50" s="1" t="s">
        <v>11</v>
      </c>
      <c r="B50" t="str">
        <f>T("PORTLAND ELO")</f>
        <v>PORTLAND ELO</v>
      </c>
      <c r="C50" t="str">
        <f>T("911 NE 11 AVENUE")</f>
        <v>911 NE 11 AVENUE</v>
      </c>
      <c r="D50" t="s">
        <v>0</v>
      </c>
      <c r="E50" s="1" t="s">
        <v>0</v>
      </c>
      <c r="F50" t="s">
        <v>0</v>
      </c>
      <c r="G50" t="str">
        <f>T("PORTLAND")</f>
        <v>PORTLAND</v>
      </c>
      <c r="H50" t="str">
        <f>T("OR ")</f>
        <v>OR </v>
      </c>
      <c r="I50" s="1">
        <f>N(97232)</f>
        <v>97232</v>
      </c>
      <c r="J50" s="1">
        <f t="shared" si="1"/>
        <v>2022087658</v>
      </c>
      <c r="K50" s="1" t="s">
        <v>0</v>
      </c>
    </row>
    <row r="51" spans="1:11" ht="12.75">
      <c r="A51" s="1" t="s">
        <v>11</v>
      </c>
      <c r="B51" t="str">
        <f>T("SOUTH &amp; EASTERN STATES ELO")</f>
        <v>SOUTH &amp; EASTERN STATES ELO</v>
      </c>
      <c r="C51" t="str">
        <f>T("51 CENTURY BLVD SUITE 340")</f>
        <v>51 CENTURY BLVD SUITE 340</v>
      </c>
      <c r="D51" t="s">
        <v>0</v>
      </c>
      <c r="E51" s="1" t="s">
        <v>0</v>
      </c>
      <c r="F51" t="s">
        <v>0</v>
      </c>
      <c r="G51" t="str">
        <f>T("NASHVILLE")</f>
        <v>NASHVILLE</v>
      </c>
      <c r="H51" t="str">
        <f>T("TN ")</f>
        <v>TN </v>
      </c>
      <c r="I51" s="1">
        <f>N(37214)</f>
        <v>37214</v>
      </c>
      <c r="J51" s="1">
        <f t="shared" si="1"/>
        <v>2022087658</v>
      </c>
      <c r="K51" s="1" t="s">
        <v>0</v>
      </c>
    </row>
    <row r="52" spans="1:11" ht="12.75">
      <c r="A52" s="1" t="s">
        <v>11</v>
      </c>
      <c r="B52" t="str">
        <f>T("REGIONAL DIRECTOR  SWRO")</f>
        <v>REGIONAL DIRECTOR  SWRO</v>
      </c>
      <c r="C52" t="str">
        <f>T("REGIONAL DIRECTOR'S OFC")</f>
        <v>REGIONAL DIRECTOR'S OFC</v>
      </c>
      <c r="D52" t="str">
        <f>T("BIA/SOUTHWEST REGION")</f>
        <v>BIA/SOUTHWEST REGION</v>
      </c>
      <c r="E52" s="1" t="str">
        <f>T("P.O. BOX 26567")</f>
        <v>P.O. BOX 26567</v>
      </c>
      <c r="F52" t="s">
        <v>0</v>
      </c>
      <c r="G52" t="str">
        <f>T("ALBUQUERQUE")</f>
        <v>ALBUQUERQUE</v>
      </c>
      <c r="H52" t="str">
        <f>T("NM ")</f>
        <v>NM </v>
      </c>
      <c r="I52" s="1">
        <f>N(87125)</f>
        <v>87125</v>
      </c>
      <c r="J52" s="1" t="str">
        <f>T("505 346 7149")</f>
        <v>505 346 7149</v>
      </c>
      <c r="K52" s="1" t="str">
        <f>T("505 346 7517")</f>
        <v>505 346 7517</v>
      </c>
    </row>
    <row r="53" spans="1:11" ht="12.75">
      <c r="A53" s="1" t="s">
        <v>11</v>
      </c>
      <c r="B53" t="str">
        <f>T("REGIONAL DIRECTOR  NRO")</f>
        <v>REGIONAL DIRECTOR  NRO</v>
      </c>
      <c r="C53" t="str">
        <f>T("DOI BUREAU OF INDIAN AFFAIRS")</f>
        <v>DOI BUREAU OF INDIAN AFFAIRS</v>
      </c>
      <c r="D53" t="str">
        <f>T("301 WEST HILL  MC100 ")</f>
        <v>301 WEST HILL  MC100 </v>
      </c>
      <c r="E53" s="1" t="s">
        <v>0</v>
      </c>
      <c r="F53" t="s">
        <v>0</v>
      </c>
      <c r="G53" t="str">
        <f>T("GALLUP")</f>
        <v>GALLUP</v>
      </c>
      <c r="H53" t="str">
        <f>T("NM ")</f>
        <v>NM </v>
      </c>
      <c r="I53" s="1">
        <f>N(87301)</f>
        <v>87301</v>
      </c>
      <c r="J53" s="1">
        <f>N(5058638314)</f>
        <v>5058638314</v>
      </c>
      <c r="K53" s="1">
        <f>N(5058638324)</f>
        <v>5058638324</v>
      </c>
    </row>
    <row r="54" spans="1:11" ht="12.75">
      <c r="A54" s="1" t="s">
        <v>11</v>
      </c>
      <c r="B54" t="str">
        <f>T("DEPUTY RD - TRUST SRVS")</f>
        <v>DEPUTY RD - TRUST SRVS</v>
      </c>
      <c r="C54" t="str">
        <f>T("DOI BUREAU OF INDIAN AFFAIRS")</f>
        <v>DOI BUREAU OF INDIAN AFFAIRS</v>
      </c>
      <c r="D54" t="str">
        <f>T("301 WEST HILL  MC400")</f>
        <v>301 WEST HILL  MC400</v>
      </c>
      <c r="E54" s="1" t="s">
        <v>0</v>
      </c>
      <c r="F54" t="s">
        <v>0</v>
      </c>
      <c r="G54" t="str">
        <f>T("GALLUP")</f>
        <v>GALLUP</v>
      </c>
      <c r="H54" t="str">
        <f>T("NM ")</f>
        <v>NM </v>
      </c>
      <c r="I54" s="1">
        <f>N(87301)</f>
        <v>87301</v>
      </c>
      <c r="J54" s="1">
        <f>N(5058638350)</f>
        <v>5058638350</v>
      </c>
      <c r="K54" s="1">
        <f>N(5058638480)</f>
        <v>5058638480</v>
      </c>
    </row>
    <row r="55" spans="1:11" ht="12.75">
      <c r="A55" s="1" t="s">
        <v>11</v>
      </c>
      <c r="B55" t="str">
        <f>T("REGIONAL DIRECTOR  NWRO")</f>
        <v>REGIONAL DIRECTOR  NWRO</v>
      </c>
      <c r="C55" t="str">
        <f>T("DOI/ BIA/NW REGIONAL OFFICE")</f>
        <v>DOI/ BIA/NW REGIONAL OFFICE</v>
      </c>
      <c r="D55" t="str">
        <f>T("911 N.E. 11TH AVE.")</f>
        <v>911 N.E. 11TH AVE.</v>
      </c>
      <c r="E55" s="1" t="s">
        <v>0</v>
      </c>
      <c r="F55" t="s">
        <v>0</v>
      </c>
      <c r="G55" t="str">
        <f>T("PORTLAND")</f>
        <v>PORTLAND</v>
      </c>
      <c r="H55" t="str">
        <f>T("OR ")</f>
        <v>OR </v>
      </c>
      <c r="I55" s="1">
        <f>N(97232)</f>
        <v>97232</v>
      </c>
      <c r="J55" s="1" t="s">
        <v>0</v>
      </c>
      <c r="K55" s="1" t="s">
        <v>0</v>
      </c>
    </row>
    <row r="56" spans="1:11" ht="12.75">
      <c r="A56" s="1" t="s">
        <v>11</v>
      </c>
      <c r="B56" t="str">
        <f>T("DEPUTY DIRECTOR-INDIAN SRVS")</f>
        <v>DEPUTY DIRECTOR-INDIAN SRVS</v>
      </c>
      <c r="C56" t="str">
        <f>T("DOI/ BIA/NW REGIONAL OFFICE")</f>
        <v>DOI/ BIA/NW REGIONAL OFFICE</v>
      </c>
      <c r="D56" t="str">
        <f>T("911 N.E. 11TH AVE.")</f>
        <v>911 N.E. 11TH AVE.</v>
      </c>
      <c r="E56" s="1" t="s">
        <v>0</v>
      </c>
      <c r="F56" t="s">
        <v>0</v>
      </c>
      <c r="G56" t="str">
        <f>T("PORTLAND")</f>
        <v>PORTLAND</v>
      </c>
      <c r="H56" t="str">
        <f>T("OR ")</f>
        <v>OR </v>
      </c>
      <c r="I56" s="1">
        <f>N(97232)</f>
        <v>97232</v>
      </c>
      <c r="J56" s="1" t="s">
        <v>0</v>
      </c>
      <c r="K56" s="1" t="s">
        <v>0</v>
      </c>
    </row>
    <row r="57" spans="1:11" ht="12.75">
      <c r="A57" s="1" t="s">
        <v>11</v>
      </c>
      <c r="B57" t="str">
        <f>T("SILETZ AGENCY")</f>
        <v>SILETZ AGENCY</v>
      </c>
      <c r="C57" t="str">
        <f>T("DOI/BIA/ SILETZ AGENCY")</f>
        <v>DOI/BIA/ SILETZ AGENCY</v>
      </c>
      <c r="D57" t="str">
        <f>T("P.O. BOX 569")</f>
        <v>P.O. BOX 569</v>
      </c>
      <c r="E57" s="1" t="s">
        <v>0</v>
      </c>
      <c r="F57" t="s">
        <v>0</v>
      </c>
      <c r="G57" t="str">
        <f>T("SILETZ")</f>
        <v>SILETZ</v>
      </c>
      <c r="H57" t="str">
        <f>T("OR ")</f>
        <v>OR </v>
      </c>
      <c r="I57" s="1">
        <f>N(97380)</f>
        <v>97380</v>
      </c>
      <c r="J57" s="1" t="s">
        <v>0</v>
      </c>
      <c r="K57" s="1" t="s">
        <v>0</v>
      </c>
    </row>
    <row r="58" spans="1:11" ht="12.75">
      <c r="A58" s="1" t="s">
        <v>11</v>
      </c>
      <c r="B58" t="str">
        <f>T("COLVILLE AGENCY")</f>
        <v>COLVILLE AGENCY</v>
      </c>
      <c r="C58" t="str">
        <f>T("DOIBIA/COLVILLE AGENCY")</f>
        <v>DOIBIA/COLVILLE AGENCY</v>
      </c>
      <c r="D58" t="str">
        <f>T("P.O. BOX 111")</f>
        <v>P.O. BOX 111</v>
      </c>
      <c r="E58" s="1" t="s">
        <v>0</v>
      </c>
      <c r="F58" t="s">
        <v>0</v>
      </c>
      <c r="G58" t="str">
        <f>T("NESPELEM")</f>
        <v>NESPELEM</v>
      </c>
      <c r="H58" t="str">
        <f>T("WA ")</f>
        <v>WA </v>
      </c>
      <c r="I58" s="1">
        <f>N(99155)</f>
        <v>99155</v>
      </c>
      <c r="J58" s="1" t="s">
        <v>0</v>
      </c>
      <c r="K58" s="1" t="s">
        <v>0</v>
      </c>
    </row>
    <row r="59" spans="1:11" ht="12.75">
      <c r="A59" s="1" t="s">
        <v>11</v>
      </c>
      <c r="B59" t="str">
        <f>T("FORT HALL AGENCY")</f>
        <v>FORT HALL AGENCY</v>
      </c>
      <c r="C59" t="str">
        <f>T("DOI/BIA/FORT HALL AGENCY")</f>
        <v>DOI/BIA/FORT HALL AGENCY</v>
      </c>
      <c r="D59" t="str">
        <f>T("P.O. BOX 220")</f>
        <v>P.O. BOX 220</v>
      </c>
      <c r="E59" s="1" t="s">
        <v>0</v>
      </c>
      <c r="F59" t="s">
        <v>0</v>
      </c>
      <c r="G59" t="str">
        <f>T("FORT HALL")</f>
        <v>FORT HALL</v>
      </c>
      <c r="H59" t="str">
        <f>T("ID ")</f>
        <v>ID </v>
      </c>
      <c r="I59" s="1">
        <f>N(83203)</f>
        <v>83203</v>
      </c>
      <c r="J59" s="1" t="s">
        <v>0</v>
      </c>
      <c r="K59" s="1" t="s">
        <v>0</v>
      </c>
    </row>
    <row r="60" spans="1:11" ht="12.75">
      <c r="A60" s="1" t="s">
        <v>11</v>
      </c>
      <c r="B60" t="str">
        <f>T("WARM SPRINGS AGENCY")</f>
        <v>WARM SPRINGS AGENCY</v>
      </c>
      <c r="C60" t="str">
        <f>T("DOI/BIA/WARM SPRINGS AGENCY")</f>
        <v>DOI/BIA/WARM SPRINGS AGENCY</v>
      </c>
      <c r="D60" t="str">
        <f>T("P.O. BOX 1239")</f>
        <v>P.O. BOX 1239</v>
      </c>
      <c r="E60" s="1" t="s">
        <v>0</v>
      </c>
      <c r="F60" t="s">
        <v>0</v>
      </c>
      <c r="G60" t="str">
        <f>T("WARM SPRINGS")</f>
        <v>WARM SPRINGS</v>
      </c>
      <c r="H60" t="str">
        <f>T("OR ")</f>
        <v>OR </v>
      </c>
      <c r="I60" s="1">
        <f>N(97761)</f>
        <v>97761</v>
      </c>
      <c r="J60" s="1" t="s">
        <v>0</v>
      </c>
      <c r="K60" s="1" t="s">
        <v>0</v>
      </c>
    </row>
    <row r="61" spans="1:11" ht="12.75">
      <c r="A61" s="1" t="s">
        <v>11</v>
      </c>
      <c r="B61" t="str">
        <f>T("EASTERN REGION")</f>
        <v>EASTERN REGION</v>
      </c>
      <c r="C61" t="str">
        <f>T("DOI/BIA/EASTERN REGIONAL")</f>
        <v>DOI/BIA/EASTERN REGIONAL</v>
      </c>
      <c r="D61" t="str">
        <f>T("711 STEWARTS FERRY PIKE")</f>
        <v>711 STEWARTS FERRY PIKE</v>
      </c>
      <c r="E61" s="1" t="s">
        <v>0</v>
      </c>
      <c r="F61" t="s">
        <v>0</v>
      </c>
      <c r="G61" t="str">
        <f>T("NASHVILLE")</f>
        <v>NASHVILLE</v>
      </c>
      <c r="H61" t="str">
        <f>T("TN ")</f>
        <v>TN </v>
      </c>
      <c r="I61" s="1">
        <f>N(37214)</f>
        <v>37214</v>
      </c>
      <c r="J61" s="1" t="str">
        <f>T("615 467 2926")</f>
        <v>615 467 2926</v>
      </c>
      <c r="K61" s="1" t="str">
        <f>T("615 467 1701")</f>
        <v>615 467 1701</v>
      </c>
    </row>
    <row r="62" spans="1:11" ht="12.75">
      <c r="A62" s="1" t="s">
        <v>11</v>
      </c>
      <c r="B62" t="str">
        <f>T("REGIONAL DIRECTOR  ERO")</f>
        <v>REGIONAL DIRECTOR  ERO</v>
      </c>
      <c r="C62" t="str">
        <f>T("DOI/BIA/EASTERN REGIONAL")</f>
        <v>DOI/BIA/EASTERN REGIONAL</v>
      </c>
      <c r="D62" t="str">
        <f>T("711 STEWARTS FERRY PIKE")</f>
        <v>711 STEWARTS FERRY PIKE</v>
      </c>
      <c r="E62" s="1" t="s">
        <v>0</v>
      </c>
      <c r="F62" t="s">
        <v>0</v>
      </c>
      <c r="G62" t="str">
        <f>T("NASHVILLE")</f>
        <v>NASHVILLE</v>
      </c>
      <c r="H62" t="str">
        <f>T("TN ")</f>
        <v>TN </v>
      </c>
      <c r="I62" s="1">
        <f>N(37214)</f>
        <v>37214</v>
      </c>
      <c r="J62" s="1" t="str">
        <f>T("615 467 2926")</f>
        <v>615 467 2926</v>
      </c>
      <c r="K62" s="1" t="str">
        <f>T("615 467 1701")</f>
        <v>615 467 1701</v>
      </c>
    </row>
    <row r="63" spans="1:11" ht="12.75">
      <c r="A63" s="1" t="s">
        <v>11</v>
      </c>
      <c r="B63" t="str">
        <f>T("DEPUTY DIRECTOR-TRUST SRVS")</f>
        <v>DEPUTY DIRECTOR-TRUST SRVS</v>
      </c>
      <c r="C63" t="str">
        <f>T("DOI/BIA/EASTERN REGIONAL")</f>
        <v>DOI/BIA/EASTERN REGIONAL</v>
      </c>
      <c r="D63" t="str">
        <f>T("711 STEWARTS FERRY PIKE")</f>
        <v>711 STEWARTS FERRY PIKE</v>
      </c>
      <c r="E63" s="1" t="s">
        <v>0</v>
      </c>
      <c r="F63" t="s">
        <v>0</v>
      </c>
      <c r="G63" t="str">
        <f>T("NASHVILLE")</f>
        <v>NASHVILLE</v>
      </c>
      <c r="H63" t="str">
        <f>T("TN ")</f>
        <v>TN </v>
      </c>
      <c r="I63" s="1">
        <f>N(37214)</f>
        <v>37214</v>
      </c>
      <c r="J63" s="1" t="str">
        <f>T("615 467 2926")</f>
        <v>615 467 2926</v>
      </c>
      <c r="K63" s="1" t="str">
        <f>T("615 467 1701")</f>
        <v>615 467 1701</v>
      </c>
    </row>
    <row r="64" spans="1:11" ht="12.75">
      <c r="A64" s="1" t="s">
        <v>11</v>
      </c>
      <c r="B64" t="str">
        <f>T("BR OF CONTRACTING")</f>
        <v>BR OF CONTRACTING</v>
      </c>
      <c r="C64" t="str">
        <f aca="true" t="shared" si="2" ref="C64:C74">T("DOI/BIA/GREAT PLAINS REGIONAL OFFICE")</f>
        <v>DOI/BIA/GREAT PLAINS REGIONAL OFFICE</v>
      </c>
      <c r="D64" t="str">
        <f aca="true" t="shared" si="3" ref="D64:D74">T("115 4TH AVENUE  SE")</f>
        <v>115 4TH AVENUE  SE</v>
      </c>
      <c r="E64" s="1" t="s">
        <v>0</v>
      </c>
      <c r="F64" t="s">
        <v>0</v>
      </c>
      <c r="G64" t="str">
        <f aca="true" t="shared" si="4" ref="G64:G74">T("ABERDEEN")</f>
        <v>ABERDEEN</v>
      </c>
      <c r="H64" t="str">
        <f aca="true" t="shared" si="5" ref="H64:H74">T("SD ")</f>
        <v>SD </v>
      </c>
      <c r="I64" s="1" t="str">
        <f aca="true" t="shared" si="6" ref="I64:I74">T("57401 4382")</f>
        <v>57401 4382</v>
      </c>
      <c r="J64" s="1" t="s">
        <v>0</v>
      </c>
      <c r="K64" s="1" t="s">
        <v>0</v>
      </c>
    </row>
    <row r="65" spans="1:11" ht="12.75">
      <c r="A65" s="1" t="s">
        <v>11</v>
      </c>
      <c r="B65" t="str">
        <f>T("BR OF SAFETY MGMT")</f>
        <v>BR OF SAFETY MGMT</v>
      </c>
      <c r="C65" t="str">
        <f t="shared" si="2"/>
        <v>DOI/BIA/GREAT PLAINS REGIONAL OFFICE</v>
      </c>
      <c r="D65" t="str">
        <f t="shared" si="3"/>
        <v>115 4TH AVENUE  SE</v>
      </c>
      <c r="E65" s="1" t="s">
        <v>0</v>
      </c>
      <c r="F65" t="s">
        <v>0</v>
      </c>
      <c r="G65" t="str">
        <f t="shared" si="4"/>
        <v>ABERDEEN</v>
      </c>
      <c r="H65" t="str">
        <f t="shared" si="5"/>
        <v>SD </v>
      </c>
      <c r="I65" s="1" t="str">
        <f t="shared" si="6"/>
        <v>57401 4382</v>
      </c>
      <c r="J65" s="1" t="s">
        <v>0</v>
      </c>
      <c r="K65" s="1" t="s">
        <v>0</v>
      </c>
    </row>
    <row r="66" spans="1:11" ht="12.75">
      <c r="A66" s="1" t="s">
        <v>11</v>
      </c>
      <c r="B66" t="str">
        <f>T("BR OF NAT RES")</f>
        <v>BR OF NAT RES</v>
      </c>
      <c r="C66" t="str">
        <f t="shared" si="2"/>
        <v>DOI/BIA/GREAT PLAINS REGIONAL OFFICE</v>
      </c>
      <c r="D66" t="str">
        <f t="shared" si="3"/>
        <v>115 4TH AVENUE  SE</v>
      </c>
      <c r="E66" s="1" t="s">
        <v>0</v>
      </c>
      <c r="F66" t="s">
        <v>0</v>
      </c>
      <c r="G66" t="str">
        <f t="shared" si="4"/>
        <v>ABERDEEN</v>
      </c>
      <c r="H66" t="str">
        <f t="shared" si="5"/>
        <v>SD </v>
      </c>
      <c r="I66" s="1" t="str">
        <f t="shared" si="6"/>
        <v>57401 4382</v>
      </c>
      <c r="J66" s="1" t="s">
        <v>0</v>
      </c>
      <c r="K66" s="1" t="s">
        <v>0</v>
      </c>
    </row>
    <row r="67" spans="1:11" ht="12.75">
      <c r="A67" s="1" t="s">
        <v>11</v>
      </c>
      <c r="B67" t="str">
        <f>T("BR OF REAL PROPTY M'GMT")</f>
        <v>BR OF REAL PROPTY M'GMT</v>
      </c>
      <c r="C67" t="str">
        <f t="shared" si="2"/>
        <v>DOI/BIA/GREAT PLAINS REGIONAL OFFICE</v>
      </c>
      <c r="D67" t="str">
        <f t="shared" si="3"/>
        <v>115 4TH AVENUE  SE</v>
      </c>
      <c r="E67" s="1" t="s">
        <v>0</v>
      </c>
      <c r="F67" t="s">
        <v>0</v>
      </c>
      <c r="G67" t="str">
        <f t="shared" si="4"/>
        <v>ABERDEEN</v>
      </c>
      <c r="H67" t="str">
        <f t="shared" si="5"/>
        <v>SD </v>
      </c>
      <c r="I67" s="1" t="str">
        <f t="shared" si="6"/>
        <v>57401 4382</v>
      </c>
      <c r="J67" s="1" t="s">
        <v>0</v>
      </c>
      <c r="K67" s="1" t="s">
        <v>0</v>
      </c>
    </row>
    <row r="68" spans="1:11" ht="12.75">
      <c r="A68" s="1" t="s">
        <v>11</v>
      </c>
      <c r="B68" t="str">
        <f>T("DIVISION OF TRANSPORTATION")</f>
        <v>DIVISION OF TRANSPORTATION</v>
      </c>
      <c r="C68" t="str">
        <f t="shared" si="2"/>
        <v>DOI/BIA/GREAT PLAINS REGIONAL OFFICE</v>
      </c>
      <c r="D68" t="str">
        <f t="shared" si="3"/>
        <v>115 4TH AVENUE  SE</v>
      </c>
      <c r="E68" s="1" t="s">
        <v>0</v>
      </c>
      <c r="F68" t="s">
        <v>0</v>
      </c>
      <c r="G68" t="str">
        <f t="shared" si="4"/>
        <v>ABERDEEN</v>
      </c>
      <c r="H68" t="str">
        <f t="shared" si="5"/>
        <v>SD </v>
      </c>
      <c r="I68" s="1" t="str">
        <f t="shared" si="6"/>
        <v>57401 4382</v>
      </c>
      <c r="J68" s="1" t="s">
        <v>0</v>
      </c>
      <c r="K68" s="1" t="s">
        <v>0</v>
      </c>
    </row>
    <row r="69" spans="1:11" ht="12.75">
      <c r="A69" s="1" t="s">
        <v>11</v>
      </c>
      <c r="B69" t="str">
        <f>T("HUMAN SERVICES")</f>
        <v>HUMAN SERVICES</v>
      </c>
      <c r="C69" t="str">
        <f t="shared" si="2"/>
        <v>DOI/BIA/GREAT PLAINS REGIONAL OFFICE</v>
      </c>
      <c r="D69" t="str">
        <f t="shared" si="3"/>
        <v>115 4TH AVENUE  SE</v>
      </c>
      <c r="E69" s="1" t="s">
        <v>0</v>
      </c>
      <c r="F69" t="s">
        <v>0</v>
      </c>
      <c r="G69" t="str">
        <f t="shared" si="4"/>
        <v>ABERDEEN</v>
      </c>
      <c r="H69" t="str">
        <f t="shared" si="5"/>
        <v>SD </v>
      </c>
      <c r="I69" s="1" t="str">
        <f t="shared" si="6"/>
        <v>57401 4382</v>
      </c>
      <c r="J69" s="1" t="s">
        <v>0</v>
      </c>
      <c r="K69" s="1" t="s">
        <v>0</v>
      </c>
    </row>
    <row r="70" spans="1:11" ht="12.75">
      <c r="A70" s="1" t="s">
        <v>11</v>
      </c>
      <c r="B70" t="str">
        <f>T("SUPERINTENDENT  FORT TOTTEN")</f>
        <v>SUPERINTENDENT  FORT TOTTEN</v>
      </c>
      <c r="C70" t="str">
        <f t="shared" si="2"/>
        <v>DOI/BIA/GREAT PLAINS REGIONAL OFFICE</v>
      </c>
      <c r="D70" t="str">
        <f t="shared" si="3"/>
        <v>115 4TH AVENUE  SE</v>
      </c>
      <c r="E70" s="1" t="s">
        <v>0</v>
      </c>
      <c r="F70" t="s">
        <v>0</v>
      </c>
      <c r="G70" t="str">
        <f t="shared" si="4"/>
        <v>ABERDEEN</v>
      </c>
      <c r="H70" t="str">
        <f t="shared" si="5"/>
        <v>SD </v>
      </c>
      <c r="I70" s="1" t="str">
        <f t="shared" si="6"/>
        <v>57401 4382</v>
      </c>
      <c r="J70" s="1" t="s">
        <v>0</v>
      </c>
      <c r="K70" s="1" t="s">
        <v>0</v>
      </c>
    </row>
    <row r="71" spans="1:11" ht="12.75">
      <c r="A71" s="1" t="s">
        <v>11</v>
      </c>
      <c r="B71" t="str">
        <f>T("SUPERINTENDENT  PINE RIDGE")</f>
        <v>SUPERINTENDENT  PINE RIDGE</v>
      </c>
      <c r="C71" t="str">
        <f t="shared" si="2"/>
        <v>DOI/BIA/GREAT PLAINS REGIONAL OFFICE</v>
      </c>
      <c r="D71" t="str">
        <f t="shared" si="3"/>
        <v>115 4TH AVENUE  SE</v>
      </c>
      <c r="E71" s="1" t="s">
        <v>0</v>
      </c>
      <c r="F71" t="s">
        <v>0</v>
      </c>
      <c r="G71" t="str">
        <f t="shared" si="4"/>
        <v>ABERDEEN</v>
      </c>
      <c r="H71" t="str">
        <f t="shared" si="5"/>
        <v>SD </v>
      </c>
      <c r="I71" s="1" t="str">
        <f t="shared" si="6"/>
        <v>57401 4382</v>
      </c>
      <c r="J71" s="1" t="s">
        <v>0</v>
      </c>
      <c r="K71" s="1" t="s">
        <v>0</v>
      </c>
    </row>
    <row r="72" spans="1:11" ht="12.75">
      <c r="A72" s="1" t="s">
        <v>11</v>
      </c>
      <c r="B72" t="str">
        <f>T("SUPERINTENDENT  ROSEBUD")</f>
        <v>SUPERINTENDENT  ROSEBUD</v>
      </c>
      <c r="C72" t="str">
        <f t="shared" si="2"/>
        <v>DOI/BIA/GREAT PLAINS REGIONAL OFFICE</v>
      </c>
      <c r="D72" t="str">
        <f t="shared" si="3"/>
        <v>115 4TH AVENUE  SE</v>
      </c>
      <c r="E72" s="1" t="s">
        <v>0</v>
      </c>
      <c r="F72" t="s">
        <v>0</v>
      </c>
      <c r="G72" t="str">
        <f t="shared" si="4"/>
        <v>ABERDEEN</v>
      </c>
      <c r="H72" t="str">
        <f t="shared" si="5"/>
        <v>SD </v>
      </c>
      <c r="I72" s="1" t="str">
        <f t="shared" si="6"/>
        <v>57401 4382</v>
      </c>
      <c r="J72" s="1" t="s">
        <v>0</v>
      </c>
      <c r="K72" s="1" t="s">
        <v>0</v>
      </c>
    </row>
    <row r="73" spans="1:11" ht="12.75">
      <c r="A73" s="1" t="s">
        <v>11</v>
      </c>
      <c r="B73" t="str">
        <f>T("SUPERINTENDENT  SISSETON")</f>
        <v>SUPERINTENDENT  SISSETON</v>
      </c>
      <c r="C73" t="str">
        <f t="shared" si="2"/>
        <v>DOI/BIA/GREAT PLAINS REGIONAL OFFICE</v>
      </c>
      <c r="D73" t="str">
        <f t="shared" si="3"/>
        <v>115 4TH AVENUE  SE</v>
      </c>
      <c r="E73" s="1" t="s">
        <v>0</v>
      </c>
      <c r="F73" t="s">
        <v>0</v>
      </c>
      <c r="G73" t="str">
        <f t="shared" si="4"/>
        <v>ABERDEEN</v>
      </c>
      <c r="H73" t="str">
        <f t="shared" si="5"/>
        <v>SD </v>
      </c>
      <c r="I73" s="1" t="str">
        <f t="shared" si="6"/>
        <v>57401 4382</v>
      </c>
      <c r="J73" s="1" t="s">
        <v>0</v>
      </c>
      <c r="K73" s="1" t="s">
        <v>0</v>
      </c>
    </row>
    <row r="74" spans="1:11" ht="12.75">
      <c r="A74" s="1" t="s">
        <v>11</v>
      </c>
      <c r="B74" t="str">
        <f>T("SUPERINTENDENT  WINNEBAGO")</f>
        <v>SUPERINTENDENT  WINNEBAGO</v>
      </c>
      <c r="C74" t="str">
        <f t="shared" si="2"/>
        <v>DOI/BIA/GREAT PLAINS REGIONAL OFFICE</v>
      </c>
      <c r="D74" t="str">
        <f t="shared" si="3"/>
        <v>115 4TH AVENUE  SE</v>
      </c>
      <c r="E74" s="1" t="s">
        <v>0</v>
      </c>
      <c r="F74" t="s">
        <v>0</v>
      </c>
      <c r="G74" t="str">
        <f t="shared" si="4"/>
        <v>ABERDEEN</v>
      </c>
      <c r="H74" t="str">
        <f t="shared" si="5"/>
        <v>SD </v>
      </c>
      <c r="I74" s="1" t="str">
        <f t="shared" si="6"/>
        <v>57401 4382</v>
      </c>
      <c r="J74" s="1" t="s">
        <v>0</v>
      </c>
      <c r="K74" s="1" t="s">
        <v>0</v>
      </c>
    </row>
    <row r="75" spans="1:11" ht="12.75">
      <c r="A75" s="1" t="s">
        <v>11</v>
      </c>
      <c r="B75" t="str">
        <f>T("DEPUTY AREA DIRECTOR")</f>
        <v>DEPUTY AREA DIRECTOR</v>
      </c>
      <c r="C75" t="str">
        <f aca="true" t="shared" si="7" ref="C75:C83">T("DOI/BIA/SOUTHERN PLAINS REGIONAL OFFICE")</f>
        <v>DOI/BIA/SOUTHERN PLAINS REGIONAL OFFICE</v>
      </c>
      <c r="D75" t="str">
        <f aca="true" t="shared" si="8" ref="D75:D83">T("PO BOX 368")</f>
        <v>PO BOX 368</v>
      </c>
      <c r="E75" s="1" t="s">
        <v>0</v>
      </c>
      <c r="F75" t="s">
        <v>0</v>
      </c>
      <c r="G75" t="str">
        <f aca="true" t="shared" si="9" ref="G75:G83">T("ANADARKO")</f>
        <v>ANADARKO</v>
      </c>
      <c r="H75" t="str">
        <f aca="true" t="shared" si="10" ref="H75:H83">T("OK ")</f>
        <v>OK </v>
      </c>
      <c r="I75" s="1">
        <f aca="true" t="shared" si="11" ref="I75:I83">N(73005)</f>
        <v>73005</v>
      </c>
      <c r="J75" s="1" t="s">
        <v>0</v>
      </c>
      <c r="K75" s="1" t="s">
        <v>0</v>
      </c>
    </row>
    <row r="76" spans="1:11" ht="12.75">
      <c r="A76" s="1" t="s">
        <v>11</v>
      </c>
      <c r="B76" t="str">
        <f>T("BR OF PERSONNEL SVCS")</f>
        <v>BR OF PERSONNEL SVCS</v>
      </c>
      <c r="C76" t="str">
        <f t="shared" si="7"/>
        <v>DOI/BIA/SOUTHERN PLAINS REGIONAL OFFICE</v>
      </c>
      <c r="D76" t="str">
        <f t="shared" si="8"/>
        <v>PO BOX 368</v>
      </c>
      <c r="E76" s="1" t="s">
        <v>0</v>
      </c>
      <c r="F76" t="s">
        <v>0</v>
      </c>
      <c r="G76" t="str">
        <f t="shared" si="9"/>
        <v>ANADARKO</v>
      </c>
      <c r="H76" t="str">
        <f t="shared" si="10"/>
        <v>OK </v>
      </c>
      <c r="I76" s="1">
        <f t="shared" si="11"/>
        <v>73005</v>
      </c>
      <c r="J76" s="1" t="s">
        <v>0</v>
      </c>
      <c r="K76" s="1" t="s">
        <v>0</v>
      </c>
    </row>
    <row r="77" spans="1:11" ht="12.75">
      <c r="A77" s="1" t="s">
        <v>11</v>
      </c>
      <c r="B77" t="str">
        <f>T("BR OF CONTRACTS &amp; GRANTS")</f>
        <v>BR OF CONTRACTS &amp; GRANTS</v>
      </c>
      <c r="C77" t="str">
        <f t="shared" si="7"/>
        <v>DOI/BIA/SOUTHERN PLAINS REGIONAL OFFICE</v>
      </c>
      <c r="D77" t="str">
        <f t="shared" si="8"/>
        <v>PO BOX 368</v>
      </c>
      <c r="E77" s="1" t="s">
        <v>0</v>
      </c>
      <c r="F77" t="s">
        <v>0</v>
      </c>
      <c r="G77" t="str">
        <f t="shared" si="9"/>
        <v>ANADARKO</v>
      </c>
      <c r="H77" t="str">
        <f t="shared" si="10"/>
        <v>OK </v>
      </c>
      <c r="I77" s="1">
        <f t="shared" si="11"/>
        <v>73005</v>
      </c>
      <c r="J77" s="1" t="s">
        <v>0</v>
      </c>
      <c r="K77" s="1" t="s">
        <v>0</v>
      </c>
    </row>
    <row r="78" spans="1:11" ht="12.75">
      <c r="A78" s="1" t="s">
        <v>11</v>
      </c>
      <c r="B78" t="str">
        <f>T("DIV OF NATURAL RESOURCES")</f>
        <v>DIV OF NATURAL RESOURCES</v>
      </c>
      <c r="C78" t="str">
        <f t="shared" si="7"/>
        <v>DOI/BIA/SOUTHERN PLAINS REGIONAL OFFICE</v>
      </c>
      <c r="D78" t="str">
        <f t="shared" si="8"/>
        <v>PO BOX 368</v>
      </c>
      <c r="E78" s="1" t="s">
        <v>0</v>
      </c>
      <c r="F78" t="s">
        <v>0</v>
      </c>
      <c r="G78" t="str">
        <f t="shared" si="9"/>
        <v>ANADARKO</v>
      </c>
      <c r="H78" t="str">
        <f t="shared" si="10"/>
        <v>OK </v>
      </c>
      <c r="I78" s="1">
        <f t="shared" si="11"/>
        <v>73005</v>
      </c>
      <c r="J78" s="1" t="s">
        <v>0</v>
      </c>
      <c r="K78" s="1" t="s">
        <v>0</v>
      </c>
    </row>
    <row r="79" spans="1:11" ht="12.75">
      <c r="A79" s="1" t="s">
        <v>11</v>
      </c>
      <c r="B79" t="str">
        <f>T("CREDIT")</f>
        <v>CREDIT</v>
      </c>
      <c r="C79" t="str">
        <f t="shared" si="7"/>
        <v>DOI/BIA/SOUTHERN PLAINS REGIONAL OFFICE</v>
      </c>
      <c r="D79" t="str">
        <f t="shared" si="8"/>
        <v>PO BOX 368</v>
      </c>
      <c r="E79" s="1" t="s">
        <v>0</v>
      </c>
      <c r="F79" t="s">
        <v>0</v>
      </c>
      <c r="G79" t="str">
        <f t="shared" si="9"/>
        <v>ANADARKO</v>
      </c>
      <c r="H79" t="str">
        <f t="shared" si="10"/>
        <v>OK </v>
      </c>
      <c r="I79" s="1">
        <f t="shared" si="11"/>
        <v>73005</v>
      </c>
      <c r="J79" s="1" t="s">
        <v>0</v>
      </c>
      <c r="K79" s="1" t="s">
        <v>0</v>
      </c>
    </row>
    <row r="80" spans="1:11" ht="12.75">
      <c r="A80" s="1" t="s">
        <v>11</v>
      </c>
      <c r="B80" t="str">
        <f>T("DIV OF REAL ESTATE SERVICES")</f>
        <v>DIV OF REAL ESTATE SERVICES</v>
      </c>
      <c r="C80" t="str">
        <f t="shared" si="7"/>
        <v>DOI/BIA/SOUTHERN PLAINS REGIONAL OFFICE</v>
      </c>
      <c r="D80" t="str">
        <f t="shared" si="8"/>
        <v>PO BOX 368</v>
      </c>
      <c r="E80" s="1" t="s">
        <v>0</v>
      </c>
      <c r="F80" t="s">
        <v>0</v>
      </c>
      <c r="G80" t="str">
        <f t="shared" si="9"/>
        <v>ANADARKO</v>
      </c>
      <c r="H80" t="str">
        <f t="shared" si="10"/>
        <v>OK </v>
      </c>
      <c r="I80" s="1">
        <f t="shared" si="11"/>
        <v>73005</v>
      </c>
      <c r="J80" s="1" t="s">
        <v>0</v>
      </c>
      <c r="K80" s="1" t="s">
        <v>0</v>
      </c>
    </row>
    <row r="81" spans="1:11" ht="12.75">
      <c r="A81" s="1" t="s">
        <v>11</v>
      </c>
      <c r="B81" t="str">
        <f>T("DIV OF TRANSPORTATION")</f>
        <v>DIV OF TRANSPORTATION</v>
      </c>
      <c r="C81" t="str">
        <f t="shared" si="7"/>
        <v>DOI/BIA/SOUTHERN PLAINS REGIONAL OFFICE</v>
      </c>
      <c r="D81" t="str">
        <f t="shared" si="8"/>
        <v>PO BOX 368</v>
      </c>
      <c r="E81" s="1" t="s">
        <v>0</v>
      </c>
      <c r="F81" t="s">
        <v>0</v>
      </c>
      <c r="G81" t="str">
        <f t="shared" si="9"/>
        <v>ANADARKO</v>
      </c>
      <c r="H81" t="str">
        <f t="shared" si="10"/>
        <v>OK </v>
      </c>
      <c r="I81" s="1">
        <f t="shared" si="11"/>
        <v>73005</v>
      </c>
      <c r="J81" s="1" t="s">
        <v>0</v>
      </c>
      <c r="K81" s="1" t="s">
        <v>0</v>
      </c>
    </row>
    <row r="82" spans="1:11" ht="12.75">
      <c r="A82" s="1" t="s">
        <v>11</v>
      </c>
      <c r="B82" t="str">
        <f>T("HUMAN SERVICES")</f>
        <v>HUMAN SERVICES</v>
      </c>
      <c r="C82" t="str">
        <f t="shared" si="7"/>
        <v>DOI/BIA/SOUTHERN PLAINS REGIONAL OFFICE</v>
      </c>
      <c r="D82" t="str">
        <f t="shared" si="8"/>
        <v>PO BOX 368</v>
      </c>
      <c r="E82" s="1" t="s">
        <v>0</v>
      </c>
      <c r="F82" t="s">
        <v>0</v>
      </c>
      <c r="G82" t="str">
        <f t="shared" si="9"/>
        <v>ANADARKO</v>
      </c>
      <c r="H82" t="str">
        <f t="shared" si="10"/>
        <v>OK </v>
      </c>
      <c r="I82" s="1">
        <f t="shared" si="11"/>
        <v>73005</v>
      </c>
      <c r="J82" s="1" t="s">
        <v>0</v>
      </c>
      <c r="K82" s="1" t="s">
        <v>0</v>
      </c>
    </row>
    <row r="83" spans="1:11" ht="12.75">
      <c r="A83" s="1" t="s">
        <v>11</v>
      </c>
      <c r="B83" t="str">
        <f>T("BR OF TRIBAL GOVT SVCS")</f>
        <v>BR OF TRIBAL GOVT SVCS</v>
      </c>
      <c r="C83" t="str">
        <f t="shared" si="7"/>
        <v>DOI/BIA/SOUTHERN PLAINS REGIONAL OFFICE</v>
      </c>
      <c r="D83" t="str">
        <f t="shared" si="8"/>
        <v>PO BOX 368</v>
      </c>
      <c r="E83" s="1" t="s">
        <v>0</v>
      </c>
      <c r="F83" t="s">
        <v>0</v>
      </c>
      <c r="G83" t="str">
        <f t="shared" si="9"/>
        <v>ANADARKO</v>
      </c>
      <c r="H83" t="str">
        <f t="shared" si="10"/>
        <v>OK </v>
      </c>
      <c r="I83" s="1">
        <f t="shared" si="11"/>
        <v>73005</v>
      </c>
      <c r="J83" s="1" t="s">
        <v>0</v>
      </c>
      <c r="K83" s="1" t="s">
        <v>0</v>
      </c>
    </row>
    <row r="84" spans="1:11" ht="12.75">
      <c r="A84" s="1" t="s">
        <v>11</v>
      </c>
      <c r="B84" t="str">
        <f>T("OFC OF THE SUPERINTDT")</f>
        <v>OFC OF THE SUPERINTDT</v>
      </c>
      <c r="C84" t="str">
        <f>T("DOI/BIA/HORTON FIELD OFFICE")</f>
        <v>DOI/BIA/HORTON FIELD OFFICE</v>
      </c>
      <c r="D84" t="str">
        <f>T("PO BOX 31")</f>
        <v>PO BOX 31</v>
      </c>
      <c r="E84" s="1" t="s">
        <v>0</v>
      </c>
      <c r="F84" t="s">
        <v>0</v>
      </c>
      <c r="G84" t="str">
        <f>T("HORTON")</f>
        <v>HORTON</v>
      </c>
      <c r="H84" t="str">
        <f>T("KS ")</f>
        <v>KS </v>
      </c>
      <c r="I84" s="1">
        <f>N(66439)</f>
        <v>66439</v>
      </c>
      <c r="J84" s="1" t="s">
        <v>0</v>
      </c>
      <c r="K84" s="1">
        <f>N(7854862515)</f>
        <v>7854862515</v>
      </c>
    </row>
    <row r="85" spans="1:11" ht="12.75">
      <c r="A85" s="1" t="s">
        <v>11</v>
      </c>
      <c r="B85" t="str">
        <f>T("OFC OF THE SUPERINTDT")</f>
        <v>OFC OF THE SUPERINTDT</v>
      </c>
      <c r="C85" t="str">
        <f>T("DOI/BIA/CONCHO FIELD OFFICE")</f>
        <v>DOI/BIA/CONCHO FIELD OFFICE</v>
      </c>
      <c r="D85" t="str">
        <f>T("PO BOX 68")</f>
        <v>PO BOX 68</v>
      </c>
      <c r="E85" s="1" t="s">
        <v>0</v>
      </c>
      <c r="F85" t="s">
        <v>0</v>
      </c>
      <c r="G85" t="str">
        <f>T("EL RENO")</f>
        <v>EL RENO</v>
      </c>
      <c r="H85" t="str">
        <f>T("OK ")</f>
        <v>OK </v>
      </c>
      <c r="I85" s="1">
        <f>N(73036)</f>
        <v>73036</v>
      </c>
      <c r="J85" s="1" t="s">
        <v>0</v>
      </c>
      <c r="K85" s="1">
        <f>N(4052623140)</f>
        <v>4052623140</v>
      </c>
    </row>
    <row r="86" spans="1:11" ht="12.75">
      <c r="A86" s="1" t="s">
        <v>11</v>
      </c>
      <c r="B86" t="str">
        <f>T("OFC OF THE SUPERINTDT")</f>
        <v>OFC OF THE SUPERINTDT</v>
      </c>
      <c r="C86" t="str">
        <f>T("DOI/BIA/ANADARKO AGENCY")</f>
        <v>DOI/BIA/ANADARKO AGENCY</v>
      </c>
      <c r="D86" t="str">
        <f>T("PO BOX 309")</f>
        <v>PO BOX 309</v>
      </c>
      <c r="E86" s="1" t="s">
        <v>0</v>
      </c>
      <c r="F86" t="s">
        <v>0</v>
      </c>
      <c r="G86" t="str">
        <f>T("ANADARKO")</f>
        <v>ANADARKO</v>
      </c>
      <c r="H86" t="str">
        <f>T("OK ")</f>
        <v>OK </v>
      </c>
      <c r="I86" s="1">
        <f>N(73005)</f>
        <v>73005</v>
      </c>
      <c r="J86" s="1" t="s">
        <v>0</v>
      </c>
      <c r="K86" s="1">
        <f>N(4052479232)</f>
        <v>4052479232</v>
      </c>
    </row>
    <row r="87" spans="1:11" ht="12.75">
      <c r="A87" s="1" t="s">
        <v>11</v>
      </c>
      <c r="B87" t="str">
        <f>T("SUPT  PAWNEE AGENCY")</f>
        <v>SUPT  PAWNEE AGENCY</v>
      </c>
      <c r="C87" t="str">
        <f>T("DOI/BIA/PAWNEE AGENCY")</f>
        <v>DOI/BIA/PAWNEE AGENCY</v>
      </c>
      <c r="D87" t="str">
        <f>T("PO BOX 440")</f>
        <v>PO BOX 440</v>
      </c>
      <c r="E87" s="1" t="s">
        <v>0</v>
      </c>
      <c r="F87" t="s">
        <v>0</v>
      </c>
      <c r="G87" t="str">
        <f>T("PAWNEE")</f>
        <v>PAWNEE</v>
      </c>
      <c r="H87" t="str">
        <f>T("OK ")</f>
        <v>OK </v>
      </c>
      <c r="I87" s="1">
        <f>N(74058)</f>
        <v>74058</v>
      </c>
      <c r="J87" s="1" t="s">
        <v>0</v>
      </c>
      <c r="K87" s="1">
        <f>N(9187623201)</f>
        <v>9187623201</v>
      </c>
    </row>
    <row r="88" spans="1:11" ht="12.75">
      <c r="A88" s="1" t="s">
        <v>11</v>
      </c>
      <c r="B88" t="str">
        <f>T("BR OF ENGNRG")</f>
        <v>BR OF ENGNRG</v>
      </c>
      <c r="C88" t="str">
        <f>T("DOI/BIA/ROCKY MOUNTAIN REGIONAL OFFICE")</f>
        <v>DOI/BIA/ROCKY MOUNTAIN REGIONAL OFFICE</v>
      </c>
      <c r="D88" t="str">
        <f>T("316 N.26TH STREET")</f>
        <v>316 N.26TH STREET</v>
      </c>
      <c r="E88" s="1" t="s">
        <v>0</v>
      </c>
      <c r="F88" t="s">
        <v>0</v>
      </c>
      <c r="G88" t="str">
        <f>T("BILLINGS")</f>
        <v>BILLINGS</v>
      </c>
      <c r="H88" t="str">
        <f aca="true" t="shared" si="12" ref="H88:H94">T("MT ")</f>
        <v>MT </v>
      </c>
      <c r="I88" s="1" t="str">
        <f>T("59101 1397")</f>
        <v>59101 1397</v>
      </c>
      <c r="J88" s="1">
        <f>N(4062477941)</f>
        <v>4062477941</v>
      </c>
      <c r="K88" s="1">
        <f>N(4062477908)</f>
        <v>4062477908</v>
      </c>
    </row>
    <row r="89" spans="1:11" ht="12.75">
      <c r="A89" s="1" t="s">
        <v>11</v>
      </c>
      <c r="B89" t="str">
        <f>T("BR OF IRM")</f>
        <v>BR OF IRM</v>
      </c>
      <c r="C89" t="str">
        <f>T("DOI/BIA/ROCKY MOUNTAIN REGIONAL OFFICE")</f>
        <v>DOI/BIA/ROCKY MOUNTAIN REGIONAL OFFICE</v>
      </c>
      <c r="D89" t="str">
        <f>T("316 N.26TH STREET")</f>
        <v>316 N.26TH STREET</v>
      </c>
      <c r="E89" s="1" t="s">
        <v>0</v>
      </c>
      <c r="F89" t="s">
        <v>0</v>
      </c>
      <c r="G89" t="str">
        <f>T("BILLINGS")</f>
        <v>BILLINGS</v>
      </c>
      <c r="H89" t="str">
        <f t="shared" si="12"/>
        <v>MT </v>
      </c>
      <c r="I89" s="1" t="str">
        <f>T("59101 1397")</f>
        <v>59101 1397</v>
      </c>
      <c r="J89" s="1">
        <f>N(4062477941)</f>
        <v>4062477941</v>
      </c>
      <c r="K89" s="1">
        <f>N(4062477908)</f>
        <v>4062477908</v>
      </c>
    </row>
    <row r="90" spans="1:11" ht="12.75">
      <c r="A90" s="1" t="s">
        <v>11</v>
      </c>
      <c r="B90" t="str">
        <f>T("HOUSING")</f>
        <v>HOUSING</v>
      </c>
      <c r="C90" t="str">
        <f>T("DOI/BIA/ROCKY MOUNTAIN REGIONAL OFFICE")</f>
        <v>DOI/BIA/ROCKY MOUNTAIN REGIONAL OFFICE</v>
      </c>
      <c r="D90" t="str">
        <f>T("316 N.26TH STREET")</f>
        <v>316 N.26TH STREET</v>
      </c>
      <c r="E90" s="1" t="s">
        <v>0</v>
      </c>
      <c r="F90" t="s">
        <v>0</v>
      </c>
      <c r="G90" t="str">
        <f>T("BILLINGS")</f>
        <v>BILLINGS</v>
      </c>
      <c r="H90" t="str">
        <f t="shared" si="12"/>
        <v>MT </v>
      </c>
      <c r="I90" s="1" t="str">
        <f>T("59101 1397")</f>
        <v>59101 1397</v>
      </c>
      <c r="J90" s="1">
        <f>N(4062477941)</f>
        <v>4062477941</v>
      </c>
      <c r="K90" s="1">
        <f>N(4062477908)</f>
        <v>4062477908</v>
      </c>
    </row>
    <row r="91" spans="1:11" ht="12.75">
      <c r="A91" s="1" t="s">
        <v>11</v>
      </c>
      <c r="B91" t="str">
        <f>T("BR OF LAND &amp; MINERALS")</f>
        <v>BR OF LAND &amp; MINERALS</v>
      </c>
      <c r="C91" t="str">
        <f>T("DOI/BIA/ROCKY MOUNTAIN REGIONAL OFFICE")</f>
        <v>DOI/BIA/ROCKY MOUNTAIN REGIONAL OFFICE</v>
      </c>
      <c r="D91" t="str">
        <f>T("316 N.26TH STREET")</f>
        <v>316 N.26TH STREET</v>
      </c>
      <c r="E91" s="1" t="s">
        <v>0</v>
      </c>
      <c r="F91" t="s">
        <v>0</v>
      </c>
      <c r="G91" t="str">
        <f>T("BILLINGS")</f>
        <v>BILLINGS</v>
      </c>
      <c r="H91" t="str">
        <f t="shared" si="12"/>
        <v>MT </v>
      </c>
      <c r="I91" s="1" t="str">
        <f>T("59101 1397")</f>
        <v>59101 1397</v>
      </c>
      <c r="J91" s="1">
        <f>N(4062477941)</f>
        <v>4062477941</v>
      </c>
      <c r="K91" s="1">
        <f>N(4062477908)</f>
        <v>4062477908</v>
      </c>
    </row>
    <row r="92" spans="1:11" ht="12.75">
      <c r="A92" s="1" t="s">
        <v>11</v>
      </c>
      <c r="B92" t="str">
        <f>T("BR OF WATER RSCS")</f>
        <v>BR OF WATER RSCS</v>
      </c>
      <c r="C92" t="str">
        <f>T("DOI/BIA/ROCKY MOUNTAIN REGIONAL OFFICE")</f>
        <v>DOI/BIA/ROCKY MOUNTAIN REGIONAL OFFICE</v>
      </c>
      <c r="D92" t="str">
        <f>T("316 N.26TH STREET")</f>
        <v>316 N.26TH STREET</v>
      </c>
      <c r="E92" s="1" t="s">
        <v>0</v>
      </c>
      <c r="F92" t="s">
        <v>0</v>
      </c>
      <c r="G92" t="str">
        <f>T("BILLINGS")</f>
        <v>BILLINGS</v>
      </c>
      <c r="H92" t="str">
        <f t="shared" si="12"/>
        <v>MT </v>
      </c>
      <c r="I92" s="1" t="str">
        <f>T("59101 1397")</f>
        <v>59101 1397</v>
      </c>
      <c r="J92" s="1">
        <f>N(4062477941)</f>
        <v>4062477941</v>
      </c>
      <c r="K92" s="1">
        <f>N(4062477908)</f>
        <v>4062477908</v>
      </c>
    </row>
    <row r="93" spans="1:11" ht="12.75">
      <c r="A93" s="1" t="s">
        <v>11</v>
      </c>
      <c r="B93" t="str">
        <f>T("SUPT  NORTHERN CHEYENNE AGENCY")</f>
        <v>SUPT  NORTHERN CHEYENNE AGENCY</v>
      </c>
      <c r="C93" t="str">
        <f>T("DOI/BIA/NORTHERN CHEYENNE AGENCY")</f>
        <v>DOI/BIA/NORTHERN CHEYENNE AGENCY</v>
      </c>
      <c r="D93" t="str">
        <f>T("P.O. BOX 40")</f>
        <v>P.O. BOX 40</v>
      </c>
      <c r="E93" s="1" t="s">
        <v>0</v>
      </c>
      <c r="F93" t="s">
        <v>0</v>
      </c>
      <c r="G93" t="str">
        <f>T("LAME DEER")</f>
        <v>LAME DEER</v>
      </c>
      <c r="H93" t="str">
        <f t="shared" si="12"/>
        <v>MT </v>
      </c>
      <c r="I93" s="1">
        <f>N(59043)</f>
        <v>59043</v>
      </c>
      <c r="J93" s="1" t="str">
        <f>T("406 477 8242")</f>
        <v>406 477 8242</v>
      </c>
      <c r="K93" s="1" t="str">
        <f>T("406 477 6636")</f>
        <v>406 477 6636</v>
      </c>
    </row>
    <row r="94" spans="1:11" ht="12.75">
      <c r="A94" s="1" t="s">
        <v>11</v>
      </c>
      <c r="B94" t="str">
        <f>T("SUPT  ROCKY BOYS AGENCY")</f>
        <v>SUPT  ROCKY BOYS AGENCY</v>
      </c>
      <c r="C94" t="str">
        <f>T("DOI/BIA/ROCKY BOY'S AGENCY")</f>
        <v>DOI/BIA/ROCKY BOY'S AGENCY</v>
      </c>
      <c r="D94" t="str">
        <f>T("FIELD OFFICE")</f>
        <v>FIELD OFFICE</v>
      </c>
      <c r="E94" s="1" t="s">
        <v>0</v>
      </c>
      <c r="F94" t="s">
        <v>0</v>
      </c>
      <c r="G94" t="str">
        <f>T("BOX ELDER")</f>
        <v>BOX ELDER</v>
      </c>
      <c r="H94" t="str">
        <f t="shared" si="12"/>
        <v>MT </v>
      </c>
      <c r="I94" s="1">
        <f>N(59521)</f>
        <v>59521</v>
      </c>
      <c r="J94" s="1" t="str">
        <f>T("406 395 4475")</f>
        <v>406 395 4475</v>
      </c>
      <c r="K94" s="1" t="str">
        <f>T("406 395 4283")</f>
        <v>406 395 4283</v>
      </c>
    </row>
    <row r="95" spans="1:11" ht="12.75">
      <c r="A95" s="1" t="s">
        <v>11</v>
      </c>
      <c r="B95" t="str">
        <f>T("BR OF ACQSN &amp; PROPRTY MGMT")</f>
        <v>BR OF ACQSN &amp; PROPRTY MGMT</v>
      </c>
      <c r="C95" t="str">
        <f aca="true" t="shared" si="13" ref="C95:C105">T("DOI/BIA/ALASKA REGION")</f>
        <v>DOI/BIA/ALASKA REGION</v>
      </c>
      <c r="D95" t="str">
        <f>T("P.O. BOX 25520")</f>
        <v>P.O. BOX 25520</v>
      </c>
      <c r="E95" s="1" t="s">
        <v>0</v>
      </c>
      <c r="F95" t="s">
        <v>0</v>
      </c>
      <c r="G95" t="str">
        <f aca="true" t="shared" si="14" ref="G95:G105">T("JUNEAU")</f>
        <v>JUNEAU</v>
      </c>
      <c r="H95" t="str">
        <f aca="true" t="shared" si="15" ref="H95:H105">T("AK ")</f>
        <v>AK </v>
      </c>
      <c r="I95" s="1">
        <f aca="true" t="shared" si="16" ref="I95:I105">N(99802)</f>
        <v>99802</v>
      </c>
      <c r="J95" s="1" t="s">
        <v>0</v>
      </c>
      <c r="K95" s="1" t="s">
        <v>0</v>
      </c>
    </row>
    <row r="96" spans="1:11" ht="12.75">
      <c r="A96" s="1" t="s">
        <v>11</v>
      </c>
      <c r="B96" t="str">
        <f>T("TRIBAL GOVERNMENTS")</f>
        <v>TRIBAL GOVERNMENTS</v>
      </c>
      <c r="C96" t="str">
        <f t="shared" si="13"/>
        <v>DOI/BIA/ALASKA REGION</v>
      </c>
      <c r="D96" t="str">
        <f>T("P.O. BOX 25520")</f>
        <v>P.O. BOX 25520</v>
      </c>
      <c r="E96" s="1" t="s">
        <v>0</v>
      </c>
      <c r="F96" t="s">
        <v>0</v>
      </c>
      <c r="G96" t="str">
        <f t="shared" si="14"/>
        <v>JUNEAU</v>
      </c>
      <c r="H96" t="str">
        <f t="shared" si="15"/>
        <v>AK </v>
      </c>
      <c r="I96" s="1">
        <f t="shared" si="16"/>
        <v>99802</v>
      </c>
      <c r="J96" s="1" t="str">
        <f>T("907 586 7454")</f>
        <v>907 586 7454</v>
      </c>
      <c r="K96" s="1" t="str">
        <f>T("907 586 7064")</f>
        <v>907 586 7064</v>
      </c>
    </row>
    <row r="97" spans="1:11" ht="12.75">
      <c r="A97" s="1" t="s">
        <v>11</v>
      </c>
      <c r="B97" t="str">
        <f>T("HUMAN SERVICES")</f>
        <v>HUMAN SERVICES</v>
      </c>
      <c r="C97" t="str">
        <f t="shared" si="13"/>
        <v>DOI/BIA/ALASKA REGION</v>
      </c>
      <c r="D97" t="str">
        <f>T("P.O. BOX 25520")</f>
        <v>P.O. BOX 25520</v>
      </c>
      <c r="E97" s="1" t="s">
        <v>0</v>
      </c>
      <c r="F97" t="s">
        <v>0</v>
      </c>
      <c r="G97" t="str">
        <f t="shared" si="14"/>
        <v>JUNEAU</v>
      </c>
      <c r="H97" t="str">
        <f t="shared" si="15"/>
        <v>AK </v>
      </c>
      <c r="I97" s="1">
        <f t="shared" si="16"/>
        <v>99802</v>
      </c>
      <c r="J97" s="1" t="str">
        <f>T("907 586 7611")</f>
        <v>907 586 7611</v>
      </c>
      <c r="K97" s="1" t="str">
        <f>T("907 586 7057")</f>
        <v>907 586 7057</v>
      </c>
    </row>
    <row r="98" spans="1:11" ht="12.75">
      <c r="A98" s="1" t="s">
        <v>11</v>
      </c>
      <c r="B98" t="str">
        <f>T("CREDIT")</f>
        <v>CREDIT</v>
      </c>
      <c r="C98" t="str">
        <f t="shared" si="13"/>
        <v>DOI/BIA/ALASKA REGION</v>
      </c>
      <c r="D98" t="str">
        <f>T("P.O. BOX 25520")</f>
        <v>P.O. BOX 25520</v>
      </c>
      <c r="E98" s="1" t="s">
        <v>0</v>
      </c>
      <c r="F98" t="s">
        <v>0</v>
      </c>
      <c r="G98" t="str">
        <f t="shared" si="14"/>
        <v>JUNEAU</v>
      </c>
      <c r="H98" t="str">
        <f t="shared" si="15"/>
        <v>AK </v>
      </c>
      <c r="I98" s="1">
        <f t="shared" si="16"/>
        <v>99802</v>
      </c>
      <c r="J98" s="1" t="str">
        <f>T("907 586 7103")</f>
        <v>907 586 7103</v>
      </c>
      <c r="K98" s="1" t="str">
        <f>T("907 586 7037")</f>
        <v>907 586 7037</v>
      </c>
    </row>
    <row r="99" spans="1:11" ht="12.75">
      <c r="A99" s="1" t="s">
        <v>11</v>
      </c>
      <c r="B99" t="str">
        <f>T("BR OF HOUSING")</f>
        <v>BR OF HOUSING</v>
      </c>
      <c r="C99" t="str">
        <f t="shared" si="13"/>
        <v>DOI/BIA/ALASKA REGION</v>
      </c>
      <c r="D99" t="str">
        <f>T("P.O. BOX 25520")</f>
        <v>P.O. BOX 25520</v>
      </c>
      <c r="E99" s="1" t="s">
        <v>0</v>
      </c>
      <c r="F99" t="s">
        <v>0</v>
      </c>
      <c r="G99" t="str">
        <f t="shared" si="14"/>
        <v>JUNEAU</v>
      </c>
      <c r="H99" t="str">
        <f t="shared" si="15"/>
        <v>AK </v>
      </c>
      <c r="I99" s="1">
        <f t="shared" si="16"/>
        <v>99802</v>
      </c>
      <c r="J99" s="1" t="str">
        <f>T("907 586 7434")</f>
        <v>907 586 7434</v>
      </c>
      <c r="K99" s="1" t="str">
        <f>T("907 586 8762")</f>
        <v>907 586 8762</v>
      </c>
    </row>
    <row r="100" spans="1:11" ht="12.75">
      <c r="A100" s="1" t="s">
        <v>11</v>
      </c>
      <c r="B100" t="str">
        <f>T("ANCSA PROJECT OFC")</f>
        <v>ANCSA PROJECT OFC</v>
      </c>
      <c r="C100" t="str">
        <f t="shared" si="13"/>
        <v>DOI/BIA/ALASKA REGION</v>
      </c>
      <c r="D100" t="str">
        <f>T("2102 E 63RD AVENUE")</f>
        <v>2102 E 63RD AVENUE</v>
      </c>
      <c r="E100" s="1" t="s">
        <v>0</v>
      </c>
      <c r="F100" t="s">
        <v>0</v>
      </c>
      <c r="G100" t="str">
        <f t="shared" si="14"/>
        <v>JUNEAU</v>
      </c>
      <c r="H100" t="str">
        <f t="shared" si="15"/>
        <v>AK </v>
      </c>
      <c r="I100" s="1">
        <f t="shared" si="16"/>
        <v>99802</v>
      </c>
      <c r="J100" s="1" t="str">
        <f>T("907 271 3695")</f>
        <v>907 271 3695</v>
      </c>
      <c r="K100" s="1" t="str">
        <f>T("907 271 1750")</f>
        <v>907 271 1750</v>
      </c>
    </row>
    <row r="101" spans="1:11" ht="12.75">
      <c r="A101" s="1" t="s">
        <v>11</v>
      </c>
      <c r="B101" t="str">
        <f>T("REAL ESTATE SERVICES")</f>
        <v>REAL ESTATE SERVICES</v>
      </c>
      <c r="C101" t="str">
        <f t="shared" si="13"/>
        <v>DOI/BIA/ALASKA REGION</v>
      </c>
      <c r="D101" t="str">
        <f>T("P.O. BOX 25520")</f>
        <v>P.O. BOX 25520</v>
      </c>
      <c r="E101" s="1" t="s">
        <v>0</v>
      </c>
      <c r="F101" t="s">
        <v>0</v>
      </c>
      <c r="G101" t="str">
        <f t="shared" si="14"/>
        <v>JUNEAU</v>
      </c>
      <c r="H101" t="str">
        <f t="shared" si="15"/>
        <v>AK </v>
      </c>
      <c r="I101" s="1">
        <f t="shared" si="16"/>
        <v>99802</v>
      </c>
      <c r="J101" s="1" t="str">
        <f>T("907 586 7403")</f>
        <v>907 586 7403</v>
      </c>
      <c r="K101" s="1" t="str">
        <f>T("907 586 7104")</f>
        <v>907 586 7104</v>
      </c>
    </row>
    <row r="102" spans="1:11" ht="12.75">
      <c r="A102" s="1" t="s">
        <v>11</v>
      </c>
      <c r="B102" t="str">
        <f>T("NATURAL RESOURCES")</f>
        <v>NATURAL RESOURCES</v>
      </c>
      <c r="C102" t="str">
        <f t="shared" si="13"/>
        <v>DOI/BIA/ALASKA REGION</v>
      </c>
      <c r="D102" t="str">
        <f>T("P.O. BOX 25520")</f>
        <v>P.O. BOX 25520</v>
      </c>
      <c r="E102" s="1" t="s">
        <v>0</v>
      </c>
      <c r="F102" t="s">
        <v>0</v>
      </c>
      <c r="G102" t="str">
        <f t="shared" si="14"/>
        <v>JUNEAU</v>
      </c>
      <c r="H102" t="str">
        <f t="shared" si="15"/>
        <v>AK </v>
      </c>
      <c r="I102" s="1">
        <f t="shared" si="16"/>
        <v>99802</v>
      </c>
      <c r="J102" s="1" t="str">
        <f>T("907 586 7618")</f>
        <v>907 586 7618</v>
      </c>
      <c r="K102" s="1" t="str">
        <f>T("907 586 7169")</f>
        <v>907 586 7169</v>
      </c>
    </row>
    <row r="103" spans="1:11" ht="12.75">
      <c r="A103" s="1" t="s">
        <v>11</v>
      </c>
      <c r="B103" t="str">
        <f>T("TRANSPORTATION")</f>
        <v>TRANSPORTATION</v>
      </c>
      <c r="C103" t="str">
        <f t="shared" si="13"/>
        <v>DOI/BIA/ALASKA REGION</v>
      </c>
      <c r="D103" t="str">
        <f>T("P.O. BOX 25520")</f>
        <v>P.O. BOX 25520</v>
      </c>
      <c r="E103" s="1" t="s">
        <v>0</v>
      </c>
      <c r="F103" t="s">
        <v>0</v>
      </c>
      <c r="G103" t="str">
        <f t="shared" si="14"/>
        <v>JUNEAU</v>
      </c>
      <c r="H103" t="str">
        <f t="shared" si="15"/>
        <v>AK </v>
      </c>
      <c r="I103" s="1">
        <f t="shared" si="16"/>
        <v>99802</v>
      </c>
      <c r="J103" s="1" t="str">
        <f>T("907 586 7397")</f>
        <v>907 586 7397</v>
      </c>
      <c r="K103" s="1" t="str">
        <f>T("907 586 7357")</f>
        <v>907 586 7357</v>
      </c>
    </row>
    <row r="104" spans="1:11" ht="12.75">
      <c r="A104" s="1" t="s">
        <v>11</v>
      </c>
      <c r="B104" t="str">
        <f>T("SUPT  WEST-CENTRAL AK AGENCY")</f>
        <v>SUPT  WEST-CENTRAL AK AGENCY</v>
      </c>
      <c r="C104" t="str">
        <f t="shared" si="13"/>
        <v>DOI/BIA/ALASKA REGION</v>
      </c>
      <c r="D104" t="str">
        <f>T("3601 C STREET  SUIT 1100 ")</f>
        <v>3601 C STREET  SUIT 1100 </v>
      </c>
      <c r="E104" s="1" t="s">
        <v>0</v>
      </c>
      <c r="F104" t="s">
        <v>0</v>
      </c>
      <c r="G104" t="str">
        <f t="shared" si="14"/>
        <v>JUNEAU</v>
      </c>
      <c r="H104" t="str">
        <f t="shared" si="15"/>
        <v>AK </v>
      </c>
      <c r="I104" s="1">
        <f t="shared" si="16"/>
        <v>99802</v>
      </c>
      <c r="J104" s="1" t="str">
        <f>T("907 271 4088")</f>
        <v>907 271 4088</v>
      </c>
      <c r="K104" s="1" t="str">
        <f>T("907 271 1746")</f>
        <v>907 271 1746</v>
      </c>
    </row>
    <row r="105" spans="1:11" ht="12.75">
      <c r="A105" s="1" t="s">
        <v>11</v>
      </c>
      <c r="B105" t="str">
        <f>T("SUPT  FAIRBANKS AGENCY")</f>
        <v>SUPT  FAIRBANKS AGENCY</v>
      </c>
      <c r="C105" t="str">
        <f t="shared" si="13"/>
        <v>DOI/BIA/ALASKA REGION</v>
      </c>
      <c r="D105" t="str">
        <f>T("101 12TH AVE. BOX 16")</f>
        <v>101 12TH AVE. BOX 16</v>
      </c>
      <c r="E105" s="1" t="s">
        <v>0</v>
      </c>
      <c r="F105" t="s">
        <v>0</v>
      </c>
      <c r="G105" t="str">
        <f t="shared" si="14"/>
        <v>JUNEAU</v>
      </c>
      <c r="H105" t="str">
        <f t="shared" si="15"/>
        <v>AK </v>
      </c>
      <c r="I105" s="1">
        <f t="shared" si="16"/>
        <v>99802</v>
      </c>
      <c r="J105" s="1" t="str">
        <f>T("907 456 0229")</f>
        <v>907 456 0229</v>
      </c>
      <c r="K105" s="1" t="str">
        <f>T("907 456 0225")</f>
        <v>907 456 0225</v>
      </c>
    </row>
    <row r="106" spans="1:11" ht="12.75">
      <c r="A106" s="1" t="s">
        <v>11</v>
      </c>
      <c r="B106" t="str">
        <f>T("BR OF CONTRACTING")</f>
        <v>BR OF CONTRACTING</v>
      </c>
      <c r="C106" t="str">
        <f>T("MIDWEST REGIONAL OFFICE")</f>
        <v>MIDWEST REGIONAL OFFICE</v>
      </c>
      <c r="D106" t="str">
        <f>T("ONE FEDERAL DRIVE  ROOM 550")</f>
        <v>ONE FEDERAL DRIVE  ROOM 550</v>
      </c>
      <c r="E106" s="1" t="s">
        <v>0</v>
      </c>
      <c r="F106" t="s">
        <v>0</v>
      </c>
      <c r="G106" t="str">
        <f>T("FT. SNELLING")</f>
        <v>FT. SNELLING</v>
      </c>
      <c r="H106" t="str">
        <f>T("MN ")</f>
        <v>MN </v>
      </c>
      <c r="I106" s="1" t="str">
        <f>T("55111 4007")</f>
        <v>55111 4007</v>
      </c>
      <c r="J106" s="1" t="str">
        <f>T("612 713 4400")</f>
        <v>612 713 4400</v>
      </c>
      <c r="K106" s="1" t="str">
        <f>T("612 713 4441")</f>
        <v>612 713 4441</v>
      </c>
    </row>
    <row r="107" spans="1:11" ht="12.75">
      <c r="A107" s="1" t="s">
        <v>11</v>
      </c>
      <c r="B107" t="str">
        <f>T("DIV OF TRANSPORTATION")</f>
        <v>DIV OF TRANSPORTATION</v>
      </c>
      <c r="C107" t="str">
        <f>T("MIDWEST REGIONAL OFFICE")</f>
        <v>MIDWEST REGIONAL OFFICE</v>
      </c>
      <c r="D107" t="str">
        <f>T("ONE FEDERAL DRIVE  ROOM 550")</f>
        <v>ONE FEDERAL DRIVE  ROOM 550</v>
      </c>
      <c r="E107" s="1" t="s">
        <v>0</v>
      </c>
      <c r="F107" t="s">
        <v>0</v>
      </c>
      <c r="G107" t="str">
        <f>T("FT. SNELLING")</f>
        <v>FT. SNELLING</v>
      </c>
      <c r="H107" t="str">
        <f>T("MN ")</f>
        <v>MN </v>
      </c>
      <c r="I107" s="1" t="str">
        <f>T("55111 4007")</f>
        <v>55111 4007</v>
      </c>
      <c r="J107" s="1" t="str">
        <f>T("612 713 4400")</f>
        <v>612 713 4400</v>
      </c>
      <c r="K107" s="1" t="str">
        <f>T("612 713 4441")</f>
        <v>612 713 4441</v>
      </c>
    </row>
    <row r="108" spans="1:11" ht="12.75">
      <c r="A108" s="1" t="s">
        <v>11</v>
      </c>
      <c r="B108" t="str">
        <f>T("SUPT  GREAT LAKES AGENCY")</f>
        <v>SUPT  GREAT LAKES AGENCY</v>
      </c>
      <c r="C108" t="str">
        <f>T("GREAT LAKES AGENCY")</f>
        <v>GREAT LAKES AGENCY</v>
      </c>
      <c r="D108" t="str">
        <f>T("615 WEST MAIN STREET")</f>
        <v>615 WEST MAIN STREET</v>
      </c>
      <c r="E108" s="1" t="str">
        <f>T("P.O. BOX 273")</f>
        <v>P.O. BOX 273</v>
      </c>
      <c r="F108" t="s">
        <v>0</v>
      </c>
      <c r="G108" t="str">
        <f>T("ASHLAND")</f>
        <v>ASHLAND</v>
      </c>
      <c r="H108" t="str">
        <f>T("WI ")</f>
        <v>WI </v>
      </c>
      <c r="I108" s="1" t="str">
        <f>T("54506 0273")</f>
        <v>54506 0273</v>
      </c>
      <c r="J108" s="1" t="str">
        <f>T("715 682 4527")</f>
        <v>715 682 4527</v>
      </c>
      <c r="K108" s="1" t="str">
        <f>T("715 682 8897")</f>
        <v>715 682 8897</v>
      </c>
    </row>
    <row r="109" spans="1:11" ht="12.75">
      <c r="A109" s="1" t="s">
        <v>11</v>
      </c>
      <c r="B109" t="str">
        <f>T("SUPT  MICHIGAN AGENCY")</f>
        <v>SUPT  MICHIGAN AGENCY</v>
      </c>
      <c r="C109" t="str">
        <f>T("MICHIGAN AGENCY")</f>
        <v>MICHIGAN AGENCY</v>
      </c>
      <c r="D109" t="str">
        <f>T("2901.5 I 75 BUSINESS SPUR")</f>
        <v>2901.5 I 75 BUSINESS SPUR</v>
      </c>
      <c r="E109" s="1" t="s">
        <v>0</v>
      </c>
      <c r="F109" t="s">
        <v>0</v>
      </c>
      <c r="G109" t="str">
        <f>T("SAULT STE. MARIE")</f>
        <v>SAULT STE. MARIE</v>
      </c>
      <c r="H109" t="str">
        <f>T("MI ")</f>
        <v>MI </v>
      </c>
      <c r="I109" s="1" t="str">
        <f>T("49783 3519")</f>
        <v>49783 3519</v>
      </c>
      <c r="J109" s="1" t="str">
        <f>T("906 632 6809")</f>
        <v>906 632 6809</v>
      </c>
      <c r="K109" s="1" t="str">
        <f>T("906 632 0689")</f>
        <v>906 632 0689</v>
      </c>
    </row>
    <row r="110" spans="1:11" ht="12.75">
      <c r="A110" s="1" t="s">
        <v>11</v>
      </c>
      <c r="B110" t="str">
        <f>T("DIV OF TRANSPORTATION")</f>
        <v>DIV OF TRANSPORTATION</v>
      </c>
      <c r="C110" t="str">
        <f aca="true" t="shared" si="17" ref="C110:C115">T("DOI/BIA/EASTERN OKLAHOMA REGIONAL OFFICE")</f>
        <v>DOI/BIA/EASTERN OKLAHOMA REGIONAL OFFICE</v>
      </c>
      <c r="D110" t="str">
        <f aca="true" t="shared" si="18" ref="D110:D115">T("101 NORTH 5TH STREET")</f>
        <v>101 NORTH 5TH STREET</v>
      </c>
      <c r="E110" s="1" t="s">
        <v>0</v>
      </c>
      <c r="F110" t="s">
        <v>0</v>
      </c>
      <c r="G110" t="str">
        <f aca="true" t="shared" si="19" ref="G110:G115">T("MUSKOGEE")</f>
        <v>MUSKOGEE</v>
      </c>
      <c r="H110" t="str">
        <f aca="true" t="shared" si="20" ref="H110:H124">T("OK ")</f>
        <v>OK </v>
      </c>
      <c r="I110" s="1" t="str">
        <f aca="true" t="shared" si="21" ref="I110:I115">T("74401 6206")</f>
        <v>74401 6206</v>
      </c>
      <c r="J110" s="1">
        <f>N(9186872370)</f>
        <v>9186872370</v>
      </c>
      <c r="K110" s="1">
        <f aca="true" t="shared" si="22" ref="K110:K115">N(9186872571)</f>
        <v>9186872571</v>
      </c>
    </row>
    <row r="111" spans="1:11" ht="12.75">
      <c r="A111" s="1" t="s">
        <v>11</v>
      </c>
      <c r="B111" t="str">
        <f>T("DIV OF NATURAL RESOURCES")</f>
        <v>DIV OF NATURAL RESOURCES</v>
      </c>
      <c r="C111" t="str">
        <f t="shared" si="17"/>
        <v>DOI/BIA/EASTERN OKLAHOMA REGIONAL OFFICE</v>
      </c>
      <c r="D111" t="str">
        <f t="shared" si="18"/>
        <v>101 NORTH 5TH STREET</v>
      </c>
      <c r="E111" s="1" t="s">
        <v>0</v>
      </c>
      <c r="F111" t="s">
        <v>0</v>
      </c>
      <c r="G111" t="str">
        <f t="shared" si="19"/>
        <v>MUSKOGEE</v>
      </c>
      <c r="H111" t="str">
        <f t="shared" si="20"/>
        <v>OK </v>
      </c>
      <c r="I111" s="1" t="str">
        <f t="shared" si="21"/>
        <v>74401 6206</v>
      </c>
      <c r="J111" s="1">
        <f>N(9186872379)</f>
        <v>9186872379</v>
      </c>
      <c r="K111" s="1">
        <f t="shared" si="22"/>
        <v>9186872571</v>
      </c>
    </row>
    <row r="112" spans="1:11" ht="12.75">
      <c r="A112" s="1" t="s">
        <v>11</v>
      </c>
      <c r="B112" t="str">
        <f>T("DIV OF REAL ESTATE SERVICES")</f>
        <v>DIV OF REAL ESTATE SERVICES</v>
      </c>
      <c r="C112" t="str">
        <f t="shared" si="17"/>
        <v>DOI/BIA/EASTERN OKLAHOMA REGIONAL OFFICE</v>
      </c>
      <c r="D112" t="str">
        <f t="shared" si="18"/>
        <v>101 NORTH 5TH STREET</v>
      </c>
      <c r="E112" s="1" t="s">
        <v>0</v>
      </c>
      <c r="F112" t="s">
        <v>0</v>
      </c>
      <c r="G112" t="str">
        <f t="shared" si="19"/>
        <v>MUSKOGEE</v>
      </c>
      <c r="H112" t="str">
        <f t="shared" si="20"/>
        <v>OK </v>
      </c>
      <c r="I112" s="1" t="str">
        <f t="shared" si="21"/>
        <v>74401 6206</v>
      </c>
      <c r="J112" s="1">
        <f>N(9186872293)</f>
        <v>9186872293</v>
      </c>
      <c r="K112" s="1">
        <f t="shared" si="22"/>
        <v>9186872571</v>
      </c>
    </row>
    <row r="113" spans="1:11" ht="12.75">
      <c r="A113" s="1" t="s">
        <v>11</v>
      </c>
      <c r="B113" t="str">
        <f>T("HUMAN SERVICES")</f>
        <v>HUMAN SERVICES</v>
      </c>
      <c r="C113" t="str">
        <f t="shared" si="17"/>
        <v>DOI/BIA/EASTERN OKLAHOMA REGIONAL OFFICE</v>
      </c>
      <c r="D113" t="str">
        <f t="shared" si="18"/>
        <v>101 NORTH 5TH STREET</v>
      </c>
      <c r="E113" s="1" t="s">
        <v>0</v>
      </c>
      <c r="F113" t="s">
        <v>0</v>
      </c>
      <c r="G113" t="str">
        <f t="shared" si="19"/>
        <v>MUSKOGEE</v>
      </c>
      <c r="H113" t="str">
        <f t="shared" si="20"/>
        <v>OK </v>
      </c>
      <c r="I113" s="1" t="str">
        <f t="shared" si="21"/>
        <v>74401 6206</v>
      </c>
      <c r="J113" s="1">
        <f>N(9186872517)</f>
        <v>9186872517</v>
      </c>
      <c r="K113" s="1">
        <f t="shared" si="22"/>
        <v>9186872571</v>
      </c>
    </row>
    <row r="114" spans="1:11" ht="12.75">
      <c r="A114" s="1" t="s">
        <v>11</v>
      </c>
      <c r="B114" t="str">
        <f>T("FORESTRY AND FIRE")</f>
        <v>FORESTRY AND FIRE</v>
      </c>
      <c r="C114" t="str">
        <f t="shared" si="17"/>
        <v>DOI/BIA/EASTERN OKLAHOMA REGIONAL OFFICE</v>
      </c>
      <c r="D114" t="str">
        <f t="shared" si="18"/>
        <v>101 NORTH 5TH STREET</v>
      </c>
      <c r="E114" s="1" t="s">
        <v>0</v>
      </c>
      <c r="F114" t="s">
        <v>0</v>
      </c>
      <c r="G114" t="str">
        <f t="shared" si="19"/>
        <v>MUSKOGEE</v>
      </c>
      <c r="H114" t="str">
        <f t="shared" si="20"/>
        <v>OK </v>
      </c>
      <c r="I114" s="1" t="str">
        <f t="shared" si="21"/>
        <v>74401 6206</v>
      </c>
      <c r="J114" s="1">
        <f>N(9186872379)</f>
        <v>9186872379</v>
      </c>
      <c r="K114" s="1">
        <f t="shared" si="22"/>
        <v>9186872571</v>
      </c>
    </row>
    <row r="115" spans="1:11" ht="12.75">
      <c r="A115" s="1" t="s">
        <v>11</v>
      </c>
      <c r="B115" t="str">
        <f>T("TRIBAL GOVERNMENTS")</f>
        <v>TRIBAL GOVERNMENTS</v>
      </c>
      <c r="C115" t="str">
        <f t="shared" si="17"/>
        <v>DOI/BIA/EASTERN OKLAHOMA REGIONAL OFFICE</v>
      </c>
      <c r="D115" t="str">
        <f t="shared" si="18"/>
        <v>101 NORTH 5TH STREET</v>
      </c>
      <c r="E115" s="1" t="s">
        <v>0</v>
      </c>
      <c r="F115" t="s">
        <v>0</v>
      </c>
      <c r="G115" t="str">
        <f t="shared" si="19"/>
        <v>MUSKOGEE</v>
      </c>
      <c r="H115" t="str">
        <f t="shared" si="20"/>
        <v>OK </v>
      </c>
      <c r="I115" s="1" t="str">
        <f t="shared" si="21"/>
        <v>74401 6206</v>
      </c>
      <c r="J115" s="1">
        <f>N(9186872312)</f>
        <v>9186872312</v>
      </c>
      <c r="K115" s="1">
        <f t="shared" si="22"/>
        <v>9186872571</v>
      </c>
    </row>
    <row r="116" spans="1:11" ht="12.75">
      <c r="A116" s="1" t="s">
        <v>11</v>
      </c>
      <c r="B116" t="str">
        <f>T("SUPT  CHICKASAW AGENCY")</f>
        <v>SUPT  CHICKASAW AGENCY</v>
      </c>
      <c r="C116" t="str">
        <f>T("DOI/BIA/CHICKASAW AGENCY")</f>
        <v>DOI/BIA/CHICKASAW AGENCY</v>
      </c>
      <c r="D116" t="str">
        <f>T("1500 N. COUNTRY CLUB RD  P.O. BOX 2240 ")</f>
        <v>1500 N. COUNTRY CLUB RD  P.O. BOX 2240 </v>
      </c>
      <c r="E116" s="1" t="s">
        <v>0</v>
      </c>
      <c r="F116" t="s">
        <v>0</v>
      </c>
      <c r="G116" t="str">
        <f>T("ADA")</f>
        <v>ADA</v>
      </c>
      <c r="H116" t="str">
        <f t="shared" si="20"/>
        <v>OK </v>
      </c>
      <c r="I116" s="1">
        <f>N(74821)</f>
        <v>74821</v>
      </c>
      <c r="J116" s="1">
        <f>N(5804360784)</f>
        <v>5804360784</v>
      </c>
      <c r="K116" s="1">
        <f>N(5804363215)</f>
        <v>5804363215</v>
      </c>
    </row>
    <row r="117" spans="1:11" ht="12.75">
      <c r="A117" s="1" t="s">
        <v>11</v>
      </c>
      <c r="B117" t="str">
        <f>T("DIV OF ADMIN")</f>
        <v>DIV OF ADMIN</v>
      </c>
      <c r="C117" t="str">
        <f>T("DOI/BIA/CHICKASAW AGENCY")</f>
        <v>DOI/BIA/CHICKASAW AGENCY</v>
      </c>
      <c r="D117" t="str">
        <f>T("1500 N. COUNTRY CLUB RD  P.O. BOX 2240 ")</f>
        <v>1500 N. COUNTRY CLUB RD  P.O. BOX 2240 </v>
      </c>
      <c r="E117" s="1" t="s">
        <v>0</v>
      </c>
      <c r="F117" t="s">
        <v>0</v>
      </c>
      <c r="G117" t="str">
        <f>T("ADA")</f>
        <v>ADA</v>
      </c>
      <c r="H117" t="str">
        <f t="shared" si="20"/>
        <v>OK </v>
      </c>
      <c r="I117" s="1">
        <f>N(74821)</f>
        <v>74821</v>
      </c>
      <c r="J117" s="1">
        <f>N(5804360784)</f>
        <v>5804360784</v>
      </c>
      <c r="K117" s="1">
        <f>N(5804363215)</f>
        <v>5804363215</v>
      </c>
    </row>
    <row r="118" spans="1:11" ht="12.75">
      <c r="A118" s="1" t="s">
        <v>11</v>
      </c>
      <c r="B118" t="str">
        <f>T("SUPT  MIAMI AGENCY")</f>
        <v>SUPT  MIAMI AGENCY</v>
      </c>
      <c r="C118" t="str">
        <f>T("DOI/BIA/MIAMI FIELD OFFICE")</f>
        <v>DOI/BIA/MIAMI FIELD OFFICE</v>
      </c>
      <c r="D118" t="str">
        <f>T("P.O. BOX 391")</f>
        <v>P.O. BOX 391</v>
      </c>
      <c r="E118" s="1" t="s">
        <v>0</v>
      </c>
      <c r="F118" t="s">
        <v>0</v>
      </c>
      <c r="G118" t="str">
        <f>T("MIAMI")</f>
        <v>MIAMI</v>
      </c>
      <c r="H118" t="str">
        <f t="shared" si="20"/>
        <v>OK </v>
      </c>
      <c r="I118" s="1">
        <f>N(74355)</f>
        <v>74355</v>
      </c>
      <c r="J118" s="1">
        <f>N(9185423396)</f>
        <v>9185423396</v>
      </c>
      <c r="K118" s="1">
        <f>N(9185427202)</f>
        <v>9185427202</v>
      </c>
    </row>
    <row r="119" spans="1:11" ht="12.75">
      <c r="A119" s="1" t="s">
        <v>11</v>
      </c>
      <c r="B119" t="str">
        <f>T("DIV OF INDIAN PROGRAMS")</f>
        <v>DIV OF INDIAN PROGRAMS</v>
      </c>
      <c r="C119" t="str">
        <f>T("DOI/BIA/MIAMI FIELD OFFICE")</f>
        <v>DOI/BIA/MIAMI FIELD OFFICE</v>
      </c>
      <c r="D119" t="str">
        <f>T("P.O. BOX 391")</f>
        <v>P.O. BOX 391</v>
      </c>
      <c r="E119" s="1" t="s">
        <v>0</v>
      </c>
      <c r="F119" t="s">
        <v>0</v>
      </c>
      <c r="G119" t="str">
        <f>T("MIAMI")</f>
        <v>MIAMI</v>
      </c>
      <c r="H119" t="str">
        <f t="shared" si="20"/>
        <v>OK </v>
      </c>
      <c r="I119" s="1">
        <f>N(74355)</f>
        <v>74355</v>
      </c>
      <c r="J119" s="1">
        <f>N(9185423396)</f>
        <v>9185423396</v>
      </c>
      <c r="K119" s="1">
        <f>N(9185427202)</f>
        <v>9185427202</v>
      </c>
    </row>
    <row r="120" spans="1:11" ht="12.75">
      <c r="A120" s="1" t="s">
        <v>11</v>
      </c>
      <c r="B120" t="str">
        <f>T("SUPT  OKMULGEE AGENCY")</f>
        <v>SUPT  OKMULGEE AGENCY</v>
      </c>
      <c r="C120" t="str">
        <f>T("DOI/BIA/OKMULGEE FIELD OFFICE")</f>
        <v>DOI/BIA/OKMULGEE FIELD OFFICE</v>
      </c>
      <c r="D120" t="str">
        <f>T("P.O. BOX 370")</f>
        <v>P.O. BOX 370</v>
      </c>
      <c r="E120" s="1" t="s">
        <v>0</v>
      </c>
      <c r="F120" t="s">
        <v>0</v>
      </c>
      <c r="G120" t="str">
        <f>T("OKMULGEE")</f>
        <v>OKMULGEE</v>
      </c>
      <c r="H120" t="str">
        <f t="shared" si="20"/>
        <v>OK </v>
      </c>
      <c r="I120" s="1">
        <f>N(74447)</f>
        <v>74447</v>
      </c>
      <c r="J120" s="1">
        <f>N(9187563950)</f>
        <v>9187563950</v>
      </c>
      <c r="K120" s="1">
        <f>N(9187569626)</f>
        <v>9187569626</v>
      </c>
    </row>
    <row r="121" spans="1:11" ht="12.75">
      <c r="A121" s="1" t="s">
        <v>11</v>
      </c>
      <c r="B121" t="str">
        <f>T("DIV OF ADMIN")</f>
        <v>DIV OF ADMIN</v>
      </c>
      <c r="C121" t="str">
        <f>T("DOI/BIA/OKMULGEE FIELD OFFICE")</f>
        <v>DOI/BIA/OKMULGEE FIELD OFFICE</v>
      </c>
      <c r="D121" t="str">
        <f>T("P.O. BOX 370")</f>
        <v>P.O. BOX 370</v>
      </c>
      <c r="E121" s="1" t="s">
        <v>0</v>
      </c>
      <c r="F121" t="s">
        <v>0</v>
      </c>
      <c r="G121" t="str">
        <f>T("OKMULGEE")</f>
        <v>OKMULGEE</v>
      </c>
      <c r="H121" t="str">
        <f t="shared" si="20"/>
        <v>OK </v>
      </c>
      <c r="I121" s="1">
        <f>N(74447)</f>
        <v>74447</v>
      </c>
      <c r="J121" s="1">
        <f>N(9187563950)</f>
        <v>9187563950</v>
      </c>
      <c r="K121" s="1">
        <f>N(9187569626)</f>
        <v>9187569626</v>
      </c>
    </row>
    <row r="122" spans="1:11" ht="12.75">
      <c r="A122" s="1" t="s">
        <v>11</v>
      </c>
      <c r="B122" t="str">
        <f>T("DIV OF ADMIN")</f>
        <v>DIV OF ADMIN</v>
      </c>
      <c r="C122" t="str">
        <f>T("DOI/BIA/TALIHINA FIELD OFFICE")</f>
        <v>DOI/BIA/TALIHINA FIELD OFFICE</v>
      </c>
      <c r="D122" t="str">
        <f>T("P.O. DRAWER 8")</f>
        <v>P.O. DRAWER 8</v>
      </c>
      <c r="E122" s="1" t="s">
        <v>0</v>
      </c>
      <c r="F122" t="s">
        <v>0</v>
      </c>
      <c r="G122" t="str">
        <f>T("TALIHINA")</f>
        <v>TALIHINA</v>
      </c>
      <c r="H122" t="str">
        <f t="shared" si="20"/>
        <v>OK </v>
      </c>
      <c r="I122" s="1">
        <f>N(74571)</f>
        <v>74571</v>
      </c>
      <c r="J122" s="1">
        <f>N(9185672207)</f>
        <v>9185672207</v>
      </c>
      <c r="K122" s="1">
        <f>N(9185672061)</f>
        <v>9185672061</v>
      </c>
    </row>
    <row r="123" spans="1:11" ht="12.75">
      <c r="A123" s="1" t="s">
        <v>11</v>
      </c>
      <c r="B123" t="str">
        <f>T("DIV OF ADMIN")</f>
        <v>DIV OF ADMIN</v>
      </c>
      <c r="C123" t="str">
        <f>T("DOI/BIA/WEWOKA AGENCY")</f>
        <v>DOI/BIA/WEWOKA AGENCY</v>
      </c>
      <c r="D123" t="str">
        <f>T("P.O. BOX 1060")</f>
        <v>P.O. BOX 1060</v>
      </c>
      <c r="E123" s="1" t="s">
        <v>0</v>
      </c>
      <c r="F123" t="s">
        <v>0</v>
      </c>
      <c r="G123" t="str">
        <f>T("WEWOKA")</f>
        <v>WEWOKA</v>
      </c>
      <c r="H123" t="str">
        <f t="shared" si="20"/>
        <v>OK </v>
      </c>
      <c r="I123" s="1">
        <f>N(74884)</f>
        <v>74884</v>
      </c>
      <c r="J123" s="1">
        <f>N(4052576259)</f>
        <v>4052576259</v>
      </c>
      <c r="K123" s="1">
        <f>N(4052576748)</f>
        <v>4052576748</v>
      </c>
    </row>
    <row r="124" spans="1:11" ht="12.75">
      <c r="A124" s="1" t="s">
        <v>11</v>
      </c>
      <c r="B124" t="str">
        <f>T("DEPUTY AGENCY SUPT-TRIBAL SVS")</f>
        <v>DEPUTY AGENCY SUPT-TRIBAL SVS</v>
      </c>
      <c r="C124" t="str">
        <f>T("DOI/BIA/WEWOKA AGENCY")</f>
        <v>DOI/BIA/WEWOKA AGENCY</v>
      </c>
      <c r="D124" t="str">
        <f>T("P.O. BOX 1060")</f>
        <v>P.O. BOX 1060</v>
      </c>
      <c r="E124" s="1" t="s">
        <v>0</v>
      </c>
      <c r="F124" t="s">
        <v>0</v>
      </c>
      <c r="G124" t="str">
        <f>T("WEWOKA")</f>
        <v>WEWOKA</v>
      </c>
      <c r="H124" t="str">
        <f t="shared" si="20"/>
        <v>OK </v>
      </c>
      <c r="I124" s="1">
        <f>N(74884)</f>
        <v>74884</v>
      </c>
      <c r="J124" s="1">
        <f>N(4052576259)</f>
        <v>4052576259</v>
      </c>
      <c r="K124" s="1">
        <f>N(4052576748)</f>
        <v>4052576748</v>
      </c>
    </row>
    <row r="125" spans="1:11" ht="12.75">
      <c r="A125" s="1" t="s">
        <v>11</v>
      </c>
      <c r="B125" t="str">
        <f>T("DIV OF NATURAL RESOURCES")</f>
        <v>DIV OF NATURAL RESOURCES</v>
      </c>
      <c r="C125" t="str">
        <f>T("DOI/BIA/WESTERN REGIONAL OFFICE")</f>
        <v>DOI/BIA/WESTERN REGIONAL OFFICE</v>
      </c>
      <c r="D125" t="str">
        <f>T("P O BOX 10")</f>
        <v>P O BOX 10</v>
      </c>
      <c r="E125" s="1" t="s">
        <v>0</v>
      </c>
      <c r="F125" t="s">
        <v>0</v>
      </c>
      <c r="G125" t="str">
        <f>T("PHOENIX")</f>
        <v>PHOENIX</v>
      </c>
      <c r="H125" t="str">
        <f aca="true" t="shared" si="23" ref="H125:H135">T("AZ ")</f>
        <v>AZ </v>
      </c>
      <c r="I125" s="1">
        <f>N(850010010)</f>
        <v>850010010</v>
      </c>
      <c r="J125" s="1" t="str">
        <f>T("602 379 3318")</f>
        <v>602 379 3318</v>
      </c>
      <c r="K125" s="1" t="str">
        <f>T("602 379 6835")</f>
        <v>602 379 6835</v>
      </c>
    </row>
    <row r="126" spans="1:11" ht="12.75">
      <c r="A126" s="1" t="s">
        <v>11</v>
      </c>
      <c r="B126" t="str">
        <f>T("DIV OF FORESTRY MGMT")</f>
        <v>DIV OF FORESTRY MGMT</v>
      </c>
      <c r="C126" t="str">
        <f>T("DOI/BIA/WESTERN REGIONAL OFFICE")</f>
        <v>DOI/BIA/WESTERN REGIONAL OFFICE</v>
      </c>
      <c r="D126" t="str">
        <f>T("P O BOX 10")</f>
        <v>P O BOX 10</v>
      </c>
      <c r="E126" s="1" t="s">
        <v>0</v>
      </c>
      <c r="F126" t="s">
        <v>0</v>
      </c>
      <c r="G126" t="str">
        <f>T("PHOENIX")</f>
        <v>PHOENIX</v>
      </c>
      <c r="H126" t="str">
        <f t="shared" si="23"/>
        <v>AZ </v>
      </c>
      <c r="I126" s="1">
        <f>N(850010010)</f>
        <v>850010010</v>
      </c>
      <c r="J126" s="1">
        <f>N(6023793318)</f>
        <v>6023793318</v>
      </c>
      <c r="K126" s="1" t="str">
        <f>T("602 379 6826")</f>
        <v>602 379 6826</v>
      </c>
    </row>
    <row r="127" spans="1:11" ht="12.75">
      <c r="A127" s="1" t="s">
        <v>11</v>
      </c>
      <c r="B127" t="str">
        <f>T("BR OF ENVIRON QUAL SRVCES")</f>
        <v>BR OF ENVIRON QUAL SRVCES</v>
      </c>
      <c r="C127" t="str">
        <f>T("DOI/BIA/WESTERN REGIONAL OFFICE")</f>
        <v>DOI/BIA/WESTERN REGIONAL OFFICE</v>
      </c>
      <c r="D127" t="str">
        <f>T("P O BOX 10")</f>
        <v>P O BOX 10</v>
      </c>
      <c r="E127" s="1" t="s">
        <v>0</v>
      </c>
      <c r="F127" t="s">
        <v>0</v>
      </c>
      <c r="G127" t="str">
        <f>T("PHOENIX")</f>
        <v>PHOENIX</v>
      </c>
      <c r="H127" t="str">
        <f t="shared" si="23"/>
        <v>AZ </v>
      </c>
      <c r="I127" s="1" t="str">
        <f>T("85001 0010")</f>
        <v>85001 0010</v>
      </c>
      <c r="J127" s="1" t="str">
        <f>T("602 379 6750")</f>
        <v>602 379 6750</v>
      </c>
      <c r="K127" s="1" t="str">
        <f>T("602 379 3833")</f>
        <v>602 379 3833</v>
      </c>
    </row>
    <row r="128" spans="1:11" ht="12.75">
      <c r="A128" s="1" t="s">
        <v>11</v>
      </c>
      <c r="B128" t="str">
        <f>T("SUPT  COLORADO RIVER AGENCY")</f>
        <v>SUPT  COLORADO RIVER AGENCY</v>
      </c>
      <c r="C128" t="str">
        <f>T("DOI/BIA/COLORADO RIVER AGENCY")</f>
        <v>DOI/BIA/COLORADO RIVER AGENCY</v>
      </c>
      <c r="D128" t="str">
        <f>T("ROUTE 1  BOX 9 C")</f>
        <v>ROUTE 1  BOX 9 C</v>
      </c>
      <c r="E128" s="1" t="s">
        <v>0</v>
      </c>
      <c r="F128" t="s">
        <v>0</v>
      </c>
      <c r="G128" t="str">
        <f>T("PARKER")</f>
        <v>PARKER</v>
      </c>
      <c r="H128" t="str">
        <f t="shared" si="23"/>
        <v>AZ </v>
      </c>
      <c r="I128" s="1">
        <f>N(85344)</f>
        <v>85344</v>
      </c>
      <c r="J128" s="1">
        <f>N(6023793318)</f>
        <v>6023793318</v>
      </c>
      <c r="K128" s="1">
        <f>N(5206697187)</f>
        <v>5206697187</v>
      </c>
    </row>
    <row r="129" spans="1:11" ht="12.75">
      <c r="A129" s="1" t="s">
        <v>11</v>
      </c>
      <c r="B129" t="str">
        <f>T("ADMIN")</f>
        <v>ADMIN</v>
      </c>
      <c r="C129" t="str">
        <f>T("DOI/BIA/FORT APACHE AGENCY")</f>
        <v>DOI/BIA/FORT APACHE AGENCY</v>
      </c>
      <c r="D129" t="str">
        <f>T("P O BOX 560")</f>
        <v>P O BOX 560</v>
      </c>
      <c r="E129" s="1" t="s">
        <v>0</v>
      </c>
      <c r="F129" t="s">
        <v>0</v>
      </c>
      <c r="G129" t="str">
        <f>T("WHITERIVER")</f>
        <v>WHITERIVER</v>
      </c>
      <c r="H129" t="str">
        <f t="shared" si="23"/>
        <v>AZ </v>
      </c>
      <c r="I129" s="1" t="str">
        <f>T("85941 0560")</f>
        <v>85941 0560</v>
      </c>
      <c r="J129" s="1" t="str">
        <f>T("520 338 5356")</f>
        <v>520 338 5356</v>
      </c>
      <c r="K129" s="1" t="str">
        <f>T("520 338 5383")</f>
        <v>520 338 5383</v>
      </c>
    </row>
    <row r="130" spans="1:11" ht="12.75">
      <c r="A130" s="1" t="s">
        <v>11</v>
      </c>
      <c r="B130" t="str">
        <f>T("SUPT  PAPAGO AGENCY")</f>
        <v>SUPT  PAPAGO AGENCY</v>
      </c>
      <c r="C130" t="str">
        <f>T("DOI/BIA/PAPAGO AGENCY")</f>
        <v>DOI/BIA/PAPAGO AGENCY</v>
      </c>
      <c r="D130" t="str">
        <f>T("P O BOX 490")</f>
        <v>P O BOX 490</v>
      </c>
      <c r="E130" s="1" t="s">
        <v>0</v>
      </c>
      <c r="F130" t="s">
        <v>0</v>
      </c>
      <c r="G130" t="str">
        <f>T("SELLS")</f>
        <v>SELLS</v>
      </c>
      <c r="H130" t="str">
        <f t="shared" si="23"/>
        <v>AZ </v>
      </c>
      <c r="I130" s="1">
        <f>N(856340490)</f>
        <v>856340490</v>
      </c>
      <c r="J130" s="1">
        <f>N(6023793318)</f>
        <v>6023793318</v>
      </c>
      <c r="K130" s="1" t="str">
        <f>T("520 383 2087")</f>
        <v>520 383 2087</v>
      </c>
    </row>
    <row r="131" spans="1:11" ht="12.75">
      <c r="A131" s="1" t="s">
        <v>11</v>
      </c>
      <c r="B131" t="str">
        <f>T("SUPT  SAN CARLOS AGENCY")</f>
        <v>SUPT  SAN CARLOS AGENCY</v>
      </c>
      <c r="C131" t="str">
        <f>T("DOI/BIA/SAN CARLOS AGENCY")</f>
        <v>DOI/BIA/SAN CARLOS AGENCY</v>
      </c>
      <c r="D131" t="str">
        <f>T("P O BOX 209")</f>
        <v>P O BOX 209</v>
      </c>
      <c r="E131" s="1" t="s">
        <v>0</v>
      </c>
      <c r="F131" t="s">
        <v>0</v>
      </c>
      <c r="G131" t="str">
        <f>T("SAN CARLOS")</f>
        <v>SAN CARLOS</v>
      </c>
      <c r="H131" t="str">
        <f t="shared" si="23"/>
        <v>AZ </v>
      </c>
      <c r="I131" s="1">
        <f>N(855500209)</f>
        <v>855500209</v>
      </c>
      <c r="J131" s="1">
        <f>N(6023793318)</f>
        <v>6023793318</v>
      </c>
      <c r="K131" s="1" t="str">
        <f>T("928 475 2783")</f>
        <v>928 475 2783</v>
      </c>
    </row>
    <row r="132" spans="1:11" ht="12.75">
      <c r="A132" s="1" t="s">
        <v>11</v>
      </c>
      <c r="B132" t="str">
        <f>T("PROJ MGR SCIP")</f>
        <v>PROJ MGR SCIP</v>
      </c>
      <c r="C132" t="str">
        <f>T("DOI/BIA/SAN CARLOS IRRIGATION PROJECT")</f>
        <v>DOI/BIA/SAN CARLOS IRRIGATION PROJECT</v>
      </c>
      <c r="D132" t="str">
        <f>T("P O BOX 250")</f>
        <v>P O BOX 250</v>
      </c>
      <c r="E132" s="1" t="s">
        <v>0</v>
      </c>
      <c r="F132" t="s">
        <v>0</v>
      </c>
      <c r="G132" t="str">
        <f>T("COOLIDGE")</f>
        <v>COOLIDGE</v>
      </c>
      <c r="H132" t="str">
        <f t="shared" si="23"/>
        <v>AZ </v>
      </c>
      <c r="I132" s="1">
        <f>N(852280250)</f>
        <v>852280250</v>
      </c>
      <c r="J132" s="1">
        <f>N(6023793318)</f>
        <v>6023793318</v>
      </c>
      <c r="K132" s="1" t="str">
        <f>T("520 723 5770")</f>
        <v>520 723 5770</v>
      </c>
    </row>
    <row r="133" spans="1:11" ht="12.75">
      <c r="A133" s="1" t="s">
        <v>11</v>
      </c>
      <c r="B133" t="str">
        <f>T("ADMINISTRATIVE DIV")</f>
        <v>ADMINISTRATIVE DIV</v>
      </c>
      <c r="C133" t="str">
        <f>T("DOI/BIA/SAN CARLOS IRRIGATION PROJECT")</f>
        <v>DOI/BIA/SAN CARLOS IRRIGATION PROJECT</v>
      </c>
      <c r="D133" t="str">
        <f>T("P O BOX 250")</f>
        <v>P O BOX 250</v>
      </c>
      <c r="E133" s="1" t="s">
        <v>0</v>
      </c>
      <c r="F133" t="s">
        <v>0</v>
      </c>
      <c r="G133" t="str">
        <f>T("COOLIDGE")</f>
        <v>COOLIDGE</v>
      </c>
      <c r="H133" t="str">
        <f t="shared" si="23"/>
        <v>AZ </v>
      </c>
      <c r="I133" s="1">
        <f>N(852280250)</f>
        <v>852280250</v>
      </c>
      <c r="J133" s="1">
        <f>N(6023793318)</f>
        <v>6023793318</v>
      </c>
      <c r="K133" s="1" t="str">
        <f>T("520 723 5770")</f>
        <v>520 723 5770</v>
      </c>
    </row>
    <row r="134" spans="1:11" ht="12.75">
      <c r="A134" s="1" t="s">
        <v>11</v>
      </c>
      <c r="B134" t="str">
        <f>T("POWER DIV")</f>
        <v>POWER DIV</v>
      </c>
      <c r="C134" t="str">
        <f>T("DOI/BIA/SAN CARLOS IRRIGATION PROJECT")</f>
        <v>DOI/BIA/SAN CARLOS IRRIGATION PROJECT</v>
      </c>
      <c r="D134" t="str">
        <f>T("P O BOX 250")</f>
        <v>P O BOX 250</v>
      </c>
      <c r="E134" s="1" t="s">
        <v>0</v>
      </c>
      <c r="F134" t="s">
        <v>0</v>
      </c>
      <c r="G134" t="str">
        <f>T("COOLIDGE")</f>
        <v>COOLIDGE</v>
      </c>
      <c r="H134" t="str">
        <f t="shared" si="23"/>
        <v>AZ </v>
      </c>
      <c r="I134" s="1" t="str">
        <f>T("85228 0250")</f>
        <v>85228 0250</v>
      </c>
      <c r="J134" s="1" t="str">
        <f>T("520 723 7829")</f>
        <v>520 723 7829</v>
      </c>
      <c r="K134" s="1" t="str">
        <f>T("520 723 5770")</f>
        <v>520 723 5770</v>
      </c>
    </row>
    <row r="135" spans="1:11" ht="12.75">
      <c r="A135" s="1" t="s">
        <v>11</v>
      </c>
      <c r="B135" t="str">
        <f>T("IRRIGATION DIV")</f>
        <v>IRRIGATION DIV</v>
      </c>
      <c r="C135" t="str">
        <f>T("DOI/BIA/SAN CARLOS IRRIGATION PROJECT")</f>
        <v>DOI/BIA/SAN CARLOS IRRIGATION PROJECT</v>
      </c>
      <c r="D135" t="str">
        <f>T("P O BOX 250")</f>
        <v>P O BOX 250</v>
      </c>
      <c r="E135" s="1" t="s">
        <v>0</v>
      </c>
      <c r="F135" t="s">
        <v>0</v>
      </c>
      <c r="G135" t="str">
        <f>T("COOLIDGE")</f>
        <v>COOLIDGE</v>
      </c>
      <c r="H135" t="str">
        <f t="shared" si="23"/>
        <v>AZ </v>
      </c>
      <c r="I135" s="1" t="str">
        <f>T("85228 0250")</f>
        <v>85228 0250</v>
      </c>
      <c r="J135" s="1" t="str">
        <f>T("520 723 7829")</f>
        <v>520 723 7829</v>
      </c>
      <c r="K135" s="1" t="str">
        <f>T("520 723 5770")</f>
        <v>520 723 5770</v>
      </c>
    </row>
    <row r="136" spans="1:11" ht="12.75">
      <c r="A136" s="1" t="s">
        <v>11</v>
      </c>
      <c r="B136" t="str">
        <f>T("SUPT  WESTERN NEVADA AGENCY")</f>
        <v>SUPT  WESTERN NEVADA AGENCY</v>
      </c>
      <c r="C136" t="str">
        <f>T("DOI/BIA/WESTERN NEVADA AGENCY")</f>
        <v>DOI/BIA/WESTERN NEVADA AGENCY</v>
      </c>
      <c r="D136" t="str">
        <f>T("311 E WASHINGTON ST")</f>
        <v>311 E WASHINGTON ST</v>
      </c>
      <c r="E136" s="1" t="s">
        <v>0</v>
      </c>
      <c r="F136" t="s">
        <v>0</v>
      </c>
      <c r="G136" t="str">
        <f>T("CARSON CITY")</f>
        <v>CARSON CITY</v>
      </c>
      <c r="H136" t="str">
        <f>T("NV ")</f>
        <v>NV </v>
      </c>
      <c r="I136" s="1">
        <f>N(87801)</f>
        <v>87801</v>
      </c>
      <c r="J136" s="1">
        <f>N(6023793318)</f>
        <v>6023793318</v>
      </c>
      <c r="K136" s="1" t="str">
        <f>T("775 887 3531")</f>
        <v>775 887 3531</v>
      </c>
    </row>
    <row r="137" spans="1:11" ht="12.75">
      <c r="A137" s="1" t="s">
        <v>11</v>
      </c>
      <c r="B137" t="str">
        <f>T("WALKER RIVER IRRIGATION PROJ")</f>
        <v>WALKER RIVER IRRIGATION PROJ</v>
      </c>
      <c r="C137" t="str">
        <f>T("DOI/BIA/WESTERN NEVADA AGENCY")</f>
        <v>DOI/BIA/WESTERN NEVADA AGENCY</v>
      </c>
      <c r="D137" t="str">
        <f>T("1677 HOT SPRINGS RD")</f>
        <v>1677 HOT SPRINGS RD</v>
      </c>
      <c r="E137" s="1" t="s">
        <v>0</v>
      </c>
      <c r="F137" t="s">
        <v>0</v>
      </c>
      <c r="G137" t="str">
        <f>T("CARSON CITY")</f>
        <v>CARSON CITY</v>
      </c>
      <c r="H137" t="str">
        <f>T("NV ")</f>
        <v>NV </v>
      </c>
      <c r="I137" s="1">
        <f>N(89706)</f>
        <v>89706</v>
      </c>
      <c r="J137" s="1" t="str">
        <f>T("775 887 3501")</f>
        <v>775 887 3501</v>
      </c>
      <c r="K137" s="1" t="str">
        <f>T("775 887 3531")</f>
        <v>775 887 3531</v>
      </c>
    </row>
    <row r="138" spans="1:11" ht="12.75">
      <c r="A138" s="1" t="s">
        <v>11</v>
      </c>
      <c r="B138" t="str">
        <f>T("SUPT  UINTAH AND OURAY AGENCY")</f>
        <v>SUPT  UINTAH AND OURAY AGENCY</v>
      </c>
      <c r="C138" t="str">
        <f>T("DOI/BIA/UINTAH &amp; OURAY AGENCY")</f>
        <v>DOI/BIA/UINTAH &amp; OURAY AGENCY</v>
      </c>
      <c r="D138" t="str">
        <f>T("P O BOX 130")</f>
        <v>P O BOX 130</v>
      </c>
      <c r="E138" s="1" t="s">
        <v>0</v>
      </c>
      <c r="F138" t="s">
        <v>0</v>
      </c>
      <c r="G138" t="str">
        <f>T("FORT DUCHESNE")</f>
        <v>FORT DUCHESNE</v>
      </c>
      <c r="H138" t="str">
        <f>T("UT ")</f>
        <v>UT </v>
      </c>
      <c r="I138" s="1">
        <f>N(840260130)</f>
        <v>840260130</v>
      </c>
      <c r="J138" s="1">
        <f>N(6023793318)</f>
        <v>6023793318</v>
      </c>
      <c r="K138" s="1" t="str">
        <f>T("435 722 2323")</f>
        <v>435 722 2323</v>
      </c>
    </row>
    <row r="139" spans="1:11" ht="12.75">
      <c r="A139" s="1" t="s">
        <v>11</v>
      </c>
      <c r="B139" t="str">
        <f>T("ADMIN")</f>
        <v>ADMIN</v>
      </c>
      <c r="C139" t="str">
        <f>T("DOI/BIA/UINTAH &amp; OURAY AGENCY")</f>
        <v>DOI/BIA/UINTAH &amp; OURAY AGENCY</v>
      </c>
      <c r="D139" t="str">
        <f>T("P O BOX 130")</f>
        <v>P O BOX 130</v>
      </c>
      <c r="E139" s="1" t="s">
        <v>0</v>
      </c>
      <c r="F139" t="s">
        <v>0</v>
      </c>
      <c r="G139" t="str">
        <f>T("FORT DUCHESNE")</f>
        <v>FORT DUCHESNE</v>
      </c>
      <c r="H139" t="str">
        <f>T("UT ")</f>
        <v>UT </v>
      </c>
      <c r="I139" s="1" t="str">
        <f>T("84026 0130")</f>
        <v>84026 0130</v>
      </c>
      <c r="J139" s="1" t="str">
        <f>T("435 722 4300")</f>
        <v>435 722 4300</v>
      </c>
      <c r="K139" s="1" t="str">
        <f>T("435 722 2323")</f>
        <v>435 722 2323</v>
      </c>
    </row>
    <row r="140" spans="1:11" ht="12.75">
      <c r="A140" s="1" t="s">
        <v>11</v>
      </c>
      <c r="B140" t="str">
        <f>T("SUPT  EASTERN NEVADA AGENCY")</f>
        <v>SUPT  EASTERN NEVADA AGENCY</v>
      </c>
      <c r="C140" t="str">
        <f>T("DOI/BIA/EASTERN NEVADA FIELD OFFICE")</f>
        <v>DOI/BIA/EASTERN NEVADA FIELD OFFICE</v>
      </c>
      <c r="D140" t="str">
        <f>T("1555 SHOSHONE CIRCLE")</f>
        <v>1555 SHOSHONE CIRCLE</v>
      </c>
      <c r="E140" s="1" t="s">
        <v>0</v>
      </c>
      <c r="F140" t="s">
        <v>0</v>
      </c>
      <c r="G140" t="str">
        <f>T("ELKO")</f>
        <v>ELKO</v>
      </c>
      <c r="H140" t="str">
        <f>T("NV ")</f>
        <v>NV </v>
      </c>
      <c r="I140" s="1">
        <f>N(89801)</f>
        <v>89801</v>
      </c>
      <c r="J140" s="1">
        <f>N(6023793318)</f>
        <v>6023793318</v>
      </c>
      <c r="K140" s="1" t="str">
        <f>T("775 738 4710")</f>
        <v>775 738 4710</v>
      </c>
    </row>
    <row r="141" spans="1:11" ht="12.75">
      <c r="A141" s="1" t="s">
        <v>11</v>
      </c>
      <c r="B141" t="str">
        <f>T("ADMIN")</f>
        <v>ADMIN</v>
      </c>
      <c r="C141" t="str">
        <f>T("DOI/BIA/EASTERN NEVADA FIELD OFFICE")</f>
        <v>DOI/BIA/EASTERN NEVADA FIELD OFFICE</v>
      </c>
      <c r="D141" t="str">
        <f>T("1555 SHOSHONE CIRCLE")</f>
        <v>1555 SHOSHONE CIRCLE</v>
      </c>
      <c r="E141" s="1" t="s">
        <v>0</v>
      </c>
      <c r="F141" t="s">
        <v>0</v>
      </c>
      <c r="G141" t="str">
        <f>T("ELKO")</f>
        <v>ELKO</v>
      </c>
      <c r="H141" t="str">
        <f>T("NV ")</f>
        <v>NV </v>
      </c>
      <c r="I141" s="1">
        <f>N(89801)</f>
        <v>89801</v>
      </c>
      <c r="J141" s="1" t="str">
        <f>T("775 738 0571")</f>
        <v>775 738 0571</v>
      </c>
      <c r="K141" s="1" t="str">
        <f>T("775 738 4710")</f>
        <v>775 738 4710</v>
      </c>
    </row>
    <row r="142" spans="1:11" ht="12.75">
      <c r="A142" s="1" t="s">
        <v>11</v>
      </c>
      <c r="B142" t="str">
        <f>T("SUPT HOPI AGENCY")</f>
        <v>SUPT HOPI AGENCY</v>
      </c>
      <c r="C142" t="str">
        <f>T("DOI/BIA/HOPI AGENCY")</f>
        <v>DOI/BIA/HOPI AGENCY</v>
      </c>
      <c r="D142" t="str">
        <f>T("P O BOX 158")</f>
        <v>P O BOX 158</v>
      </c>
      <c r="E142" s="1" t="s">
        <v>0</v>
      </c>
      <c r="F142" t="s">
        <v>0</v>
      </c>
      <c r="G142" t="str">
        <f>T("KEAMS CANYON")</f>
        <v>KEAMS CANYON</v>
      </c>
      <c r="H142" t="str">
        <f>T("AZ ")</f>
        <v>AZ </v>
      </c>
      <c r="I142" s="1">
        <f>N(860340158)</f>
        <v>860340158</v>
      </c>
      <c r="J142" s="1">
        <f>N(6023793318)</f>
        <v>6023793318</v>
      </c>
      <c r="K142" s="1" t="str">
        <f>T("928 738 5187")</f>
        <v>928 738 5187</v>
      </c>
    </row>
    <row r="143" spans="1:11" ht="12.75">
      <c r="A143" s="1" t="s">
        <v>11</v>
      </c>
      <c r="B143" t="str">
        <f>T("ADMIN")</f>
        <v>ADMIN</v>
      </c>
      <c r="C143" t="str">
        <f>T("DOI/BIA/HOPI AGENCY")</f>
        <v>DOI/BIA/HOPI AGENCY</v>
      </c>
      <c r="D143" t="str">
        <f>T("P O BOX 158")</f>
        <v>P O BOX 158</v>
      </c>
      <c r="E143" s="1" t="s">
        <v>0</v>
      </c>
      <c r="F143" t="s">
        <v>0</v>
      </c>
      <c r="G143" t="str">
        <f>T("KEAMS CANYON")</f>
        <v>KEAMS CANYON</v>
      </c>
      <c r="H143" t="str">
        <f>T("AZ ")</f>
        <v>AZ </v>
      </c>
      <c r="I143" s="1" t="str">
        <f>T("86034 0158")</f>
        <v>86034 0158</v>
      </c>
      <c r="J143" s="1" t="str">
        <f>T("928 738 2240")</f>
        <v>928 738 2240</v>
      </c>
      <c r="K143" s="1" t="str">
        <f>T("520 738 5522")</f>
        <v>520 738 5522</v>
      </c>
    </row>
    <row r="144" spans="1:11" ht="12.75">
      <c r="A144" s="1" t="s">
        <v>11</v>
      </c>
      <c r="B144" t="str">
        <f>T("SUPT  TRUXTON CANON AGENCY")</f>
        <v>SUPT  TRUXTON CANON AGENCY</v>
      </c>
      <c r="C144" t="str">
        <f>T("DOI/BIA/TRUXTON CANON FIELD OFFICE")</f>
        <v>DOI/BIA/TRUXTON CANON FIELD OFFICE</v>
      </c>
      <c r="D144" t="str">
        <f>T("P O BOX 37")</f>
        <v>P O BOX 37</v>
      </c>
      <c r="E144" s="1" t="s">
        <v>0</v>
      </c>
      <c r="F144" t="s">
        <v>0</v>
      </c>
      <c r="G144" t="str">
        <f>T("VALENTINE")</f>
        <v>VALENTINE</v>
      </c>
      <c r="H144" t="str">
        <f>T("AZ ")</f>
        <v>AZ </v>
      </c>
      <c r="I144" s="1">
        <f>N(864370037)</f>
        <v>864370037</v>
      </c>
      <c r="J144" s="1">
        <f>N(6023793318)</f>
        <v>6023793318</v>
      </c>
      <c r="K144" s="1" t="str">
        <f>T("928 769 2444")</f>
        <v>928 769 2444</v>
      </c>
    </row>
    <row r="145" spans="1:11" ht="12.75">
      <c r="A145" s="1" t="s">
        <v>11</v>
      </c>
      <c r="B145" t="str">
        <f>T("ADMIN")</f>
        <v>ADMIN</v>
      </c>
      <c r="C145" t="str">
        <f>T("DOI/BIA/TRUXTON CANON FIELD OFFICE")</f>
        <v>DOI/BIA/TRUXTON CANON FIELD OFFICE</v>
      </c>
      <c r="D145" t="str">
        <f>T("P O BOX 37")</f>
        <v>P O BOX 37</v>
      </c>
      <c r="E145" s="1" t="s">
        <v>0</v>
      </c>
      <c r="F145" t="s">
        <v>0</v>
      </c>
      <c r="G145" t="str">
        <f>T("VALENTINE")</f>
        <v>VALENTINE</v>
      </c>
      <c r="H145" t="str">
        <f>T("AZ ")</f>
        <v>AZ </v>
      </c>
      <c r="I145" s="1" t="str">
        <f>T("86437 0037")</f>
        <v>86437 0037</v>
      </c>
      <c r="J145" s="1" t="str">
        <f>T("928 769 2286")</f>
        <v>928 769 2286</v>
      </c>
      <c r="K145" s="1" t="str">
        <f>T("928 769 2444")</f>
        <v>928 769 2444</v>
      </c>
    </row>
    <row r="146" spans="1:11" ht="12.75">
      <c r="A146" s="1" t="s">
        <v>11</v>
      </c>
      <c r="B146" t="str">
        <f>T("DEPUTY AREA DIRECTOR")</f>
        <v>DEPUTY AREA DIRECTOR</v>
      </c>
      <c r="C146" t="str">
        <f aca="true" t="shared" si="24" ref="C146:C152">T("DOI/BIA/PACIFIC REGIONAL OFFICE")</f>
        <v>DOI/BIA/PACIFIC REGIONAL OFFICE</v>
      </c>
      <c r="D146" t="str">
        <f aca="true" t="shared" si="25" ref="D146:D152">T("2800 COTTAGE WAY  ROOM W 2820 ")</f>
        <v>2800 COTTAGE WAY  ROOM W 2820 </v>
      </c>
      <c r="E146" s="1" t="s">
        <v>0</v>
      </c>
      <c r="F146" t="s">
        <v>0</v>
      </c>
      <c r="G146" t="str">
        <f aca="true" t="shared" si="26" ref="G146:G153">T("SACRAMENTO")</f>
        <v>SACRAMENTO</v>
      </c>
      <c r="H146" t="str">
        <f aca="true" t="shared" si="27" ref="H146:H155">T("CA ")</f>
        <v>CA </v>
      </c>
      <c r="I146" s="1">
        <f aca="true" t="shared" si="28" ref="I146:I152">N(95825)</f>
        <v>95825</v>
      </c>
      <c r="J146" s="1" t="str">
        <f aca="true" t="shared" si="29" ref="J146:J152">T("916 978 6000")</f>
        <v>916 978 6000</v>
      </c>
      <c r="K146" s="1" t="str">
        <f aca="true" t="shared" si="30" ref="K146:K152">T("916 978 6099")</f>
        <v>916 978 6099</v>
      </c>
    </row>
    <row r="147" spans="1:11" ht="12.75">
      <c r="A147" s="1" t="s">
        <v>11</v>
      </c>
      <c r="B147" t="str">
        <f>T("DIV OF REAL ESTATE SERVICES")</f>
        <v>DIV OF REAL ESTATE SERVICES</v>
      </c>
      <c r="C147" t="str">
        <f t="shared" si="24"/>
        <v>DOI/BIA/PACIFIC REGIONAL OFFICE</v>
      </c>
      <c r="D147" t="str">
        <f t="shared" si="25"/>
        <v>2800 COTTAGE WAY  ROOM W 2820 </v>
      </c>
      <c r="E147" s="1" t="s">
        <v>0</v>
      </c>
      <c r="F147" t="s">
        <v>0</v>
      </c>
      <c r="G147" t="str">
        <f t="shared" si="26"/>
        <v>SACRAMENTO</v>
      </c>
      <c r="H147" t="str">
        <f t="shared" si="27"/>
        <v>CA </v>
      </c>
      <c r="I147" s="1">
        <f t="shared" si="28"/>
        <v>95825</v>
      </c>
      <c r="J147" s="1" t="str">
        <f t="shared" si="29"/>
        <v>916 978 6000</v>
      </c>
      <c r="K147" s="1" t="str">
        <f t="shared" si="30"/>
        <v>916 978 6099</v>
      </c>
    </row>
    <row r="148" spans="1:11" ht="12.75">
      <c r="A148" s="1" t="s">
        <v>11</v>
      </c>
      <c r="B148" t="str">
        <f>T("TRIBAL GOVERNMENTS")</f>
        <v>TRIBAL GOVERNMENTS</v>
      </c>
      <c r="C148" t="str">
        <f t="shared" si="24"/>
        <v>DOI/BIA/PACIFIC REGIONAL OFFICE</v>
      </c>
      <c r="D148" t="str">
        <f t="shared" si="25"/>
        <v>2800 COTTAGE WAY  ROOM W 2820 </v>
      </c>
      <c r="E148" s="1" t="s">
        <v>0</v>
      </c>
      <c r="F148" t="s">
        <v>0</v>
      </c>
      <c r="G148" t="str">
        <f t="shared" si="26"/>
        <v>SACRAMENTO</v>
      </c>
      <c r="H148" t="str">
        <f t="shared" si="27"/>
        <v>CA </v>
      </c>
      <c r="I148" s="1">
        <f t="shared" si="28"/>
        <v>95825</v>
      </c>
      <c r="J148" s="1" t="str">
        <f t="shared" si="29"/>
        <v>916 978 6000</v>
      </c>
      <c r="K148" s="1" t="str">
        <f t="shared" si="30"/>
        <v>916 978 6099</v>
      </c>
    </row>
    <row r="149" spans="1:11" ht="12.75">
      <c r="A149" s="1" t="s">
        <v>11</v>
      </c>
      <c r="B149" t="str">
        <f>T("BR OF SELF DETERMINATION")</f>
        <v>BR OF SELF DETERMINATION</v>
      </c>
      <c r="C149" t="str">
        <f t="shared" si="24"/>
        <v>DOI/BIA/PACIFIC REGIONAL OFFICE</v>
      </c>
      <c r="D149" t="str">
        <f t="shared" si="25"/>
        <v>2800 COTTAGE WAY  ROOM W 2820 </v>
      </c>
      <c r="E149" s="1" t="s">
        <v>0</v>
      </c>
      <c r="F149" t="s">
        <v>0</v>
      </c>
      <c r="G149" t="str">
        <f t="shared" si="26"/>
        <v>SACRAMENTO</v>
      </c>
      <c r="H149" t="str">
        <f t="shared" si="27"/>
        <v>CA </v>
      </c>
      <c r="I149" s="1">
        <f t="shared" si="28"/>
        <v>95825</v>
      </c>
      <c r="J149" s="1" t="str">
        <f t="shared" si="29"/>
        <v>916 978 6000</v>
      </c>
      <c r="K149" s="1" t="str">
        <f t="shared" si="30"/>
        <v>916 978 6099</v>
      </c>
    </row>
    <row r="150" spans="1:11" ht="12.75">
      <c r="A150" s="1" t="s">
        <v>11</v>
      </c>
      <c r="B150" t="str">
        <f>T("DIV OF NATURAL RESOURCES")</f>
        <v>DIV OF NATURAL RESOURCES</v>
      </c>
      <c r="C150" t="str">
        <f t="shared" si="24"/>
        <v>DOI/BIA/PACIFIC REGIONAL OFFICE</v>
      </c>
      <c r="D150" t="str">
        <f t="shared" si="25"/>
        <v>2800 COTTAGE WAY  ROOM W 2820 </v>
      </c>
      <c r="E150" s="1" t="s">
        <v>0</v>
      </c>
      <c r="F150" t="s">
        <v>0</v>
      </c>
      <c r="G150" t="str">
        <f t="shared" si="26"/>
        <v>SACRAMENTO</v>
      </c>
      <c r="H150" t="str">
        <f t="shared" si="27"/>
        <v>CA </v>
      </c>
      <c r="I150" s="1">
        <f t="shared" si="28"/>
        <v>95825</v>
      </c>
      <c r="J150" s="1" t="str">
        <f t="shared" si="29"/>
        <v>916 978 6000</v>
      </c>
      <c r="K150" s="1" t="str">
        <f t="shared" si="30"/>
        <v>916 978 6099</v>
      </c>
    </row>
    <row r="151" spans="1:11" ht="12.75">
      <c r="A151" s="1" t="s">
        <v>11</v>
      </c>
      <c r="B151" t="str">
        <f>T("FORESTRY AND FIRE")</f>
        <v>FORESTRY AND FIRE</v>
      </c>
      <c r="C151" t="str">
        <f t="shared" si="24"/>
        <v>DOI/BIA/PACIFIC REGIONAL OFFICE</v>
      </c>
      <c r="D151" t="str">
        <f t="shared" si="25"/>
        <v>2800 COTTAGE WAY  ROOM W 2820 </v>
      </c>
      <c r="E151" s="1" t="s">
        <v>0</v>
      </c>
      <c r="F151" t="s">
        <v>0</v>
      </c>
      <c r="G151" t="str">
        <f t="shared" si="26"/>
        <v>SACRAMENTO</v>
      </c>
      <c r="H151" t="str">
        <f t="shared" si="27"/>
        <v>CA </v>
      </c>
      <c r="I151" s="1">
        <f t="shared" si="28"/>
        <v>95825</v>
      </c>
      <c r="J151" s="1" t="str">
        <f t="shared" si="29"/>
        <v>916 978 6000</v>
      </c>
      <c r="K151" s="1" t="str">
        <f t="shared" si="30"/>
        <v>916 978 6099</v>
      </c>
    </row>
    <row r="152" spans="1:11" ht="12.75">
      <c r="A152" s="1" t="s">
        <v>11</v>
      </c>
      <c r="B152" t="str">
        <f>T("DIV OF TRANSPORTATION")</f>
        <v>DIV OF TRANSPORTATION</v>
      </c>
      <c r="C152" t="str">
        <f t="shared" si="24"/>
        <v>DOI/BIA/PACIFIC REGIONAL OFFICE</v>
      </c>
      <c r="D152" t="str">
        <f t="shared" si="25"/>
        <v>2800 COTTAGE WAY  ROOM W 2820 </v>
      </c>
      <c r="E152" s="1" t="s">
        <v>0</v>
      </c>
      <c r="F152" t="s">
        <v>0</v>
      </c>
      <c r="G152" t="str">
        <f t="shared" si="26"/>
        <v>SACRAMENTO</v>
      </c>
      <c r="H152" t="str">
        <f t="shared" si="27"/>
        <v>CA </v>
      </c>
      <c r="I152" s="1">
        <f t="shared" si="28"/>
        <v>95825</v>
      </c>
      <c r="J152" s="1" t="str">
        <f t="shared" si="29"/>
        <v>916 978 6000</v>
      </c>
      <c r="K152" s="1" t="str">
        <f t="shared" si="30"/>
        <v>916 978 6099</v>
      </c>
    </row>
    <row r="153" spans="1:11" ht="12.75">
      <c r="A153" s="1" t="s">
        <v>11</v>
      </c>
      <c r="B153" t="str">
        <f>T("SUPT  CENT CALIFORNIA AGENCY")</f>
        <v>SUPT  CENT CALIFORNIA AGENCY</v>
      </c>
      <c r="C153" t="str">
        <f>T("DOI/BIA/CENTRAL CALIFORNIA AGENCY")</f>
        <v>DOI/BIA/CENTRAL CALIFORNIA AGENCY</v>
      </c>
      <c r="D153" t="str">
        <f>T("650 CAPITOL MALL  SUITE 8 500 ")</f>
        <v>650 CAPITOL MALL  SUITE 8 500 </v>
      </c>
      <c r="E153" s="1" t="s">
        <v>0</v>
      </c>
      <c r="F153" t="s">
        <v>0</v>
      </c>
      <c r="G153" t="str">
        <f t="shared" si="26"/>
        <v>SACRAMENTO</v>
      </c>
      <c r="H153" t="str">
        <f t="shared" si="27"/>
        <v>CA </v>
      </c>
      <c r="I153" s="1">
        <f>N(95814)</f>
        <v>95814</v>
      </c>
      <c r="J153" s="1" t="str">
        <f>T("916 930 3680")</f>
        <v>916 930 3680</v>
      </c>
      <c r="K153" s="1" t="str">
        <f>T("916 930 3780")</f>
        <v>916 930 3780</v>
      </c>
    </row>
    <row r="154" spans="1:11" ht="12.75">
      <c r="A154" s="1" t="s">
        <v>11</v>
      </c>
      <c r="B154" t="str">
        <f>T("SUPT  PALM SPRINGS AGENCY")</f>
        <v>SUPT  PALM SPRINGS AGENCY</v>
      </c>
      <c r="C154" t="str">
        <f>T("DOI/BIA/PALM SPRINGS FIELD OFFICE")</f>
        <v>DOI/BIA/PALM SPRINGS FIELD OFFICE</v>
      </c>
      <c r="D154" t="str">
        <f>T("650 TAHQUITZ CANYON WAY  SUITE A ")</f>
        <v>650 TAHQUITZ CANYON WAY  SUITE A </v>
      </c>
      <c r="E154" s="1" t="s">
        <v>0</v>
      </c>
      <c r="F154" t="s">
        <v>0</v>
      </c>
      <c r="G154" t="str">
        <f>T("PALM SPRINGS")</f>
        <v>PALM SPRINGS</v>
      </c>
      <c r="H154" t="str">
        <f t="shared" si="27"/>
        <v>CA </v>
      </c>
      <c r="I154" s="1">
        <f>N(92263)</f>
        <v>92263</v>
      </c>
      <c r="J154" s="1" t="str">
        <f>T("760 416 2133")</f>
        <v>760 416 2133</v>
      </c>
      <c r="K154" s="1" t="str">
        <f>T("760 416 2687")</f>
        <v>760 416 2687</v>
      </c>
    </row>
    <row r="155" spans="1:11" ht="12.75">
      <c r="A155" s="1" t="s">
        <v>11</v>
      </c>
      <c r="B155" t="str">
        <f>T("SUPT  S CALIFORNIA AGENCY")</f>
        <v>SUPT  S CALIFORNIA AGENCY</v>
      </c>
      <c r="C155" t="str">
        <f>T("DOI/BIA/SOUTHERN CALIFORNIA AGENCY")</f>
        <v>DOI/BIA/SOUTHERN CALIFORNIA AGENCY</v>
      </c>
      <c r="D155" t="str">
        <f>T("2038 IOWA AVENUE  SUITE 101 ")</f>
        <v>2038 IOWA AVENUE  SUITE 101 </v>
      </c>
      <c r="E155" s="1" t="s">
        <v>0</v>
      </c>
      <c r="F155" t="s">
        <v>0</v>
      </c>
      <c r="G155" t="str">
        <f>T("RIVERSIDE")</f>
        <v>RIVERSIDE</v>
      </c>
      <c r="H155" t="str">
        <f t="shared" si="27"/>
        <v>CA </v>
      </c>
      <c r="I155" s="1" t="str">
        <f>T("92507 2471")</f>
        <v>92507 2471</v>
      </c>
      <c r="J155" s="1" t="str">
        <f>T("760 276 6624")</f>
        <v>760 276 6624</v>
      </c>
      <c r="K155" s="1" t="str">
        <f>T("760 276 6641")</f>
        <v>760 276 6641</v>
      </c>
    </row>
    <row r="156" spans="1:11" ht="12.75">
      <c r="A156" s="1" t="s">
        <v>11</v>
      </c>
      <c r="B156" t="str">
        <f>T("INDIAN LAND CONSOLIDATION OFFC")</f>
        <v>INDIAN LAND CONSOLIDATION OFFC</v>
      </c>
      <c r="C156" t="str">
        <f>T("1849 C STREET NW")</f>
        <v>1849 C STREET NW</v>
      </c>
      <c r="D156" t="s">
        <v>0</v>
      </c>
      <c r="E156" s="1" t="s">
        <v>0</v>
      </c>
      <c r="F156" t="s">
        <v>0</v>
      </c>
      <c r="G156" t="str">
        <f aca="true" t="shared" si="31" ref="G156:G163">T("WASHINGTON")</f>
        <v>WASHINGTON</v>
      </c>
      <c r="H156" t="str">
        <f aca="true" t="shared" si="32" ref="H156:H163">T("DC ")</f>
        <v>DC </v>
      </c>
      <c r="I156" s="1">
        <f aca="true" t="shared" si="33" ref="I156:I163">N(20240)</f>
        <v>20240</v>
      </c>
      <c r="J156" s="1">
        <f>N(7033906328)</f>
        <v>7033906328</v>
      </c>
      <c r="K156" s="1" t="s">
        <v>0</v>
      </c>
    </row>
    <row r="157" spans="1:11" ht="12.75">
      <c r="A157" s="1" t="s">
        <v>11</v>
      </c>
      <c r="B157" t="str">
        <f>T("TRIBAL SVS-HUMAN SVS")</f>
        <v>TRIBAL SVS-HUMAN SVS</v>
      </c>
      <c r="C157" t="str">
        <f aca="true" t="shared" si="34" ref="C157:C162">T("1849 C STREET  NW")</f>
        <v>1849 C STREET  NW</v>
      </c>
      <c r="D157" t="s">
        <v>0</v>
      </c>
      <c r="E157" s="1" t="s">
        <v>0</v>
      </c>
      <c r="F157" t="s">
        <v>0</v>
      </c>
      <c r="G157" t="str">
        <f t="shared" si="31"/>
        <v>WASHINGTON</v>
      </c>
      <c r="H157" t="str">
        <f t="shared" si="32"/>
        <v>DC </v>
      </c>
      <c r="I157" s="1">
        <f t="shared" si="33"/>
        <v>20240</v>
      </c>
      <c r="J157" s="1" t="str">
        <f aca="true" t="shared" si="35" ref="J157:J162">T("703-390-6328")</f>
        <v>703-390-6328</v>
      </c>
      <c r="K157" s="1" t="s">
        <v>0</v>
      </c>
    </row>
    <row r="158" spans="1:11" ht="12.75">
      <c r="A158" s="1" t="s">
        <v>11</v>
      </c>
      <c r="B158" t="str">
        <f>T("TRUST SERVICES")</f>
        <v>TRUST SERVICES</v>
      </c>
      <c r="C158" t="str">
        <f t="shared" si="34"/>
        <v>1849 C STREET  NW</v>
      </c>
      <c r="D158" t="s">
        <v>0</v>
      </c>
      <c r="E158" s="1" t="s">
        <v>0</v>
      </c>
      <c r="F158" t="s">
        <v>0</v>
      </c>
      <c r="G158" t="str">
        <f t="shared" si="31"/>
        <v>WASHINGTON</v>
      </c>
      <c r="H158" t="str">
        <f t="shared" si="32"/>
        <v>DC </v>
      </c>
      <c r="I158" s="1">
        <f t="shared" si="33"/>
        <v>20240</v>
      </c>
      <c r="J158" s="1" t="str">
        <f t="shared" si="35"/>
        <v>703-390-6328</v>
      </c>
      <c r="K158" s="1" t="s">
        <v>0</v>
      </c>
    </row>
    <row r="159" spans="1:11" ht="12.75">
      <c r="A159" s="1" t="s">
        <v>11</v>
      </c>
      <c r="B159" t="str">
        <f>T("TRUST SVS-REAL ESTATE")</f>
        <v>TRUST SVS-REAL ESTATE</v>
      </c>
      <c r="C159" t="str">
        <f t="shared" si="34"/>
        <v>1849 C STREET  NW</v>
      </c>
      <c r="D159" t="s">
        <v>0</v>
      </c>
      <c r="E159" s="1" t="s">
        <v>0</v>
      </c>
      <c r="F159" t="s">
        <v>0</v>
      </c>
      <c r="G159" t="str">
        <f t="shared" si="31"/>
        <v>WASHINGTON</v>
      </c>
      <c r="H159" t="str">
        <f t="shared" si="32"/>
        <v>DC </v>
      </c>
      <c r="I159" s="1">
        <f t="shared" si="33"/>
        <v>20240</v>
      </c>
      <c r="J159" s="1" t="str">
        <f t="shared" si="35"/>
        <v>703-390-6328</v>
      </c>
      <c r="K159" s="1" t="s">
        <v>0</v>
      </c>
    </row>
    <row r="160" spans="1:11" ht="12.75">
      <c r="A160" s="1" t="s">
        <v>11</v>
      </c>
      <c r="B160" t="str">
        <f>T("TRUST SVS-DIV ENER &amp; MIN")</f>
        <v>TRUST SVS-DIV ENER &amp; MIN</v>
      </c>
      <c r="C160" t="str">
        <f t="shared" si="34"/>
        <v>1849 C STREET  NW</v>
      </c>
      <c r="D160" t="s">
        <v>0</v>
      </c>
      <c r="E160" s="1" t="s">
        <v>0</v>
      </c>
      <c r="F160" t="s">
        <v>0</v>
      </c>
      <c r="G160" t="str">
        <f t="shared" si="31"/>
        <v>WASHINGTON</v>
      </c>
      <c r="H160" t="str">
        <f t="shared" si="32"/>
        <v>DC </v>
      </c>
      <c r="I160" s="1">
        <f t="shared" si="33"/>
        <v>20240</v>
      </c>
      <c r="J160" s="1" t="str">
        <f t="shared" si="35"/>
        <v>703-390-6328</v>
      </c>
      <c r="K160" s="1" t="s">
        <v>0</v>
      </c>
    </row>
    <row r="161" spans="1:11" ht="12.75">
      <c r="A161" s="1" t="s">
        <v>11</v>
      </c>
      <c r="B161" t="str">
        <f>T("TRUST SVS-DIV FORESTRY")</f>
        <v>TRUST SVS-DIV FORESTRY</v>
      </c>
      <c r="C161" t="str">
        <f t="shared" si="34"/>
        <v>1849 C STREET  NW</v>
      </c>
      <c r="D161" t="s">
        <v>0</v>
      </c>
      <c r="E161" s="1" t="s">
        <v>0</v>
      </c>
      <c r="F161" t="s">
        <v>0</v>
      </c>
      <c r="G161" t="str">
        <f t="shared" si="31"/>
        <v>WASHINGTON</v>
      </c>
      <c r="H161" t="str">
        <f t="shared" si="32"/>
        <v>DC </v>
      </c>
      <c r="I161" s="1">
        <f t="shared" si="33"/>
        <v>20240</v>
      </c>
      <c r="J161" s="1" t="str">
        <f t="shared" si="35"/>
        <v>703-390-6328</v>
      </c>
      <c r="K161" s="1" t="s">
        <v>0</v>
      </c>
    </row>
    <row r="162" spans="1:11" ht="12.75">
      <c r="A162" s="1" t="s">
        <v>11</v>
      </c>
      <c r="B162" t="str">
        <f>T("TRUST SVS-NATURAL RESOURCES")</f>
        <v>TRUST SVS-NATURAL RESOURCES</v>
      </c>
      <c r="C162" t="str">
        <f t="shared" si="34"/>
        <v>1849 C STREET  NW</v>
      </c>
      <c r="D162" t="s">
        <v>0</v>
      </c>
      <c r="E162" s="1" t="s">
        <v>0</v>
      </c>
      <c r="F162" t="s">
        <v>0</v>
      </c>
      <c r="G162" t="str">
        <f t="shared" si="31"/>
        <v>WASHINGTON</v>
      </c>
      <c r="H162" t="str">
        <f t="shared" si="32"/>
        <v>DC </v>
      </c>
      <c r="I162" s="1">
        <f t="shared" si="33"/>
        <v>20240</v>
      </c>
      <c r="J162" s="1" t="str">
        <f t="shared" si="35"/>
        <v>703-390-6328</v>
      </c>
      <c r="K162" s="1" t="s">
        <v>0</v>
      </c>
    </row>
    <row r="163" spans="1:11" ht="12.75">
      <c r="A163" s="1" t="s">
        <v>11</v>
      </c>
      <c r="B163" t="str">
        <f>T("DIV OF TRUST FUNDS SYSTEMS")</f>
        <v>DIV OF TRUST FUNDS SYSTEMS</v>
      </c>
      <c r="C163" t="str">
        <f>T("DOI BUREAU OF INDIAN AFFAIRS")</f>
        <v>DOI BUREAU OF INDIAN AFFAIRS</v>
      </c>
      <c r="D163" t="str">
        <f>T("1849 C STREET  NW")</f>
        <v>1849 C STREET  NW</v>
      </c>
      <c r="E163" s="1" t="s">
        <v>0</v>
      </c>
      <c r="F163" t="s">
        <v>0</v>
      </c>
      <c r="G163" t="str">
        <f t="shared" si="31"/>
        <v>WASHINGTON</v>
      </c>
      <c r="H163" t="str">
        <f t="shared" si="32"/>
        <v>DC </v>
      </c>
      <c r="I163" s="1">
        <f t="shared" si="33"/>
        <v>20240</v>
      </c>
      <c r="J163" s="1" t="s">
        <v>0</v>
      </c>
      <c r="K163" s="1" t="s">
        <v>0</v>
      </c>
    </row>
    <row r="164" spans="1:11" ht="12.75">
      <c r="A164" s="1" t="s">
        <v>11</v>
      </c>
      <c r="B164" t="str">
        <f>T("CHEYENNE-EAGLE BUTTE SCHL")</f>
        <v>CHEYENNE-EAGLE BUTTE SCHL</v>
      </c>
      <c r="C164" t="str">
        <f aca="true" t="shared" si="36" ref="C164:C194">T("DOI/BIA/OFFICE OF INDIAN EDUC. PROGRAMS")</f>
        <v>DOI/BIA/OFFICE OF INDIAN EDUC. PROGRAMS</v>
      </c>
      <c r="D164" t="str">
        <f>T("PO BOX 672  ")</f>
        <v>PO BOX 672  </v>
      </c>
      <c r="E164" s="1" t="s">
        <v>0</v>
      </c>
      <c r="F164" t="s">
        <v>0</v>
      </c>
      <c r="G164" t="str">
        <f>T("EAGLE BUTTE")</f>
        <v>EAGLE BUTTE</v>
      </c>
      <c r="H164" t="str">
        <f>T("SD ")</f>
        <v>SD </v>
      </c>
      <c r="I164" s="1">
        <f>N(57625)</f>
        <v>57625</v>
      </c>
      <c r="J164" s="1" t="str">
        <f>T("605 964 8777")</f>
        <v>605 964 8777</v>
      </c>
      <c r="K164" s="1" t="str">
        <f>T("605 964 8776")</f>
        <v>605 964 8776</v>
      </c>
    </row>
    <row r="165" spans="1:11" ht="12.75">
      <c r="A165" s="1" t="s">
        <v>11</v>
      </c>
      <c r="B165" t="str">
        <f>T("TIOSPAYE TOPA SCHL")</f>
        <v>TIOSPAYE TOPA SCHL</v>
      </c>
      <c r="C165" t="str">
        <f t="shared" si="36"/>
        <v>DOI/BIA/OFFICE OF INDIAN EDUC. PROGRAMS</v>
      </c>
      <c r="D165" t="str">
        <f>T("PO BOX 300  ")</f>
        <v>PO BOX 300  </v>
      </c>
      <c r="E165" s="1" t="s">
        <v>0</v>
      </c>
      <c r="F165" t="s">
        <v>0</v>
      </c>
      <c r="G165" t="str">
        <f>T("RIDGEVIEW")</f>
        <v>RIDGEVIEW</v>
      </c>
      <c r="H165" t="str">
        <f>T("SD ")</f>
        <v>SD </v>
      </c>
      <c r="I165" s="1">
        <f>N(57652)</f>
        <v>57652</v>
      </c>
      <c r="J165" s="1" t="str">
        <f>T("605 733 2290")</f>
        <v>605 733 2290</v>
      </c>
      <c r="K165" s="1" t="str">
        <f>T("605 733 2299")</f>
        <v>605 733 2299</v>
      </c>
    </row>
    <row r="166" spans="1:11" ht="12.75">
      <c r="A166" s="1" t="s">
        <v>11</v>
      </c>
      <c r="B166" t="str">
        <f>T("PINE RIDGE SCHL")</f>
        <v>PINE RIDGE SCHL</v>
      </c>
      <c r="C166" t="str">
        <f t="shared" si="36"/>
        <v>DOI/BIA/OFFICE OF INDIAN EDUC. PROGRAMS</v>
      </c>
      <c r="D166" t="str">
        <f>T("PO BOX 1202   ")</f>
        <v>PO BOX 1202   </v>
      </c>
      <c r="E166" s="1" t="s">
        <v>0</v>
      </c>
      <c r="F166" t="s">
        <v>0</v>
      </c>
      <c r="G166" t="str">
        <f>T("PINE RIDGE")</f>
        <v>PINE RIDGE</v>
      </c>
      <c r="H166" t="str">
        <f>T("SD ")</f>
        <v>SD </v>
      </c>
      <c r="I166" s="1">
        <f>N(57770)</f>
        <v>57770</v>
      </c>
      <c r="J166" s="1" t="str">
        <f>T("605 867 5198")</f>
        <v>605 867 5198</v>
      </c>
      <c r="K166" s="1" t="str">
        <f>T("605 867 5482")</f>
        <v>605 867 5482</v>
      </c>
    </row>
    <row r="167" spans="1:11" ht="12.75">
      <c r="A167" s="1" t="s">
        <v>11</v>
      </c>
      <c r="B167" t="str">
        <f>T("LITTLE EAGLE DAY SCHL")</f>
        <v>LITTLE EAGLE DAY SCHL</v>
      </c>
      <c r="C167" t="str">
        <f t="shared" si="36"/>
        <v>DOI/BIA/OFFICE OF INDIAN EDUC. PROGRAMS</v>
      </c>
      <c r="D167" t="str">
        <f>T("PO BOX 26   ")</f>
        <v>PO BOX 26   </v>
      </c>
      <c r="E167" s="1" t="s">
        <v>0</v>
      </c>
      <c r="F167" t="s">
        <v>0</v>
      </c>
      <c r="G167" t="str">
        <f>T("LITTLE EAGLE")</f>
        <v>LITTLE EAGLE</v>
      </c>
      <c r="H167" t="str">
        <f>T("SD ")</f>
        <v>SD </v>
      </c>
      <c r="I167" s="1">
        <f>N(57639)</f>
        <v>57639</v>
      </c>
      <c r="J167" s="1" t="str">
        <f>T("605 823 4235")</f>
        <v>605 823 4235</v>
      </c>
      <c r="K167" s="1" t="str">
        <f>T("605 823 2292")</f>
        <v>605 823 2292</v>
      </c>
    </row>
    <row r="168" spans="1:11" ht="12.75">
      <c r="A168" s="1" t="s">
        <v>11</v>
      </c>
      <c r="B168" t="str">
        <f>T("DUNSEITH DAY SCHL")</f>
        <v>DUNSEITH DAY SCHL</v>
      </c>
      <c r="C168" t="str">
        <f t="shared" si="36"/>
        <v>DOI/BIA/OFFICE OF INDIAN EDUC. PROGRAMS</v>
      </c>
      <c r="D168" t="str">
        <f>T("PO BOX 759")</f>
        <v>PO BOX 759</v>
      </c>
      <c r="E168" s="1" t="s">
        <v>0</v>
      </c>
      <c r="F168" t="s">
        <v>0</v>
      </c>
      <c r="G168" t="str">
        <f>T("DUNSEITH")</f>
        <v>DUNSEITH</v>
      </c>
      <c r="H168" t="str">
        <f>T("ND ")</f>
        <v>ND </v>
      </c>
      <c r="I168" s="1">
        <f>N(20240)</f>
        <v>20240</v>
      </c>
      <c r="J168" s="1" t="str">
        <f>T("701 263 4636")</f>
        <v>701 263 4636</v>
      </c>
      <c r="K168" s="1" t="str">
        <f>T("701 263 4200")</f>
        <v>701 263 4200</v>
      </c>
    </row>
    <row r="169" spans="1:11" ht="12.75">
      <c r="A169" s="1" t="s">
        <v>11</v>
      </c>
      <c r="B169" t="str">
        <f>T("TURTLE MOUNTAIN ELEM")</f>
        <v>TURTLE MOUNTAIN ELEM</v>
      </c>
      <c r="C169" t="str">
        <f t="shared" si="36"/>
        <v>DOI/BIA/OFFICE OF INDIAN EDUC. PROGRAMS</v>
      </c>
      <c r="D169" t="str">
        <f>T("HWY 5  MAIL CODE E  PO BOX 440 ")</f>
        <v>HWY 5  MAIL CODE E  PO BOX 440 </v>
      </c>
      <c r="E169" s="1" t="s">
        <v>0</v>
      </c>
      <c r="F169" t="s">
        <v>0</v>
      </c>
      <c r="G169" t="str">
        <f>T("BELCOURT")</f>
        <v>BELCOURT</v>
      </c>
      <c r="H169" t="str">
        <f>T("ND ")</f>
        <v>ND </v>
      </c>
      <c r="I169" s="1">
        <f>N(58316)</f>
        <v>58316</v>
      </c>
      <c r="J169" s="1" t="str">
        <f>T("701 477 6471")</f>
        <v>701 477 6471</v>
      </c>
      <c r="K169" s="1" t="str">
        <f>T("701 477 6470")</f>
        <v>701 477 6470</v>
      </c>
    </row>
    <row r="170" spans="1:11" ht="12.75">
      <c r="A170" s="1" t="s">
        <v>11</v>
      </c>
      <c r="B170" t="str">
        <f>T("TURTLE MTN MIDDLE SCHL")</f>
        <v>TURTLE MTN MIDDLE SCHL</v>
      </c>
      <c r="C170" t="str">
        <f t="shared" si="36"/>
        <v>DOI/BIA/OFFICE OF INDIAN EDUC. PROGRAMS</v>
      </c>
      <c r="D170" t="str">
        <f>T("HWY 5  MAIL CODE E  PO BOX 440 ")</f>
        <v>HWY 5  MAIL CODE E  PO BOX 440 </v>
      </c>
      <c r="E170" s="1" t="s">
        <v>0</v>
      </c>
      <c r="F170" t="s">
        <v>0</v>
      </c>
      <c r="G170" t="str">
        <f>T("BELCOURT")</f>
        <v>BELCOURT</v>
      </c>
      <c r="H170" t="str">
        <f>T("ND ")</f>
        <v>ND </v>
      </c>
      <c r="I170" s="1">
        <f>N(58316)</f>
        <v>58316</v>
      </c>
      <c r="J170" s="1" t="str">
        <f>T("701 477 6471")</f>
        <v>701 477 6471</v>
      </c>
      <c r="K170" s="1" t="str">
        <f>T("701 477 6470")</f>
        <v>701 477 6470</v>
      </c>
    </row>
    <row r="171" spans="1:11" ht="12.75">
      <c r="A171" s="1" t="s">
        <v>11</v>
      </c>
      <c r="B171" t="str">
        <f>T("RIVERSIDE INDIAN SCHL")</f>
        <v>RIVERSIDE INDIAN SCHL</v>
      </c>
      <c r="C171" t="str">
        <f t="shared" si="36"/>
        <v>DOI/BIA/OFFICE OF INDIAN EDUC. PROGRAMS</v>
      </c>
      <c r="D171" t="str">
        <f>T("ROUTE 1")</f>
        <v>ROUTE 1</v>
      </c>
      <c r="E171" s="1" t="s">
        <v>0</v>
      </c>
      <c r="F171" t="s">
        <v>0</v>
      </c>
      <c r="G171" t="str">
        <f>T("ANADARKO")</f>
        <v>ANADARKO</v>
      </c>
      <c r="H171" t="str">
        <f>T("OK ")</f>
        <v>OK </v>
      </c>
      <c r="I171" s="1">
        <f>N(73005)</f>
        <v>73005</v>
      </c>
      <c r="J171" s="1" t="str">
        <f>T("405 247 6670")</f>
        <v>405 247 6670</v>
      </c>
      <c r="K171" s="1" t="str">
        <f>T("405 247 5529")</f>
        <v>405 247 5529</v>
      </c>
    </row>
    <row r="172" spans="1:11" ht="12.75">
      <c r="A172" s="1" t="s">
        <v>11</v>
      </c>
      <c r="B172" t="str">
        <f>T("FLANDREAU INDIAN SCHL")</f>
        <v>FLANDREAU INDIAN SCHL</v>
      </c>
      <c r="C172" t="str">
        <f t="shared" si="36"/>
        <v>DOI/BIA/OFFICE OF INDIAN EDUC. PROGRAMS</v>
      </c>
      <c r="D172" t="str">
        <f>T("1005 S. MOUNTAIN CHIEF DRIVE #1")</f>
        <v>1005 S. MOUNTAIN CHIEF DRIVE #1</v>
      </c>
      <c r="E172" s="1" t="s">
        <v>0</v>
      </c>
      <c r="F172" t="s">
        <v>0</v>
      </c>
      <c r="G172" t="str">
        <f>T("FLANDREAU")</f>
        <v>FLANDREAU</v>
      </c>
      <c r="H172" t="str">
        <f>T("SD ")</f>
        <v>SD </v>
      </c>
      <c r="I172" s="1">
        <f>N(57028)</f>
        <v>57028</v>
      </c>
      <c r="J172" s="1" t="str">
        <f>T("605 997 3373")</f>
        <v>605 997 3373</v>
      </c>
      <c r="K172" s="1" t="str">
        <f>T("605 997 2601")</f>
        <v>605 997 2601</v>
      </c>
    </row>
    <row r="173" spans="1:11" ht="12.75">
      <c r="A173" s="1" t="s">
        <v>11</v>
      </c>
      <c r="B173" t="str">
        <f>T("JOHN F. KENNEDY DAY SCHL")</f>
        <v>JOHN F. KENNEDY DAY SCHL</v>
      </c>
      <c r="C173" t="str">
        <f t="shared" si="36"/>
        <v>DOI/BIA/OFFICE OF INDIAN EDUC. PROGRAMS</v>
      </c>
      <c r="D173" t="str">
        <f>T("PO BOX 130  ")</f>
        <v>PO BOX 130  </v>
      </c>
      <c r="E173" s="1" t="s">
        <v>0</v>
      </c>
      <c r="F173" t="s">
        <v>0</v>
      </c>
      <c r="G173" t="str">
        <f>T("WHITERIVER")</f>
        <v>WHITERIVER</v>
      </c>
      <c r="H173" t="str">
        <f aca="true" t="shared" si="37" ref="H173:H179">T("AZ ")</f>
        <v>AZ </v>
      </c>
      <c r="I173" s="1">
        <f>N(85941)</f>
        <v>85941</v>
      </c>
      <c r="J173" s="1" t="str">
        <f>T("928 338 4593")</f>
        <v>928 338 4593</v>
      </c>
      <c r="K173" s="1" t="str">
        <f>T("928 338 4592")</f>
        <v>928 338 4592</v>
      </c>
    </row>
    <row r="174" spans="1:11" ht="12.75">
      <c r="A174" s="1" t="s">
        <v>11</v>
      </c>
      <c r="B174" t="str">
        <f>T("SANTA ROSA RANCH SCHL")</f>
        <v>SANTA ROSA RANCH SCHL</v>
      </c>
      <c r="C174" t="str">
        <f t="shared" si="36"/>
        <v>DOI/BIA/OFFICE OF INDIAN EDUC. PROGRAMS</v>
      </c>
      <c r="D174" t="str">
        <f>T("HC 02  BOX 7570   ")</f>
        <v>HC 02  BOX 7570   </v>
      </c>
      <c r="E174" s="1" t="s">
        <v>0</v>
      </c>
      <c r="F174" t="s">
        <v>0</v>
      </c>
      <c r="G174" t="str">
        <f>T("SELLS")</f>
        <v>SELLS</v>
      </c>
      <c r="H174" t="str">
        <f t="shared" si="37"/>
        <v>AZ </v>
      </c>
      <c r="I174" s="1">
        <f>N(85634)</f>
        <v>85634</v>
      </c>
      <c r="J174" s="1" t="str">
        <f>T("520 383 2276")</f>
        <v>520 383 2276</v>
      </c>
      <c r="K174" s="1" t="str">
        <f>T("520 361 2511")</f>
        <v>520 361 2511</v>
      </c>
    </row>
    <row r="175" spans="1:11" ht="12.75">
      <c r="A175" s="1" t="s">
        <v>11</v>
      </c>
      <c r="B175" t="str">
        <f>T("SANTA ROSA BOARDING SCHL")</f>
        <v>SANTA ROSA BOARDING SCHL</v>
      </c>
      <c r="C175" t="str">
        <f t="shared" si="36"/>
        <v>DOI/BIA/OFFICE OF INDIAN EDUC. PROGRAMS</v>
      </c>
      <c r="D175" t="str">
        <f>T("HC 01  BOX 8400   ")</f>
        <v>HC 01  BOX 8400   </v>
      </c>
      <c r="E175" s="1" t="s">
        <v>0</v>
      </c>
      <c r="F175" t="s">
        <v>0</v>
      </c>
      <c r="G175" t="str">
        <f>T("SELLS")</f>
        <v>SELLS</v>
      </c>
      <c r="H175" t="str">
        <f t="shared" si="37"/>
        <v>AZ </v>
      </c>
      <c r="I175" s="1">
        <f>N(85634)</f>
        <v>85634</v>
      </c>
      <c r="J175" s="1" t="str">
        <f>T("520 383 2359")</f>
        <v>520 383 2359</v>
      </c>
      <c r="K175" s="1" t="str">
        <f>T("520 383 3960")</f>
        <v>520 383 3960</v>
      </c>
    </row>
    <row r="176" spans="1:11" ht="12.75">
      <c r="A176" s="1" t="s">
        <v>11</v>
      </c>
      <c r="B176" t="str">
        <f>T("SAN SIMON SCHL")</f>
        <v>SAN SIMON SCHL</v>
      </c>
      <c r="C176" t="str">
        <f t="shared" si="36"/>
        <v>DOI/BIA/OFFICE OF INDIAN EDUC. PROGRAMS</v>
      </c>
      <c r="D176" t="str">
        <f>T("HC 01  BOX 8292  SELLS  ")</f>
        <v>HC 01  BOX 8292  SELLS  </v>
      </c>
      <c r="E176" s="1" t="s">
        <v>0</v>
      </c>
      <c r="F176" t="s">
        <v>0</v>
      </c>
      <c r="G176" t="str">
        <f>T("SELLS")</f>
        <v>SELLS</v>
      </c>
      <c r="H176" t="str">
        <f t="shared" si="37"/>
        <v>AZ </v>
      </c>
      <c r="I176" s="1">
        <f>N(85634)</f>
        <v>85634</v>
      </c>
      <c r="J176" s="1" t="str">
        <f>T("520 362 2231")</f>
        <v>520 362 2231</v>
      </c>
      <c r="K176" s="1" t="str">
        <f>T("520 362 2405")</f>
        <v>520 362 2405</v>
      </c>
    </row>
    <row r="177" spans="1:11" ht="12.75">
      <c r="A177" s="1" t="s">
        <v>11</v>
      </c>
      <c r="B177" t="str">
        <f>T("TOHONO O'ODHAM HIGH SCHL")</f>
        <v>TOHONO O'ODHAM HIGH SCHL</v>
      </c>
      <c r="C177" t="str">
        <f t="shared" si="36"/>
        <v>DOI/BIA/OFFICE OF INDIAN EDUC. PROGRAMS</v>
      </c>
      <c r="D177" t="str">
        <f>T("HC 01  BOX 8513  SELLS  ")</f>
        <v>HC 01  BOX 8513  SELLS  </v>
      </c>
      <c r="E177" s="1" t="s">
        <v>0</v>
      </c>
      <c r="F177" t="s">
        <v>0</v>
      </c>
      <c r="G177" t="str">
        <f>T("SELLS")</f>
        <v>SELLS</v>
      </c>
      <c r="H177" t="str">
        <f t="shared" si="37"/>
        <v>AZ </v>
      </c>
      <c r="I177" s="1">
        <f>N(85634)</f>
        <v>85634</v>
      </c>
      <c r="J177" s="1" t="str">
        <f>T("520 362 2400")</f>
        <v>520 362 2400</v>
      </c>
      <c r="K177" s="1" t="str">
        <f>T("520 362 2256")</f>
        <v>520 362 2256</v>
      </c>
    </row>
    <row r="178" spans="1:11" ht="12.75">
      <c r="A178" s="1" t="s">
        <v>11</v>
      </c>
      <c r="B178" t="str">
        <f>T("POLACCA DAY SCHL")</f>
        <v>POLACCA DAY SCHL</v>
      </c>
      <c r="C178" t="str">
        <f t="shared" si="36"/>
        <v>DOI/BIA/OFFICE OF INDIAN EDUC. PROGRAMS</v>
      </c>
      <c r="D178" t="str">
        <f>T("PO BOX 750   ")</f>
        <v>PO BOX 750   </v>
      </c>
      <c r="E178" s="1" t="s">
        <v>0</v>
      </c>
      <c r="F178" t="s">
        <v>0</v>
      </c>
      <c r="G178" t="str">
        <f>T("POLACCA")</f>
        <v>POLACCA</v>
      </c>
      <c r="H178" t="str">
        <f t="shared" si="37"/>
        <v>AZ </v>
      </c>
      <c r="I178" s="1">
        <f>N(86042)</f>
        <v>86042</v>
      </c>
      <c r="J178" s="1" t="str">
        <f>T("928 737 2581")</f>
        <v>928 737 2581</v>
      </c>
      <c r="K178" s="1" t="str">
        <f>T("928 737 2323")</f>
        <v>928 737 2323</v>
      </c>
    </row>
    <row r="179" spans="1:11" ht="12.75">
      <c r="A179" s="1" t="s">
        <v>11</v>
      </c>
      <c r="B179" t="str">
        <f>T("KEAMS CANYON BOARDING SCHL")</f>
        <v>KEAMS CANYON BOARDING SCHL</v>
      </c>
      <c r="C179" t="str">
        <f t="shared" si="36"/>
        <v>DOI/BIA/OFFICE OF INDIAN EDUC. PROGRAMS</v>
      </c>
      <c r="D179" t="str">
        <f>T("PO BOX 397   ")</f>
        <v>PO BOX 397   </v>
      </c>
      <c r="E179" s="1" t="s">
        <v>0</v>
      </c>
      <c r="F179" t="s">
        <v>0</v>
      </c>
      <c r="G179" t="str">
        <f>T("KEAMS CANYON")</f>
        <v>KEAMS CANYON</v>
      </c>
      <c r="H179" t="str">
        <f t="shared" si="37"/>
        <v>AZ </v>
      </c>
      <c r="I179" s="1">
        <f>N(86034)</f>
        <v>86034</v>
      </c>
      <c r="J179" s="1" t="str">
        <f>T("928 738 2385")</f>
        <v>928 738 2385</v>
      </c>
      <c r="K179" s="1" t="str">
        <f>T("928 738 2385")</f>
        <v>928 738 2385</v>
      </c>
    </row>
    <row r="180" spans="1:11" ht="12.75">
      <c r="A180" s="1" t="s">
        <v>11</v>
      </c>
      <c r="B180" t="str">
        <f>T("SHERMAN INDIAN HIGH SCHL")</f>
        <v>SHERMAN INDIAN HIGH SCHL</v>
      </c>
      <c r="C180" t="str">
        <f t="shared" si="36"/>
        <v>DOI/BIA/OFFICE OF INDIAN EDUC. PROGRAMS</v>
      </c>
      <c r="D180" t="str">
        <f>T("9010 MAGNOLIA AVE.   ")</f>
        <v>9010 MAGNOLIA AVE.   </v>
      </c>
      <c r="E180" s="1" t="s">
        <v>0</v>
      </c>
      <c r="F180" t="s">
        <v>0</v>
      </c>
      <c r="G180" t="str">
        <f>T("RIVERSIDE")</f>
        <v>RIVERSIDE</v>
      </c>
      <c r="H180" t="str">
        <f>T("CA ")</f>
        <v>CA </v>
      </c>
      <c r="I180" s="1">
        <f>N(92503)</f>
        <v>92503</v>
      </c>
      <c r="J180" s="1" t="str">
        <f>T("909 276 6332")</f>
        <v>909 276 6332</v>
      </c>
      <c r="K180" s="1" t="str">
        <f>T("909 276 6336")</f>
        <v>909 276 6336</v>
      </c>
    </row>
    <row r="181" spans="1:11" ht="12.75">
      <c r="A181" s="1" t="s">
        <v>11</v>
      </c>
      <c r="B181" t="str">
        <f>T("BR OF ADMINISTRATVE SRVCES")</f>
        <v>BR OF ADMINISTRATVE SRVCES</v>
      </c>
      <c r="C181" t="str">
        <f t="shared" si="36"/>
        <v>DOI/BIA/OFFICE OF INDIAN EDUC. PROGRAMS</v>
      </c>
      <c r="D181" t="str">
        <f>T("1849 C ST  NW  MS 3512MIB")</f>
        <v>1849 C ST  NW  MS 3512MIB</v>
      </c>
      <c r="E181" s="1" t="s">
        <v>0</v>
      </c>
      <c r="F181" t="s">
        <v>0</v>
      </c>
      <c r="G181" t="str">
        <f>T("WASHINGTON")</f>
        <v>WASHINGTON</v>
      </c>
      <c r="H181" t="str">
        <f>T("DC ")</f>
        <v>DC </v>
      </c>
      <c r="I181" s="1">
        <f>N(20240)</f>
        <v>20240</v>
      </c>
      <c r="J181" s="1" t="str">
        <f>T("202 208 7658")</f>
        <v>202 208 7658</v>
      </c>
      <c r="K181" s="1" t="str">
        <f>T("202 208 3271")</f>
        <v>202 208 3271</v>
      </c>
    </row>
    <row r="182" spans="1:11" ht="12.75">
      <c r="A182" s="1" t="s">
        <v>11</v>
      </c>
      <c r="B182" t="str">
        <f>T("OIEP PERSONNEL - ALBQRQUE")</f>
        <v>OIEP PERSONNEL - ALBQRQUE</v>
      </c>
      <c r="C182" t="str">
        <f t="shared" si="36"/>
        <v>DOI/BIA/OFFICE OF INDIAN EDUC. PROGRAMS</v>
      </c>
      <c r="D182" t="str">
        <f>T("HUMAN RESOURCES OFFICE")</f>
        <v>HUMAN RESOURCES OFFICE</v>
      </c>
      <c r="E182" s="1" t="str">
        <f>T("500 GOLD AVENUE  SW ")</f>
        <v>500 GOLD AVENUE  SW </v>
      </c>
      <c r="F182" t="str">
        <f>T("7TH FLOOR   ROOM 7_D")</f>
        <v>7TH FLOOR   ROOM 7_D</v>
      </c>
      <c r="G182" t="str">
        <f>T("ALBUQUERQUE")</f>
        <v>ALBUQUERQUE</v>
      </c>
      <c r="H182" t="str">
        <f>T("NM ")</f>
        <v>NM </v>
      </c>
      <c r="I182" s="1">
        <f>N(87102)</f>
        <v>87102</v>
      </c>
      <c r="J182" s="1" t="str">
        <f>T("505 248 6363")</f>
        <v>505 248 6363</v>
      </c>
      <c r="K182" s="1" t="str">
        <f>T("505 248 6987")</f>
        <v>505 248 6987</v>
      </c>
    </row>
    <row r="183" spans="1:11" ht="12.75">
      <c r="A183" s="1" t="s">
        <v>11</v>
      </c>
      <c r="B183" t="str">
        <f>T("BR OF EXCEPTIONL EDUCATION")</f>
        <v>BR OF EXCEPTIONL EDUCATION</v>
      </c>
      <c r="C183" t="str">
        <f t="shared" si="36"/>
        <v>DOI/BIA/OFFICE OF INDIAN EDUC. PROGRAMS</v>
      </c>
      <c r="D183" t="str">
        <f>T("CENTER FOR SCHOOL IMPROVEMENT")</f>
        <v>CENTER FOR SCHOOL IMPROVEMENT</v>
      </c>
      <c r="E183" s="1" t="str">
        <f>T("500 GOLD AVENUE  SW ROOM 7202 ")</f>
        <v>500 GOLD AVENUE  SW ROOM 7202 </v>
      </c>
      <c r="F183" t="s">
        <v>0</v>
      </c>
      <c r="G183" t="str">
        <f>T("ALBUQUERQUE")</f>
        <v>ALBUQUERQUE</v>
      </c>
      <c r="H183" t="str">
        <f>T("NM ")</f>
        <v>NM </v>
      </c>
      <c r="I183" s="1">
        <f>N(87102)</f>
        <v>87102</v>
      </c>
      <c r="J183" s="1" t="str">
        <f>T("505 248 7553")</f>
        <v>505 248 7553</v>
      </c>
      <c r="K183" s="1" t="str">
        <f>T("505 248 7545")</f>
        <v>505 248 7545</v>
      </c>
    </row>
    <row r="184" spans="1:11" ht="12.75">
      <c r="A184" s="1" t="s">
        <v>11</v>
      </c>
      <c r="B184" t="str">
        <f>T("BR OF SUPLMNTL SUPP SRVCES")</f>
        <v>BR OF SUPLMNTL SUPP SRVCES</v>
      </c>
      <c r="C184" t="str">
        <f t="shared" si="36"/>
        <v>DOI/BIA/OFFICE OF INDIAN EDUC. PROGRAMS</v>
      </c>
      <c r="D184" t="str">
        <f>T("CENTER FOR SCHOOL IMPROVEMENT")</f>
        <v>CENTER FOR SCHOOL IMPROVEMENT</v>
      </c>
      <c r="E184" s="1" t="str">
        <f>T("500 GOLD AVENUE  SW ROOM 7202 ")</f>
        <v>500 GOLD AVENUE  SW ROOM 7202 </v>
      </c>
      <c r="F184" t="s">
        <v>0</v>
      </c>
      <c r="G184" t="str">
        <f>T("ALBUQUERQUE")</f>
        <v>ALBUQUERQUE</v>
      </c>
      <c r="H184" t="str">
        <f>T("NM ")</f>
        <v>NM </v>
      </c>
      <c r="I184" s="1">
        <f>N(87102)</f>
        <v>87102</v>
      </c>
      <c r="J184" s="1" t="str">
        <f>T("505 248 7535")</f>
        <v>505 248 7535</v>
      </c>
      <c r="K184" s="1" t="str">
        <f>T("505 248 7545")</f>
        <v>505 248 7545</v>
      </c>
    </row>
    <row r="185" spans="1:11" ht="12.75">
      <c r="A185" s="1" t="s">
        <v>11</v>
      </c>
      <c r="B185" t="str">
        <f>T("OFC OF THE PRESIDENT")</f>
        <v>OFC OF THE PRESIDENT</v>
      </c>
      <c r="C185" t="str">
        <f t="shared" si="36"/>
        <v>DOI/BIA/OFFICE OF INDIAN EDUC. PROGRAMS</v>
      </c>
      <c r="D185" t="str">
        <f>T("155 INDIAN AVENUE #1305")</f>
        <v>155 INDIAN AVENUE #1305</v>
      </c>
      <c r="E185" s="1" t="s">
        <v>0</v>
      </c>
      <c r="F185" t="s">
        <v>0</v>
      </c>
      <c r="G185" t="str">
        <f>T("LAWRENCE")</f>
        <v>LAWRENCE</v>
      </c>
      <c r="H185" t="str">
        <f>T("KS ")</f>
        <v>KS </v>
      </c>
      <c r="I185" s="1">
        <f>N(66046)</f>
        <v>66046</v>
      </c>
      <c r="J185" s="1" t="str">
        <f>T("785 749 8404")</f>
        <v>785 749 8404</v>
      </c>
      <c r="K185" s="1" t="str">
        <f>T("785 749 8406")</f>
        <v>785 749 8406</v>
      </c>
    </row>
    <row r="186" spans="1:11" ht="12.75">
      <c r="A186" s="1" t="s">
        <v>11</v>
      </c>
      <c r="B186" t="str">
        <f>T("OFC OF ADMIN")</f>
        <v>OFC OF ADMIN</v>
      </c>
      <c r="C186" t="str">
        <f t="shared" si="36"/>
        <v>DOI/BIA/OFFICE OF INDIAN EDUC. PROGRAMS</v>
      </c>
      <c r="D186" t="str">
        <f>T("155 INDIAN AVENUE #1305")</f>
        <v>155 INDIAN AVENUE #1305</v>
      </c>
      <c r="E186" s="1" t="s">
        <v>0</v>
      </c>
      <c r="F186" t="s">
        <v>0</v>
      </c>
      <c r="G186" t="str">
        <f>T("LAWRENCE")</f>
        <v>LAWRENCE</v>
      </c>
      <c r="H186" t="str">
        <f>T("KS ")</f>
        <v>KS </v>
      </c>
      <c r="I186" s="1">
        <f>N(66046)</f>
        <v>66046</v>
      </c>
      <c r="J186" s="1" t="str">
        <f>T("785 749 8404")</f>
        <v>785 749 8404</v>
      </c>
      <c r="K186" s="1" t="str">
        <f>T("785 749 8406")</f>
        <v>785 749 8406</v>
      </c>
    </row>
    <row r="187" spans="1:11" ht="12.75">
      <c r="A187" s="1" t="s">
        <v>11</v>
      </c>
      <c r="B187" t="str">
        <f>T("OFC OF INSTRUCTION")</f>
        <v>OFC OF INSTRUCTION</v>
      </c>
      <c r="C187" t="str">
        <f t="shared" si="36"/>
        <v>DOI/BIA/OFFICE OF INDIAN EDUC. PROGRAMS</v>
      </c>
      <c r="D187" t="str">
        <f>T("155 INDIAN AVENUE #1305")</f>
        <v>155 INDIAN AVENUE #1305</v>
      </c>
      <c r="E187" s="1" t="s">
        <v>0</v>
      </c>
      <c r="F187" t="s">
        <v>0</v>
      </c>
      <c r="G187" t="str">
        <f>T("LAWRENCE")</f>
        <v>LAWRENCE</v>
      </c>
      <c r="H187" t="str">
        <f>T("KS ")</f>
        <v>KS </v>
      </c>
      <c r="I187" s="1">
        <f>N(66046)</f>
        <v>66046</v>
      </c>
      <c r="J187" s="1" t="str">
        <f>T("785 749 8404")</f>
        <v>785 749 8404</v>
      </c>
      <c r="K187" s="1" t="str">
        <f>T("785 749 8406")</f>
        <v>785 749 8406</v>
      </c>
    </row>
    <row r="188" spans="1:11" ht="12.75">
      <c r="A188" s="1" t="s">
        <v>11</v>
      </c>
      <c r="B188" t="str">
        <f>T("OFC OF STUDENT SVCS")</f>
        <v>OFC OF STUDENT SVCS</v>
      </c>
      <c r="C188" t="str">
        <f t="shared" si="36"/>
        <v>DOI/BIA/OFFICE OF INDIAN EDUC. PROGRAMS</v>
      </c>
      <c r="D188" t="str">
        <f>T("155 INDIAN AVENUE #1305")</f>
        <v>155 INDIAN AVENUE #1305</v>
      </c>
      <c r="E188" s="1" t="s">
        <v>0</v>
      </c>
      <c r="F188" t="s">
        <v>0</v>
      </c>
      <c r="G188" t="str">
        <f>T("LAWRENCE")</f>
        <v>LAWRENCE</v>
      </c>
      <c r="H188" t="str">
        <f>T("KS ")</f>
        <v>KS </v>
      </c>
      <c r="I188" s="1">
        <f>N(66046)</f>
        <v>66046</v>
      </c>
      <c r="J188" s="1" t="str">
        <f>T("785 749 8404")</f>
        <v>785 749 8404</v>
      </c>
      <c r="K188" s="1" t="str">
        <f>T("785 749 8406")</f>
        <v>785 749 8406</v>
      </c>
    </row>
    <row r="189" spans="1:11" ht="12.75">
      <c r="A189" s="1" t="s">
        <v>11</v>
      </c>
      <c r="B189" t="str">
        <f>T("OFC OF FACIL O&amp;M")</f>
        <v>OFC OF FACIL O&amp;M</v>
      </c>
      <c r="C189" t="str">
        <f t="shared" si="36"/>
        <v>DOI/BIA/OFFICE OF INDIAN EDUC. PROGRAMS</v>
      </c>
      <c r="D189" t="str">
        <f>T("155 INDIAN AVENUE #1305")</f>
        <v>155 INDIAN AVENUE #1305</v>
      </c>
      <c r="E189" s="1" t="s">
        <v>0</v>
      </c>
      <c r="F189" t="s">
        <v>0</v>
      </c>
      <c r="G189" t="str">
        <f>T("LAWRENCE")</f>
        <v>LAWRENCE</v>
      </c>
      <c r="H189" t="str">
        <f>T("KS ")</f>
        <v>KS </v>
      </c>
      <c r="I189" s="1">
        <f>N(66046)</f>
        <v>66046</v>
      </c>
      <c r="J189" s="1" t="str">
        <f>T("785 749 8404")</f>
        <v>785 749 8404</v>
      </c>
      <c r="K189" s="1" t="str">
        <f>T("785 749 8406")</f>
        <v>785 749 8406</v>
      </c>
    </row>
    <row r="190" spans="1:11" ht="12.75">
      <c r="A190" s="1" t="s">
        <v>11</v>
      </c>
      <c r="B190" t="str">
        <f>T("OFC OF ADMIN")</f>
        <v>OFC OF ADMIN</v>
      </c>
      <c r="C190" t="str">
        <f t="shared" si="36"/>
        <v>DOI/BIA/OFFICE OF INDIAN EDUC. PROGRAMS</v>
      </c>
      <c r="D190" t="str">
        <f>T("9169 COORS ROAD  NW ")</f>
        <v>9169 COORS ROAD  NW </v>
      </c>
      <c r="E190" s="1" t="str">
        <f>T("PO BOX 10146 9196")</f>
        <v>PO BOX 10146 9196</v>
      </c>
      <c r="F190" t="s">
        <v>0</v>
      </c>
      <c r="G190" t="str">
        <f>T("ABUQUERQUE")</f>
        <v>ABUQUERQUE</v>
      </c>
      <c r="H190" t="str">
        <f aca="true" t="shared" si="38" ref="H190:H199">T("NM ")</f>
        <v>NM </v>
      </c>
      <c r="I190" s="1">
        <f>N(87184)</f>
        <v>87184</v>
      </c>
      <c r="J190" s="1" t="str">
        <f>T("505 346 2347")</f>
        <v>505 346 2347</v>
      </c>
      <c r="K190" s="1" t="str">
        <f>T("505 346 2343")</f>
        <v>505 346 2343</v>
      </c>
    </row>
    <row r="191" spans="1:11" ht="12.75">
      <c r="A191" s="1" t="s">
        <v>11</v>
      </c>
      <c r="B191" t="str">
        <f>T("SKY CITY COMMUNITY SCHL")</f>
        <v>SKY CITY COMMUNITY SCHL</v>
      </c>
      <c r="C191" t="str">
        <f t="shared" si="36"/>
        <v>DOI/BIA/OFFICE OF INDIAN EDUC. PROGRAMS</v>
      </c>
      <c r="D191" t="str">
        <f>T("PO BOX 349  ")</f>
        <v>PO BOX 349  </v>
      </c>
      <c r="E191" s="1" t="s">
        <v>0</v>
      </c>
      <c r="F191" t="s">
        <v>0</v>
      </c>
      <c r="G191" t="str">
        <f>T("PUEBLO OF ACOMA")</f>
        <v>PUEBLO OF ACOMA</v>
      </c>
      <c r="H191" t="str">
        <f t="shared" si="38"/>
        <v>NM </v>
      </c>
      <c r="I191" s="1">
        <f>N(87304)</f>
        <v>87304</v>
      </c>
      <c r="J191" s="1" t="str">
        <f>T("505 552 6671")</f>
        <v>505 552 6671</v>
      </c>
      <c r="K191" s="1" t="str">
        <f>T("505 552 6672")</f>
        <v>505 552 6672</v>
      </c>
    </row>
    <row r="192" spans="1:11" ht="12.75">
      <c r="A192" s="1" t="s">
        <v>11</v>
      </c>
      <c r="B192" t="str">
        <f>T("ISLETA ELEMENTARY SCHL")</f>
        <v>ISLETA ELEMENTARY SCHL</v>
      </c>
      <c r="C192" t="str">
        <f t="shared" si="36"/>
        <v>DOI/BIA/OFFICE OF INDIAN EDUC. PROGRAMS</v>
      </c>
      <c r="D192" t="str">
        <f>T("PO BOX 550   ")</f>
        <v>PO BOX 550   </v>
      </c>
      <c r="E192" s="1" t="s">
        <v>0</v>
      </c>
      <c r="F192" t="s">
        <v>0</v>
      </c>
      <c r="G192" t="str">
        <f>T("ISLETA")</f>
        <v>ISLETA</v>
      </c>
      <c r="H192" t="str">
        <f t="shared" si="38"/>
        <v>NM </v>
      </c>
      <c r="I192" s="1">
        <f>N(87022)</f>
        <v>87022</v>
      </c>
      <c r="J192" s="1" t="str">
        <f>T("505 869 2321")</f>
        <v>505 869 2321</v>
      </c>
      <c r="K192" s="1" t="str">
        <f>T("505 869 1625")</f>
        <v>505 869 1625</v>
      </c>
    </row>
    <row r="193" spans="1:11" ht="12.75">
      <c r="A193" s="1" t="s">
        <v>11</v>
      </c>
      <c r="B193" t="str">
        <f>T("JEMEZ DAY SCHL")</f>
        <v>JEMEZ DAY SCHL</v>
      </c>
      <c r="C193" t="str">
        <f t="shared" si="36"/>
        <v>DOI/BIA/OFFICE OF INDIAN EDUC. PROGRAMS</v>
      </c>
      <c r="D193" t="str">
        <f>T("PO BOX 139")</f>
        <v>PO BOX 139</v>
      </c>
      <c r="E193" s="1" t="s">
        <v>0</v>
      </c>
      <c r="F193" t="s">
        <v>0</v>
      </c>
      <c r="G193" t="str">
        <f>T("JEMEZ PUEBLO")</f>
        <v>JEMEZ PUEBLO</v>
      </c>
      <c r="H193" t="str">
        <f t="shared" si="38"/>
        <v>NM </v>
      </c>
      <c r="I193" s="1">
        <f>N(87024)</f>
        <v>87024</v>
      </c>
      <c r="J193" s="1" t="str">
        <f>T("505 834 7304")</f>
        <v>505 834 7304</v>
      </c>
      <c r="K193" s="1" t="str">
        <f>T("505 834 7081")</f>
        <v>505 834 7081</v>
      </c>
    </row>
    <row r="194" spans="1:11" ht="18" customHeight="1">
      <c r="A194" s="1" t="s">
        <v>11</v>
      </c>
      <c r="B194" t="str">
        <f>T("SAN FELIPE DAY SCHL")</f>
        <v>SAN FELIPE DAY SCHL</v>
      </c>
      <c r="C194" t="str">
        <f t="shared" si="36"/>
        <v>DOI/BIA/OFFICE OF INDIAN EDUC. PROGRAMS</v>
      </c>
      <c r="D194" t="str">
        <f>T("PO BOX 4343  ")</f>
        <v>PO BOX 4343  </v>
      </c>
      <c r="E194" s="1" t="s">
        <v>0</v>
      </c>
      <c r="F194" t="s">
        <v>0</v>
      </c>
      <c r="G194" t="str">
        <f>T("SAN FELIPE PUEBLO")</f>
        <v>SAN FELIPE PUEBLO</v>
      </c>
      <c r="H194" t="str">
        <f t="shared" si="38"/>
        <v>NM </v>
      </c>
      <c r="I194" s="1">
        <f>N(87001)</f>
        <v>87001</v>
      </c>
      <c r="J194" s="1" t="str">
        <f>T("505 867 3364")</f>
        <v>505 867 3364</v>
      </c>
      <c r="K194" s="1" t="str">
        <f>T("505 867 6253")</f>
        <v>505 867 6253</v>
      </c>
    </row>
    <row r="195" spans="1:11" ht="12.75">
      <c r="A195" s="1" t="s">
        <v>11</v>
      </c>
      <c r="B195" t="str">
        <f>T("TSIYA ZIA ELEM &amp; MIDDLE SCHL")</f>
        <v>TSIYA ZIA ELEM &amp; MIDDLE SCHL</v>
      </c>
      <c r="C195" t="str">
        <f>T("1000 BORREGO CANYON ROAD")</f>
        <v>1000 BORREGO CANYON ROAD</v>
      </c>
      <c r="D195" t="s">
        <v>0</v>
      </c>
      <c r="E195" s="1" t="s">
        <v>0</v>
      </c>
      <c r="F195" t="s">
        <v>0</v>
      </c>
      <c r="G195" t="str">
        <f>T("ZIA PUEBLO")</f>
        <v>ZIA PUEBLO</v>
      </c>
      <c r="H195" t="str">
        <f t="shared" si="38"/>
        <v>NM </v>
      </c>
      <c r="I195" s="1">
        <f>N(87053)</f>
        <v>87053</v>
      </c>
      <c r="J195" s="1">
        <f>N(2022087658)</f>
        <v>2022087658</v>
      </c>
      <c r="K195" s="1" t="s">
        <v>0</v>
      </c>
    </row>
    <row r="196" spans="1:11" ht="12.75">
      <c r="A196" s="1" t="s">
        <v>11</v>
      </c>
      <c r="B196" t="str">
        <f>T("SAN ILDEFONSO DAY SCHL")</f>
        <v>SAN ILDEFONSO DAY SCHL</v>
      </c>
      <c r="C196" t="str">
        <f>T("DOI/BIA/OFFICE OF INDIAN EDUC. PROGRAMS")</f>
        <v>DOI/BIA/OFFICE OF INDIAN EDUC. PROGRAMS</v>
      </c>
      <c r="D196" t="str">
        <f>T("ROUTE 5  BOX 308   ")</f>
        <v>ROUTE 5  BOX 308   </v>
      </c>
      <c r="E196" s="1" t="s">
        <v>0</v>
      </c>
      <c r="F196" t="s">
        <v>0</v>
      </c>
      <c r="G196" t="str">
        <f>T("SANTA FE")</f>
        <v>SANTA FE</v>
      </c>
      <c r="H196" t="str">
        <f t="shared" si="38"/>
        <v>NM </v>
      </c>
      <c r="I196" s="1">
        <f>N(87506)</f>
        <v>87506</v>
      </c>
      <c r="J196" s="1" t="str">
        <f>T("505 455 2366")</f>
        <v>505 455 2366</v>
      </c>
      <c r="K196" s="1" t="str">
        <f>T("505 455 7194")</f>
        <v>505 455 7194</v>
      </c>
    </row>
    <row r="197" spans="1:11" ht="12.75">
      <c r="A197" s="1" t="s">
        <v>11</v>
      </c>
      <c r="B197" t="str">
        <f>T("SANTA CLARA DAY SCHL")</f>
        <v>SANTA CLARA DAY SCHL</v>
      </c>
      <c r="C197" t="str">
        <f>T("DOI/BIA/OFFICE OF INDIAN EDUC. PROGRAMS")</f>
        <v>DOI/BIA/OFFICE OF INDIAN EDUC. PROGRAMS</v>
      </c>
      <c r="D197" t="str">
        <f>T("PO BOX 2183   ")</f>
        <v>PO BOX 2183   </v>
      </c>
      <c r="E197" s="1" t="s">
        <v>0</v>
      </c>
      <c r="F197" t="s">
        <v>0</v>
      </c>
      <c r="G197" t="str">
        <f>T("ESPANOLA")</f>
        <v>ESPANOLA</v>
      </c>
      <c r="H197" t="str">
        <f t="shared" si="38"/>
        <v>NM </v>
      </c>
      <c r="I197" s="1">
        <f>N(87532)</f>
        <v>87532</v>
      </c>
      <c r="J197" s="1" t="str">
        <f>T("505 753 4406")</f>
        <v>505 753 4406</v>
      </c>
      <c r="K197" s="1" t="str">
        <f>T("505 753 8866")</f>
        <v>505 753 8866</v>
      </c>
    </row>
    <row r="198" spans="1:11" ht="12.75">
      <c r="A198" s="1" t="s">
        <v>11</v>
      </c>
      <c r="B198" t="str">
        <f>T("TAOS DAY SCHL")</f>
        <v>TAOS DAY SCHL</v>
      </c>
      <c r="C198" t="str">
        <f>T("DOI/BIA/OFFICE OF INDIAN EDUC. PROGRAMS")</f>
        <v>DOI/BIA/OFFICE OF INDIAN EDUC. PROGRAMS</v>
      </c>
      <c r="D198" t="str">
        <f>T("PO BOX DRAWER X   ")</f>
        <v>PO BOX DRAWER X   </v>
      </c>
      <c r="E198" s="1" t="s">
        <v>0</v>
      </c>
      <c r="F198" t="s">
        <v>0</v>
      </c>
      <c r="G198" t="str">
        <f>T("TAOS")</f>
        <v>TAOS</v>
      </c>
      <c r="H198" t="str">
        <f t="shared" si="38"/>
        <v>NM </v>
      </c>
      <c r="I198" s="1" t="str">
        <f>T("87571 1189")</f>
        <v>87571 1189</v>
      </c>
      <c r="J198" s="1" t="str">
        <f>T("505 758 3652")</f>
        <v>505 758 3652</v>
      </c>
      <c r="K198" s="1" t="str">
        <f>T("505 758 1566")</f>
        <v>505 758 1566</v>
      </c>
    </row>
    <row r="199" spans="1:11" ht="12.75">
      <c r="A199" s="1" t="s">
        <v>11</v>
      </c>
      <c r="B199" t="str">
        <f>T("TE SU GEH OWEENGE DAY SCH")</f>
        <v>TE SU GEH OWEENGE DAY SCH</v>
      </c>
      <c r="C199" t="str">
        <f>T("ROUTE 11 BOX 2")</f>
        <v>ROUTE 11 BOX 2</v>
      </c>
      <c r="D199" t="s">
        <v>0</v>
      </c>
      <c r="E199" s="1" t="s">
        <v>0</v>
      </c>
      <c r="F199" t="s">
        <v>0</v>
      </c>
      <c r="G199" t="str">
        <f>T("SANTE FE")</f>
        <v>SANTE FE</v>
      </c>
      <c r="H199" t="str">
        <f t="shared" si="38"/>
        <v>NM </v>
      </c>
      <c r="I199" s="1">
        <f>N(87501)</f>
        <v>87501</v>
      </c>
      <c r="J199" s="1">
        <f>N(2022087658)</f>
        <v>2022087658</v>
      </c>
      <c r="K199" s="1" t="s">
        <v>0</v>
      </c>
    </row>
    <row r="200" spans="1:11" ht="12.75">
      <c r="A200" s="1" t="s">
        <v>11</v>
      </c>
      <c r="B200" t="str">
        <f>T("ANETH COMMUNITY SCHL")</f>
        <v>ANETH COMMUNITY SCHL</v>
      </c>
      <c r="C200" t="str">
        <f aca="true" t="shared" si="39" ref="C200:C205">T("DOI/BIA/OFFICE OF INDIAN EDUC. PROGRAMS")</f>
        <v>DOI/BIA/OFFICE OF INDIAN EDUC. PROGRAMS</v>
      </c>
      <c r="D200" t="str">
        <f>T("PO BOX 600")</f>
        <v>PO BOX 600</v>
      </c>
      <c r="E200" s="1" t="s">
        <v>0</v>
      </c>
      <c r="F200" t="s">
        <v>0</v>
      </c>
      <c r="G200" t="str">
        <f>T("MOTEZUMA CREEK")</f>
        <v>MOTEZUMA CREEK</v>
      </c>
      <c r="H200" t="str">
        <f>T("UT ")</f>
        <v>UT </v>
      </c>
      <c r="I200" s="1">
        <f>N(84534)</f>
        <v>84534</v>
      </c>
      <c r="J200" s="1" t="str">
        <f>T("435 651 3271")</f>
        <v>435 651 3271</v>
      </c>
      <c r="K200" s="1" t="str">
        <f>T("435 651 3272")</f>
        <v>435 651 3272</v>
      </c>
    </row>
    <row r="201" spans="1:11" ht="12.75">
      <c r="A201" s="1" t="s">
        <v>11</v>
      </c>
      <c r="B201" t="str">
        <f>T("BECLABITO DAY SCHL")</f>
        <v>BECLABITO DAY SCHL</v>
      </c>
      <c r="C201" t="str">
        <f t="shared" si="39"/>
        <v>DOI/BIA/OFFICE OF INDIAN EDUC. PROGRAMS</v>
      </c>
      <c r="D201" t="str">
        <f>T("PO BOX 1200  ")</f>
        <v>PO BOX 1200  </v>
      </c>
      <c r="E201" s="1" t="s">
        <v>0</v>
      </c>
      <c r="F201" t="s">
        <v>0</v>
      </c>
      <c r="G201" t="str">
        <f>T("SHIPROCK")</f>
        <v>SHIPROCK</v>
      </c>
      <c r="H201" t="str">
        <f>T("NM ")</f>
        <v>NM </v>
      </c>
      <c r="I201" s="1">
        <f>N(87420)</f>
        <v>87420</v>
      </c>
      <c r="J201" s="1" t="str">
        <f>T("928 656 3555")</f>
        <v>928 656 3555</v>
      </c>
      <c r="K201" s="1" t="str">
        <f>T("928 656 3557")</f>
        <v>928 656 3557</v>
      </c>
    </row>
    <row r="202" spans="1:11" ht="12.75">
      <c r="A202" s="1" t="s">
        <v>11</v>
      </c>
      <c r="B202" t="str">
        <f>T("COVE DAY SCHL")</f>
        <v>COVE DAY SCHL</v>
      </c>
      <c r="C202" t="str">
        <f t="shared" si="39"/>
        <v>DOI/BIA/OFFICE OF INDIAN EDUC. PROGRAMS</v>
      </c>
      <c r="D202" t="str">
        <f>T("PO BOX 2000   ")</f>
        <v>PO BOX 2000   </v>
      </c>
      <c r="E202" s="1" t="s">
        <v>0</v>
      </c>
      <c r="F202" t="s">
        <v>0</v>
      </c>
      <c r="G202" t="str">
        <f>T("RED VALLEY")</f>
        <v>RED VALLEY</v>
      </c>
      <c r="H202" t="str">
        <f>T("AZ ")</f>
        <v>AZ </v>
      </c>
      <c r="I202" s="1">
        <f>N(86544)</f>
        <v>86544</v>
      </c>
      <c r="J202" s="1" t="str">
        <f>T("928 653 4457")</f>
        <v>928 653 4457</v>
      </c>
      <c r="K202" s="1" t="str">
        <f>T("928 653 4415")</f>
        <v>928 653 4415</v>
      </c>
    </row>
    <row r="203" spans="1:11" ht="12.75">
      <c r="A203" s="1" t="s">
        <v>11</v>
      </c>
      <c r="B203" t="str">
        <f>T("NENAHNEZAD BOARDING SCHL")</f>
        <v>NENAHNEZAD BOARDING SCHL</v>
      </c>
      <c r="C203" t="str">
        <f t="shared" si="39"/>
        <v>DOI/BIA/OFFICE OF INDIAN EDUC. PROGRAMS</v>
      </c>
      <c r="D203" t="str">
        <f>T("PO BOX 337   ")</f>
        <v>PO BOX 337   </v>
      </c>
      <c r="E203" s="1" t="s">
        <v>0</v>
      </c>
      <c r="F203" t="s">
        <v>0</v>
      </c>
      <c r="G203" t="str">
        <f>T("FRUITLAND")</f>
        <v>FRUITLAND</v>
      </c>
      <c r="H203" t="str">
        <f>T("NM ")</f>
        <v>NM </v>
      </c>
      <c r="I203" s="1">
        <f>N(87416)</f>
        <v>87416</v>
      </c>
      <c r="J203" s="1" t="str">
        <f>T("505 598 6922")</f>
        <v>505 598 6922</v>
      </c>
      <c r="K203" s="1" t="str">
        <f>T("505 598 0970")</f>
        <v>505 598 0970</v>
      </c>
    </row>
    <row r="204" spans="1:11" ht="12.75">
      <c r="A204" s="1" t="s">
        <v>11</v>
      </c>
      <c r="B204" t="str">
        <f>T("RED ROCK DAY SCHL")</f>
        <v>RED ROCK DAY SCHL</v>
      </c>
      <c r="C204" t="str">
        <f t="shared" si="39"/>
        <v>DOI/BIA/OFFICE OF INDIAN EDUC. PROGRAMS</v>
      </c>
      <c r="D204" t="str">
        <f>T("NAVAJO ROUTE 13")</f>
        <v>NAVAJO ROUTE 13</v>
      </c>
      <c r="E204" s="1" t="str">
        <f>T("PO BOX DRAWER 2007")</f>
        <v>PO BOX DRAWER 2007</v>
      </c>
      <c r="F204" t="s">
        <v>0</v>
      </c>
      <c r="G204" t="str">
        <f>T("RED VALLEY")</f>
        <v>RED VALLEY</v>
      </c>
      <c r="H204" t="str">
        <f>T("AZ ")</f>
        <v>AZ </v>
      </c>
      <c r="I204" s="1">
        <f>N(86544)</f>
        <v>86544</v>
      </c>
      <c r="J204" s="1" t="str">
        <f>T("505 653 4456")</f>
        <v>505 653 4456</v>
      </c>
      <c r="K204" s="1" t="str">
        <f>T("505 653 5711")</f>
        <v>505 653 5711</v>
      </c>
    </row>
    <row r="205" spans="1:11" ht="12.75">
      <c r="A205" s="1" t="s">
        <v>11</v>
      </c>
      <c r="B205" t="str">
        <f>T("SANOSTEE DAY SCHL")</f>
        <v>SANOSTEE DAY SCHL</v>
      </c>
      <c r="C205" t="str">
        <f t="shared" si="39"/>
        <v>DOI/BIA/OFFICE OF INDIAN EDUC. PROGRAMS</v>
      </c>
      <c r="D205" t="str">
        <f>T("PO BOX 159  ")</f>
        <v>PO BOX 159  </v>
      </c>
      <c r="E205" s="1" t="s">
        <v>0</v>
      </c>
      <c r="F205" t="s">
        <v>0</v>
      </c>
      <c r="G205" t="str">
        <f>T("SANOSTEE")</f>
        <v>SANOSTEE</v>
      </c>
      <c r="H205" t="str">
        <f>T("AZ ")</f>
        <v>AZ </v>
      </c>
      <c r="I205" s="1">
        <f>N(87461)</f>
        <v>87461</v>
      </c>
      <c r="J205" s="1" t="str">
        <f>T("928 723 2476")</f>
        <v>928 723 2476</v>
      </c>
      <c r="K205" s="1" t="str">
        <f>T("928 723 2425")</f>
        <v>928 723 2425</v>
      </c>
    </row>
    <row r="206" spans="1:11" ht="12.75">
      <c r="A206" s="1" t="s">
        <v>11</v>
      </c>
      <c r="B206" t="str">
        <f>T("TIIS NAZABAS COM SC TEECNOSPOS")</f>
        <v>TIIS NAZABAS COM SC TEECNOSPOS</v>
      </c>
      <c r="C206" t="str">
        <f>T("PO BOX 102")</f>
        <v>PO BOX 102</v>
      </c>
      <c r="D206" t="s">
        <v>0</v>
      </c>
      <c r="E206" s="1" t="s">
        <v>0</v>
      </c>
      <c r="F206" t="s">
        <v>0</v>
      </c>
      <c r="G206" t="str">
        <f>T("TEECNOSPOS")</f>
        <v>TEECNOSPOS</v>
      </c>
      <c r="H206" t="str">
        <f>T("AZ ")</f>
        <v>AZ </v>
      </c>
      <c r="I206" s="1">
        <f>N(86514)</f>
        <v>86514</v>
      </c>
      <c r="J206" s="1">
        <f>N(2022087658)</f>
        <v>2022087658</v>
      </c>
      <c r="K206" s="1" t="s">
        <v>0</v>
      </c>
    </row>
    <row r="207" spans="1:11" ht="12.75">
      <c r="A207" s="1" t="s">
        <v>11</v>
      </c>
      <c r="B207" t="str">
        <f>T("TRIBAL GOVERNMENTS")</f>
        <v>TRIBAL GOVERNMENTS</v>
      </c>
      <c r="C207" t="str">
        <f>T("BRANCH OF TRIBAL GOV")</f>
        <v>BRANCH OF TRIBAL GOV</v>
      </c>
      <c r="D207" t="str">
        <f>T("BIA/SOUTHWEST REGION")</f>
        <v>BIA/SOUTHWEST REGION</v>
      </c>
      <c r="E207" s="1" t="str">
        <f>T("P.O. BOX 26567")</f>
        <v>P.O. BOX 26567</v>
      </c>
      <c r="F207" t="s">
        <v>0</v>
      </c>
      <c r="G207" t="str">
        <f aca="true" t="shared" si="40" ref="G207:G212">T("ALBUQUERQUE")</f>
        <v>ALBUQUERQUE</v>
      </c>
      <c r="H207" t="str">
        <f aca="true" t="shared" si="41" ref="H207:H213">T("NM ")</f>
        <v>NM </v>
      </c>
      <c r="I207" s="1">
        <f>N(87125)</f>
        <v>87125</v>
      </c>
      <c r="J207" s="1" t="str">
        <f>T("505 346 7592")</f>
        <v>505 346 7592</v>
      </c>
      <c r="K207" s="1" t="str">
        <f>T("505 346 7151")</f>
        <v>505 346 7151</v>
      </c>
    </row>
    <row r="208" spans="1:11" ht="12.75">
      <c r="A208" s="1" t="s">
        <v>11</v>
      </c>
      <c r="B208" t="str">
        <f>T("FORESTRY AND FIRE")</f>
        <v>FORESTRY AND FIRE</v>
      </c>
      <c r="C208" t="str">
        <f>T("BRANCH OF FORESTRY")</f>
        <v>BRANCH OF FORESTRY</v>
      </c>
      <c r="D208" t="str">
        <f>T("BIA/SOUTHWEST REGION")</f>
        <v>BIA/SOUTHWEST REGION</v>
      </c>
      <c r="E208" s="1" t="str">
        <f>T("P.O. BOX 26567")</f>
        <v>P.O. BOX 26567</v>
      </c>
      <c r="F208" t="s">
        <v>0</v>
      </c>
      <c r="G208" t="str">
        <f t="shared" si="40"/>
        <v>ALBUQUERQUE</v>
      </c>
      <c r="H208" t="str">
        <f t="shared" si="41"/>
        <v>NM </v>
      </c>
      <c r="I208" s="1">
        <f>N(87125)</f>
        <v>87125</v>
      </c>
      <c r="J208" s="1" t="str">
        <f>T("505 346 7579")</f>
        <v>505 346 7579</v>
      </c>
      <c r="K208" s="1" t="str">
        <f>T("505 346 7536")</f>
        <v>505 346 7536</v>
      </c>
    </row>
    <row r="209" spans="1:11" ht="12.75">
      <c r="A209" s="1" t="s">
        <v>11</v>
      </c>
      <c r="B209" t="str">
        <f>T("DIV OF NATURAL RESOURCES")</f>
        <v>DIV OF NATURAL RESOURCES</v>
      </c>
      <c r="C209" t="str">
        <f>T("BRANCH OF NATURAL RES")</f>
        <v>BRANCH OF NATURAL RES</v>
      </c>
      <c r="D209" t="str">
        <f>T("BIA/SOUTHWEST REGION")</f>
        <v>BIA/SOUTHWEST REGION</v>
      </c>
      <c r="E209" s="1" t="str">
        <f>T("P.O. BOX 26567")</f>
        <v>P.O. BOX 26567</v>
      </c>
      <c r="F209" t="s">
        <v>0</v>
      </c>
      <c r="G209" t="str">
        <f t="shared" si="40"/>
        <v>ALBUQUERQUE</v>
      </c>
      <c r="H209" t="str">
        <f t="shared" si="41"/>
        <v>NM </v>
      </c>
      <c r="I209" s="1">
        <f>N(87125)</f>
        <v>87125</v>
      </c>
      <c r="J209" s="1" t="str">
        <f>T("505 346 7109")</f>
        <v>505 346 7109</v>
      </c>
      <c r="K209" s="1" t="str">
        <f>T("505 346 7512")</f>
        <v>505 346 7512</v>
      </c>
    </row>
    <row r="210" spans="1:11" ht="12.75">
      <c r="A210" s="1" t="s">
        <v>11</v>
      </c>
      <c r="B210" t="str">
        <f>T("DIV OF REAL ESTATE SERVICES")</f>
        <v>DIV OF REAL ESTATE SERVICES</v>
      </c>
      <c r="C210" t="str">
        <f>T("BRANCH OF REAL ESTAT")</f>
        <v>BRANCH OF REAL ESTAT</v>
      </c>
      <c r="D210" t="str">
        <f>T("BIA/SOUTHWEST REGION")</f>
        <v>BIA/SOUTHWEST REGION</v>
      </c>
      <c r="E210" s="1" t="str">
        <f>T("P.O. BOX 26567")</f>
        <v>P.O. BOX 26567</v>
      </c>
      <c r="F210" t="s">
        <v>0</v>
      </c>
      <c r="G210" t="str">
        <f t="shared" si="40"/>
        <v>ALBUQUERQUE</v>
      </c>
      <c r="H210" t="str">
        <f t="shared" si="41"/>
        <v>NM </v>
      </c>
      <c r="I210" s="1">
        <f>N(87125)</f>
        <v>87125</v>
      </c>
      <c r="J210" s="1" t="str">
        <f>T("505 346 7136")</f>
        <v>505 346 7136</v>
      </c>
      <c r="K210" s="1" t="str">
        <f>T("505 346 7511")</f>
        <v>505 346 7511</v>
      </c>
    </row>
    <row r="211" spans="1:11" ht="12.75">
      <c r="A211" s="1" t="s">
        <v>11</v>
      </c>
      <c r="B211" t="str">
        <f>T("BR OF CREDIT &amp; FINANCING")</f>
        <v>BR OF CREDIT &amp; FINANCING</v>
      </c>
      <c r="C211" t="str">
        <f>T("BRANCH OF CREDIT &amp; FINANCE")</f>
        <v>BRANCH OF CREDIT &amp; FINANCE</v>
      </c>
      <c r="D211" t="str">
        <f>T("BIA/SOUTHWEST REGION")</f>
        <v>BIA/SOUTHWEST REGION</v>
      </c>
      <c r="E211" s="1" t="str">
        <f>T("P.O. BOX 26567")</f>
        <v>P.O. BOX 26567</v>
      </c>
      <c r="F211" t="s">
        <v>0</v>
      </c>
      <c r="G211" t="str">
        <f t="shared" si="40"/>
        <v>ALBUQUERQUE</v>
      </c>
      <c r="H211" t="str">
        <f t="shared" si="41"/>
        <v>NM </v>
      </c>
      <c r="I211" s="1">
        <f>N(87125)</f>
        <v>87125</v>
      </c>
      <c r="J211" s="1" t="str">
        <f>T("505 346 7581")</f>
        <v>505 346 7581</v>
      </c>
      <c r="K211" s="1" t="str">
        <f>T("505 346 7530")</f>
        <v>505 346 7530</v>
      </c>
    </row>
    <row r="212" spans="1:11" ht="12.75">
      <c r="A212" s="1" t="s">
        <v>11</v>
      </c>
      <c r="B212" t="str">
        <f>T("SUPT  SOUTHERN PUEBLOS AGENCY")</f>
        <v>SUPT  SOUTHERN PUEBLOS AGENCY</v>
      </c>
      <c r="C212" t="str">
        <f aca="true" t="shared" si="42" ref="C212:C217">T("OFFICE OF THE SUPERI")</f>
        <v>OFFICE OF THE SUPERI</v>
      </c>
      <c r="D212" t="str">
        <f>T("BIA/SWR/SOUTHERN PUEBLOS AGENCY")</f>
        <v>BIA/SWR/SOUTHERN PUEBLOS AGENCY</v>
      </c>
      <c r="E212" s="1" t="str">
        <f>T("P.O. BOX 1667")</f>
        <v>P.O. BOX 1667</v>
      </c>
      <c r="F212" t="s">
        <v>0</v>
      </c>
      <c r="G212" t="str">
        <f t="shared" si="40"/>
        <v>ALBUQUERQUE</v>
      </c>
      <c r="H212" t="str">
        <f t="shared" si="41"/>
        <v>NM </v>
      </c>
      <c r="I212" s="1">
        <f>N(87103)</f>
        <v>87103</v>
      </c>
      <c r="J212" s="1" t="str">
        <f>T("505 346 2425")</f>
        <v>505 346 2425</v>
      </c>
      <c r="K212" s="1" t="str">
        <f>T("505 346 2426")</f>
        <v>505 346 2426</v>
      </c>
    </row>
    <row r="213" spans="1:11" ht="12.75">
      <c r="A213" s="1" t="s">
        <v>11</v>
      </c>
      <c r="B213" t="str">
        <f>T("SUPT  LAGUNA AGENCY")</f>
        <v>SUPT  LAGUNA AGENCY</v>
      </c>
      <c r="C213" t="str">
        <f t="shared" si="42"/>
        <v>OFFICE OF THE SUPERI</v>
      </c>
      <c r="D213" t="str">
        <f>T("BIA/SWR/LAGUNA AGENCY")</f>
        <v>BIA/SWR/LAGUNA AGENCY</v>
      </c>
      <c r="E213" s="1" t="str">
        <f>T("P.O. BOX 1448")</f>
        <v>P.O. BOX 1448</v>
      </c>
      <c r="F213" t="s">
        <v>0</v>
      </c>
      <c r="G213" t="str">
        <f>T("LAGUNA")</f>
        <v>LAGUNA</v>
      </c>
      <c r="H213" t="str">
        <f t="shared" si="41"/>
        <v>NM </v>
      </c>
      <c r="I213" s="1">
        <f>N(87026)</f>
        <v>87026</v>
      </c>
      <c r="J213" s="1" t="str">
        <f>T("505 552 6001")</f>
        <v>505 552 6001</v>
      </c>
      <c r="K213" s="1" t="str">
        <f>T("505 552 7497")</f>
        <v>505 552 7497</v>
      </c>
    </row>
    <row r="214" spans="1:11" ht="12.75">
      <c r="A214" s="1" t="s">
        <v>11</v>
      </c>
      <c r="B214" t="str">
        <f>T("SUPT  UTE MOUNTAIN UTE AGENCY")</f>
        <v>SUPT  UTE MOUNTAIN UTE AGENCY</v>
      </c>
      <c r="C214" t="str">
        <f t="shared" si="42"/>
        <v>OFFICE OF THE SUPERI</v>
      </c>
      <c r="D214" t="str">
        <f>T("BIA/SWR/UTE MOUNTAIN UTE AGENCY")</f>
        <v>BIA/SWR/UTE MOUNTAIN UTE AGENCY</v>
      </c>
      <c r="E214" s="1" t="str">
        <f>T("P.O. BOX KK")</f>
        <v>P.O. BOX KK</v>
      </c>
      <c r="F214" t="s">
        <v>0</v>
      </c>
      <c r="G214" t="str">
        <f>T("TOWAOC")</f>
        <v>TOWAOC</v>
      </c>
      <c r="H214" t="str">
        <f>T("CO ")</f>
        <v>CO </v>
      </c>
      <c r="I214" s="1">
        <f>N(81334)</f>
        <v>81334</v>
      </c>
      <c r="J214" s="1" t="str">
        <f>T("970 565 8473")</f>
        <v>970 565 8473</v>
      </c>
      <c r="K214" s="1" t="str">
        <f>T("970 565 8906")</f>
        <v>970 565 8906</v>
      </c>
    </row>
    <row r="215" spans="1:11" ht="12.75">
      <c r="A215" s="1" t="s">
        <v>11</v>
      </c>
      <c r="B215" t="str">
        <f>T("SUPT  JICARILLA AGENCY")</f>
        <v>SUPT  JICARILLA AGENCY</v>
      </c>
      <c r="C215" t="str">
        <f t="shared" si="42"/>
        <v>OFFICE OF THE SUPERI</v>
      </c>
      <c r="D215" t="str">
        <f>T("BIA/SWR/JICARILLA AGENCY")</f>
        <v>BIA/SWR/JICARILLA AGENCY</v>
      </c>
      <c r="E215" s="1" t="str">
        <f>T("P.O. BOX 167")</f>
        <v>P.O. BOX 167</v>
      </c>
      <c r="F215" t="s">
        <v>0</v>
      </c>
      <c r="G215" t="str">
        <f>T("DULCE")</f>
        <v>DULCE</v>
      </c>
      <c r="H215" t="str">
        <f aca="true" t="shared" si="43" ref="H215:H221">T("NM ")</f>
        <v>NM </v>
      </c>
      <c r="I215" s="1">
        <f>N(87528)</f>
        <v>87528</v>
      </c>
      <c r="J215" s="1" t="str">
        <f>T("505 759 3952")</f>
        <v>505 759 3952</v>
      </c>
      <c r="K215" s="1" t="str">
        <f>T("505 759 3948")</f>
        <v>505 759 3948</v>
      </c>
    </row>
    <row r="216" spans="1:11" ht="12.75">
      <c r="A216" s="1" t="s">
        <v>11</v>
      </c>
      <c r="B216" t="str">
        <f>T("SUPT  MESCALERO AGENCY")</f>
        <v>SUPT  MESCALERO AGENCY</v>
      </c>
      <c r="C216" t="str">
        <f t="shared" si="42"/>
        <v>OFFICE OF THE SUPERI</v>
      </c>
      <c r="D216" t="str">
        <f>T("BIA/SWR/MESCALERO AGENCY")</f>
        <v>BIA/SWR/MESCALERO AGENCY</v>
      </c>
      <c r="E216" s="1" t="str">
        <f>T("P.O. BOX 189")</f>
        <v>P.O. BOX 189</v>
      </c>
      <c r="F216" t="s">
        <v>0</v>
      </c>
      <c r="G216" t="str">
        <f>T("MESCALERO")</f>
        <v>MESCALERO</v>
      </c>
      <c r="H216" t="str">
        <f t="shared" si="43"/>
        <v>NM </v>
      </c>
      <c r="I216" s="1">
        <f>N(88340)</f>
        <v>88340</v>
      </c>
      <c r="J216" s="1" t="str">
        <f>T("505 464 4421")</f>
        <v>505 464 4421</v>
      </c>
      <c r="K216" s="1" t="str">
        <f>T("505 464 4215")</f>
        <v>505 464 4215</v>
      </c>
    </row>
    <row r="217" spans="1:11" ht="12.75">
      <c r="A217" s="1" t="s">
        <v>11</v>
      </c>
      <c r="B217" t="str">
        <f>T("SUPT  ZUNI AGENCY")</f>
        <v>SUPT  ZUNI AGENCY</v>
      </c>
      <c r="C217" t="str">
        <f t="shared" si="42"/>
        <v>OFFICE OF THE SUPERI</v>
      </c>
      <c r="D217" t="str">
        <f>T("BIA/SWR/ZUNI AGENCY")</f>
        <v>BIA/SWR/ZUNI AGENCY</v>
      </c>
      <c r="E217" s="1" t="str">
        <f>T("P.O. BOX 369")</f>
        <v>P.O. BOX 369</v>
      </c>
      <c r="F217" t="s">
        <v>0</v>
      </c>
      <c r="G217" t="str">
        <f>T("ZUNI")</f>
        <v>ZUNI</v>
      </c>
      <c r="H217" t="str">
        <f t="shared" si="43"/>
        <v>NM </v>
      </c>
      <c r="I217" s="1">
        <f>N(87327)</f>
        <v>87327</v>
      </c>
      <c r="J217" s="1" t="str">
        <f>T("505 782 7271")</f>
        <v>505 782 7271</v>
      </c>
      <c r="K217" s="1" t="str">
        <f>T("505 782 7229")</f>
        <v>505 782 7229</v>
      </c>
    </row>
    <row r="218" spans="1:11" ht="12.75">
      <c r="A218" s="1" t="s">
        <v>11</v>
      </c>
      <c r="B218" t="str">
        <f>T("DIV OF ENV CULTURAL &amp; SAFETY")</f>
        <v>DIV OF ENV CULTURAL &amp; SAFETY</v>
      </c>
      <c r="C218" t="str">
        <f>T("DOI BUREAU OF INDIAN AFFAIRS")</f>
        <v>DOI BUREAU OF INDIAN AFFAIRS</v>
      </c>
      <c r="D218" t="str">
        <f>T("301 WEST HILL  MC100 ")</f>
        <v>301 WEST HILL  MC100 </v>
      </c>
      <c r="E218" s="1" t="s">
        <v>0</v>
      </c>
      <c r="F218" t="s">
        <v>0</v>
      </c>
      <c r="G218" t="str">
        <f>T("GALLUP")</f>
        <v>GALLUP</v>
      </c>
      <c r="H218" t="str">
        <f t="shared" si="43"/>
        <v>NM </v>
      </c>
      <c r="I218" s="1">
        <f>N(87301)</f>
        <v>87301</v>
      </c>
      <c r="J218" s="1">
        <f>N(5058638314)</f>
        <v>5058638314</v>
      </c>
      <c r="K218" s="1">
        <f>N(5058638324)</f>
        <v>5058638324</v>
      </c>
    </row>
    <row r="219" spans="1:11" ht="12.75">
      <c r="A219" s="1" t="s">
        <v>11</v>
      </c>
      <c r="B219" t="str">
        <f>T("DIV OF TRANSPORTATION")</f>
        <v>DIV OF TRANSPORTATION</v>
      </c>
      <c r="C219" t="str">
        <f>T("DOI BUREAU OF INDIAN AFFAIRS")</f>
        <v>DOI BUREAU OF INDIAN AFFAIRS</v>
      </c>
      <c r="D219" t="str">
        <f>T("301 WEST HILL  MC360")</f>
        <v>301 WEST HILL  MC360</v>
      </c>
      <c r="E219" s="1" t="s">
        <v>0</v>
      </c>
      <c r="F219" t="s">
        <v>0</v>
      </c>
      <c r="G219" t="str">
        <f>T("GALLUP")</f>
        <v>GALLUP</v>
      </c>
      <c r="H219" t="str">
        <f t="shared" si="43"/>
        <v>NM </v>
      </c>
      <c r="I219" s="1">
        <f>N(87301)</f>
        <v>87301</v>
      </c>
      <c r="J219" s="1">
        <f>N(5058638281)</f>
        <v>5058638281</v>
      </c>
      <c r="K219" s="1">
        <f>N(5058638355)</f>
        <v>5058638355</v>
      </c>
    </row>
    <row r="220" spans="1:11" ht="12.75">
      <c r="A220" s="1" t="s">
        <v>11</v>
      </c>
      <c r="B220" t="str">
        <f>T("DIV OF PROBATE AND ESTATE SVS")</f>
        <v>DIV OF PROBATE AND ESTATE SVS</v>
      </c>
      <c r="C220" t="str">
        <f>T("DOI BUREAU OF INDIAN AFFAIRS")</f>
        <v>DOI BUREAU OF INDIAN AFFAIRS</v>
      </c>
      <c r="D220" t="str">
        <f>T("301 WEST HILL  MC520 ")</f>
        <v>301 WEST HILL  MC520 </v>
      </c>
      <c r="E220" s="1" t="s">
        <v>0</v>
      </c>
      <c r="F220" t="s">
        <v>0</v>
      </c>
      <c r="G220" t="str">
        <f>T("GALLUP")</f>
        <v>GALLUP</v>
      </c>
      <c r="H220" t="str">
        <f t="shared" si="43"/>
        <v>NM </v>
      </c>
      <c r="I220" s="1">
        <f>N(87301)</f>
        <v>87301</v>
      </c>
      <c r="J220" s="1">
        <f>N(5058638356)</f>
        <v>5058638356</v>
      </c>
      <c r="K220" s="1">
        <f>N(5058638214)</f>
        <v>5058638214</v>
      </c>
    </row>
    <row r="221" spans="1:11" ht="12.75">
      <c r="A221" s="1" t="s">
        <v>11</v>
      </c>
      <c r="B221" t="str">
        <f>T("DIV OF REAL ESTATE SERVICES")</f>
        <v>DIV OF REAL ESTATE SERVICES</v>
      </c>
      <c r="C221" t="str">
        <f>T("DOI BUREAU OF INDIAN AFFAIRS")</f>
        <v>DOI BUREAU OF INDIAN AFFAIRS</v>
      </c>
      <c r="D221" t="str">
        <f>T("PO BOX 1060  MC540 ")</f>
        <v>PO BOX 1060  MC540 </v>
      </c>
      <c r="E221" s="1" t="s">
        <v>0</v>
      </c>
      <c r="F221" t="s">
        <v>0</v>
      </c>
      <c r="G221" t="str">
        <f>T("GALLUP")</f>
        <v>GALLUP</v>
      </c>
      <c r="H221" t="str">
        <f t="shared" si="43"/>
        <v>NM </v>
      </c>
      <c r="I221" s="1">
        <f>N(87305)</f>
        <v>87305</v>
      </c>
      <c r="J221" s="1">
        <f>N(9288715930)</f>
        <v>9288715930</v>
      </c>
      <c r="K221" s="1">
        <f>N(9288715943)</f>
        <v>9288715943</v>
      </c>
    </row>
    <row r="222" spans="1:11" ht="12.75">
      <c r="A222" s="1" t="s">
        <v>11</v>
      </c>
      <c r="B222" t="str">
        <f>T("SEATTLE SPT CENTER")</f>
        <v>SEATTLE SPT CENTER</v>
      </c>
      <c r="C222" t="str">
        <f>T("DOI/BIA/ALASKA REGION")</f>
        <v>DOI/BIA/ALASKA REGION</v>
      </c>
      <c r="D222" t="str">
        <f>T("P.O. BOX 80947")</f>
        <v>P.O. BOX 80947</v>
      </c>
      <c r="E222" s="1" t="s">
        <v>0</v>
      </c>
      <c r="F222" t="s">
        <v>0</v>
      </c>
      <c r="G222" t="str">
        <f>T("JUNEAU")</f>
        <v>JUNEAU</v>
      </c>
      <c r="H222" t="str">
        <f>T("AK ")</f>
        <v>AK </v>
      </c>
      <c r="I222" s="1">
        <f>N(99802)</f>
        <v>99802</v>
      </c>
      <c r="J222" s="1" t="str">
        <f>T("206 764 3328")</f>
        <v>206 764 3328</v>
      </c>
      <c r="K222" s="1" t="str">
        <f>T("202 764 6881")</f>
        <v>202 764 6881</v>
      </c>
    </row>
    <row r="223" spans="1:11" ht="12.75">
      <c r="A223" s="1" t="s">
        <v>11</v>
      </c>
      <c r="B223" t="str">
        <f>T("SUPT  MINNESOTA AGENCY")</f>
        <v>SUPT  MINNESOTA AGENCY</v>
      </c>
      <c r="C223" t="str">
        <f>T("MINNESOTA AGENCY")</f>
        <v>MINNESOTA AGENCY</v>
      </c>
      <c r="D223" t="str">
        <f>T("522 MINNESOTA AVE NW RM 418 FED BLDG")</f>
        <v>522 MINNESOTA AVE NW RM 418 FED BLDG</v>
      </c>
      <c r="E223" s="1" t="s">
        <v>0</v>
      </c>
      <c r="F223" t="s">
        <v>0</v>
      </c>
      <c r="G223" t="str">
        <f>T("BEMIDJI")</f>
        <v>BEMIDJI</v>
      </c>
      <c r="H223" t="str">
        <f>T("MN ")</f>
        <v>MN </v>
      </c>
      <c r="I223" s="1" t="str">
        <f>T("56601 3062")</f>
        <v>56601 3062</v>
      </c>
      <c r="J223" s="1" t="str">
        <f>T("218 751 2011")</f>
        <v>218 751 2011</v>
      </c>
      <c r="K223" s="1" t="str">
        <f>T("218 751 4367")</f>
        <v>218 751 4367</v>
      </c>
    </row>
    <row r="224" spans="1:11" ht="12.75">
      <c r="A224" s="1" t="s">
        <v>11</v>
      </c>
      <c r="B224" t="str">
        <f>T("SUPT  SALT RIVER AGENCY")</f>
        <v>SUPT  SALT RIVER AGENCY</v>
      </c>
      <c r="C224" t="str">
        <f>T("DOI/BIA/SALT RIVER FIELD OFFICE")</f>
        <v>DOI/BIA/SALT RIVER FIELD OFFICE</v>
      </c>
      <c r="D224" t="str">
        <f>T("10000 E MCDOWELL RD")</f>
        <v>10000 E MCDOWELL RD</v>
      </c>
      <c r="E224" s="1" t="s">
        <v>0</v>
      </c>
      <c r="F224" t="s">
        <v>0</v>
      </c>
      <c r="G224" t="str">
        <f>T("SCOTTSDALE")</f>
        <v>SCOTTSDALE</v>
      </c>
      <c r="H224" t="str">
        <f>T("AZ ")</f>
        <v>AZ </v>
      </c>
      <c r="I224" s="1">
        <f>N(85256)</f>
        <v>85256</v>
      </c>
      <c r="J224" s="1">
        <f>N(6023793318)</f>
        <v>6023793318</v>
      </c>
      <c r="K224" s="1" t="str">
        <f>T("480 421 0808")</f>
        <v>480 421 0808</v>
      </c>
    </row>
    <row r="225" spans="1:11" ht="12.75">
      <c r="A225" s="1" t="s">
        <v>11</v>
      </c>
      <c r="B225" t="str">
        <f>T("BLACKFEET DORMITORY")</f>
        <v>BLACKFEET DORMITORY</v>
      </c>
      <c r="C225" t="str">
        <f>T("DOI/BIA/OFFICE OF INDIAN EDUC. PROGRAMS")</f>
        <v>DOI/BIA/OFFICE OF INDIAN EDUC. PROGRAMS</v>
      </c>
      <c r="D225" t="str">
        <f>T("PO BOX 880   ")</f>
        <v>PO BOX 880   </v>
      </c>
      <c r="E225" s="1" t="s">
        <v>0</v>
      </c>
      <c r="F225" t="s">
        <v>0</v>
      </c>
      <c r="G225" t="str">
        <f>T("BROWNING")</f>
        <v>BROWNING</v>
      </c>
      <c r="H225" t="str">
        <f>T("MT ")</f>
        <v>MT </v>
      </c>
      <c r="I225" s="1" t="str">
        <f>T("59417 0880")</f>
        <v>59417 0880</v>
      </c>
      <c r="J225" s="1" t="str">
        <f>T("406 338 7441")</f>
        <v>406 338 7441</v>
      </c>
      <c r="K225" s="1" t="str">
        <f>T("406 338 5725")</f>
        <v>406 338 5725</v>
      </c>
    </row>
    <row r="226" spans="1:11" ht="12.75">
      <c r="A226" s="1" t="s">
        <v>11</v>
      </c>
      <c r="B226" t="str">
        <f>T("TOHAALI COMM SCHL TOADLENA")</f>
        <v>TOHAALI COMM SCHL TOADLENA</v>
      </c>
      <c r="C226" t="str">
        <f>T("PO BOX 9857")</f>
        <v>PO BOX 9857</v>
      </c>
      <c r="D226" t="s">
        <v>0</v>
      </c>
      <c r="E226" s="1" t="s">
        <v>0</v>
      </c>
      <c r="F226" t="s">
        <v>0</v>
      </c>
      <c r="G226" t="str">
        <f>T("NEWCOMB")</f>
        <v>NEWCOMB</v>
      </c>
      <c r="H226" t="str">
        <f>T("NM ")</f>
        <v>NM </v>
      </c>
      <c r="I226" s="1">
        <f>N(87455)</f>
        <v>87455</v>
      </c>
      <c r="J226" s="1">
        <f>N(2022087658)</f>
        <v>2022087658</v>
      </c>
      <c r="K226" s="1" t="s">
        <v>0</v>
      </c>
    </row>
    <row r="227" spans="1:11" ht="12.75">
      <c r="A227" s="1" t="s">
        <v>11</v>
      </c>
      <c r="B227" t="str">
        <f>T("DENNEHOTSO BOARDING SCHL")</f>
        <v>DENNEHOTSO BOARDING SCHL</v>
      </c>
      <c r="C227" t="str">
        <f>T("DOI/BIA/OFFICE OF INDIAN EDUC. PROGRAMS")</f>
        <v>DOI/BIA/OFFICE OF INDIAN EDUC. PROGRAMS</v>
      </c>
      <c r="D227" t="str">
        <f>T("PO BOX 2570  ")</f>
        <v>PO BOX 2570  </v>
      </c>
      <c r="E227" s="1" t="s">
        <v>0</v>
      </c>
      <c r="F227" t="s">
        <v>0</v>
      </c>
      <c r="G227" t="str">
        <f>T("DENNEHOTSO")</f>
        <v>DENNEHOTSO</v>
      </c>
      <c r="H227" t="str">
        <f>T("DC ")</f>
        <v>DC </v>
      </c>
      <c r="I227" s="1">
        <f>N(56535)</f>
        <v>56535</v>
      </c>
      <c r="J227" s="1" t="str">
        <f>T("928 658 3201")</f>
        <v>928 658 3201</v>
      </c>
      <c r="K227" s="1" t="str">
        <f>T("928 658 3221")</f>
        <v>928 658 3221</v>
      </c>
    </row>
    <row r="228" spans="1:11" ht="12.75">
      <c r="A228" s="1" t="s">
        <v>11</v>
      </c>
      <c r="B228" t="str">
        <f>T("KAIBETO BOARDING SCHL")</f>
        <v>KAIBETO BOARDING SCHL</v>
      </c>
      <c r="C228" t="str">
        <f>T("DOI/BIA/OFFICE OF INDIAN EDUC. PROGRAMS")</f>
        <v>DOI/BIA/OFFICE OF INDIAN EDUC. PROGRAMS</v>
      </c>
      <c r="D228" t="str">
        <f>T("PO BOX 1420  ")</f>
        <v>PO BOX 1420  </v>
      </c>
      <c r="E228" s="1" t="s">
        <v>0</v>
      </c>
      <c r="F228" t="s">
        <v>0</v>
      </c>
      <c r="G228" t="str">
        <f>T("KAIBETO")</f>
        <v>KAIBETO</v>
      </c>
      <c r="H228" t="str">
        <f>T("DC ")</f>
        <v>DC </v>
      </c>
      <c r="I228" s="1">
        <f>N(56053)</f>
        <v>56053</v>
      </c>
      <c r="J228" s="1" t="str">
        <f>T("928 673 3418")</f>
        <v>928 673 3418</v>
      </c>
      <c r="K228" s="1" t="str">
        <f>T("928 673 3489")</f>
        <v>928 673 3489</v>
      </c>
    </row>
    <row r="229" spans="1:11" ht="12.75">
      <c r="A229" s="1" t="s">
        <v>11</v>
      </c>
      <c r="B229" t="str">
        <f>T("TONALEO DAY SCHOOL RED LAKE")</f>
        <v>TONALEO DAY SCHOOL RED LAKE</v>
      </c>
      <c r="C229" t="str">
        <f>T("PO BOX 39")</f>
        <v>PO BOX 39</v>
      </c>
      <c r="D229" t="s">
        <v>0</v>
      </c>
      <c r="E229" s="1" t="s">
        <v>0</v>
      </c>
      <c r="F229" t="s">
        <v>0</v>
      </c>
      <c r="G229" t="str">
        <f>T("TONALEA")</f>
        <v>TONALEA</v>
      </c>
      <c r="H229" t="str">
        <f>T("AZ ")</f>
        <v>AZ </v>
      </c>
      <c r="I229" s="1">
        <f>N(86045)</f>
        <v>86045</v>
      </c>
      <c r="J229" s="1">
        <f>N(2022087658)</f>
        <v>2022087658</v>
      </c>
      <c r="K229" s="1" t="s">
        <v>0</v>
      </c>
    </row>
    <row r="230" spans="1:11" ht="12.75">
      <c r="A230" s="1" t="s">
        <v>11</v>
      </c>
      <c r="B230" t="str">
        <f>T("ROCKY RIDGE BOARDING SCHL")</f>
        <v>ROCKY RIDGE BOARDING SCHL</v>
      </c>
      <c r="C230" t="str">
        <f>T("DOI/BIA/OFFICE OF INDIAN EDUC. PROGRAMS")</f>
        <v>DOI/BIA/OFFICE OF INDIAN EDUC. PROGRAMS</v>
      </c>
      <c r="D230" t="str">
        <f>T("DINNEBITO RD")</f>
        <v>DINNEBITO RD</v>
      </c>
      <c r="E230" s="1" t="str">
        <f>T("PO BOX 299")</f>
        <v>PO BOX 299</v>
      </c>
      <c r="F230" t="s">
        <v>0</v>
      </c>
      <c r="G230" t="str">
        <f>T("KYKOTSMOVI")</f>
        <v>KYKOTSMOVI</v>
      </c>
      <c r="H230" t="str">
        <f>T("AZ ")</f>
        <v>AZ </v>
      </c>
      <c r="I230" s="1">
        <f>N(86039)</f>
        <v>86039</v>
      </c>
      <c r="J230" s="1" t="str">
        <f>T("928 725 3650")</f>
        <v>928 725 3650</v>
      </c>
      <c r="K230" s="1" t="str">
        <f>T("928 725 3655")</f>
        <v>928 725 3655</v>
      </c>
    </row>
    <row r="231" spans="1:11" ht="12.75">
      <c r="A231" s="1" t="s">
        <v>11</v>
      </c>
      <c r="B231" t="str">
        <f>T("TUBA CITY BOARDING SCHL")</f>
        <v>TUBA CITY BOARDING SCHL</v>
      </c>
      <c r="C231" t="str">
        <f>T("DOI/BIA/OFFICE OF INDIAN EDUC. PROGRAMS")</f>
        <v>DOI/BIA/OFFICE OF INDIAN EDUC. PROGRAMS</v>
      </c>
      <c r="D231" t="str">
        <f>T("PO BOX 187  ")</f>
        <v>PO BOX 187  </v>
      </c>
      <c r="E231" s="1" t="s">
        <v>0</v>
      </c>
      <c r="F231" t="s">
        <v>0</v>
      </c>
      <c r="G231" t="str">
        <f>T("TUBA CITY")</f>
        <v>TUBA CITY</v>
      </c>
      <c r="H231" t="str">
        <f>T("AZ ")</f>
        <v>AZ </v>
      </c>
      <c r="I231" s="1">
        <f>N(86045)</f>
        <v>86045</v>
      </c>
      <c r="J231" s="1" t="str">
        <f>T("928 283 2330")</f>
        <v>928 283 2330</v>
      </c>
      <c r="K231" s="1" t="str">
        <f>T("928 283 2348")</f>
        <v>928 283 2348</v>
      </c>
    </row>
    <row r="232" spans="1:11" ht="12.75">
      <c r="A232" s="1" t="s">
        <v>11</v>
      </c>
      <c r="B232" t="str">
        <f>T("BACA DLOAY AZHI COMM SCHOOL")</f>
        <v>BACA DLOAY AZHI COMM SCHOOL</v>
      </c>
      <c r="C232" t="str">
        <f>T("PO BOX 509")</f>
        <v>PO BOX 509</v>
      </c>
      <c r="D232" t="s">
        <v>0</v>
      </c>
      <c r="E232" s="1" t="s">
        <v>0</v>
      </c>
      <c r="F232" t="s">
        <v>0</v>
      </c>
      <c r="G232" t="str">
        <f>T("PREWITT")</f>
        <v>PREWITT</v>
      </c>
      <c r="H232" t="str">
        <f aca="true" t="shared" si="44" ref="H232:H242">T("NM ")</f>
        <v>NM </v>
      </c>
      <c r="I232" s="1">
        <f>N(87045)</f>
        <v>87045</v>
      </c>
      <c r="J232" s="1">
        <f>N(2022087658)</f>
        <v>2022087658</v>
      </c>
      <c r="K232" s="1" t="s">
        <v>0</v>
      </c>
    </row>
    <row r="233" spans="1:11" ht="12.75">
      <c r="A233" s="1" t="s">
        <v>11</v>
      </c>
      <c r="B233" t="str">
        <f>T("BREAD SPRINGS DAY SCHL")</f>
        <v>BREAD SPRINGS DAY SCHL</v>
      </c>
      <c r="C233" t="str">
        <f>T("DOI/BIA/OFFICE OF INDIAN EDUC. PROGRAMS")</f>
        <v>DOI/BIA/OFFICE OF INDIAN EDUC. PROGRAMS</v>
      </c>
      <c r="D233" t="str">
        <f>T("PO BOX 1117   ")</f>
        <v>PO BOX 1117   </v>
      </c>
      <c r="E233" s="1" t="s">
        <v>0</v>
      </c>
      <c r="F233" t="s">
        <v>0</v>
      </c>
      <c r="G233" t="str">
        <f>T("GALLUP")</f>
        <v>GALLUP</v>
      </c>
      <c r="H233" t="str">
        <f t="shared" si="44"/>
        <v>NM </v>
      </c>
      <c r="I233" s="1">
        <f>N(87305)</f>
        <v>87305</v>
      </c>
      <c r="J233" s="1" t="str">
        <f>T("505 778 5665")</f>
        <v>505 778 5665</v>
      </c>
      <c r="K233" s="1" t="str">
        <f>T("505 778 5692")</f>
        <v>505 778 5692</v>
      </c>
    </row>
    <row r="234" spans="1:11" ht="12.75">
      <c r="A234" s="1" t="s">
        <v>11</v>
      </c>
      <c r="B234" t="str">
        <f>T("CHI-CH'IL-TAH/JONES RANCH")</f>
        <v>CHI-CH'IL-TAH/JONES RANCH</v>
      </c>
      <c r="C234" t="str">
        <f>T("DOI/BIA/OFFICE OF INDIAN EDUC. PROGRAMS")</f>
        <v>DOI/BIA/OFFICE OF INDIAN EDUC. PROGRAMS</v>
      </c>
      <c r="D234" t="str">
        <f>T("PO BOX 278   ")</f>
        <v>PO BOX 278   </v>
      </c>
      <c r="E234" s="1" t="s">
        <v>0</v>
      </c>
      <c r="F234" t="s">
        <v>0</v>
      </c>
      <c r="G234" t="str">
        <f>T("VANDERWAGON")</f>
        <v>VANDERWAGON</v>
      </c>
      <c r="H234" t="str">
        <f t="shared" si="44"/>
        <v>NM </v>
      </c>
      <c r="I234" s="1">
        <f>N(87326)</f>
        <v>87326</v>
      </c>
      <c r="J234" s="1" t="str">
        <f>T("505 778 5574")</f>
        <v>505 778 5574</v>
      </c>
      <c r="K234" s="1" t="str">
        <f>T("505 778 5575")</f>
        <v>505 778 5575</v>
      </c>
    </row>
    <row r="235" spans="1:11" ht="12.75">
      <c r="A235" s="1" t="s">
        <v>11</v>
      </c>
      <c r="B235" t="str">
        <f>T("MARIANO LAKE COMMUNITY SCHL")</f>
        <v>MARIANO LAKE COMMUNITY SCHL</v>
      </c>
      <c r="C235" t="str">
        <f>T("DOI/BIA/OFFICE OF INDIAN EDUC. PROGRAMS")</f>
        <v>DOI/BIA/OFFICE OF INDIAN EDUC. PROGRAMS</v>
      </c>
      <c r="D235" t="str">
        <f>T("NAVAJO ROUTE 49  PO BOX 787 ")</f>
        <v>NAVAJO ROUTE 49  PO BOX 787 </v>
      </c>
      <c r="E235" s="1" t="s">
        <v>0</v>
      </c>
      <c r="F235" t="s">
        <v>0</v>
      </c>
      <c r="G235" t="str">
        <f>T("CROWNPOINT")</f>
        <v>CROWNPOINT</v>
      </c>
      <c r="H235" t="str">
        <f t="shared" si="44"/>
        <v>NM </v>
      </c>
      <c r="I235" s="1">
        <f>N(87313)</f>
        <v>87313</v>
      </c>
      <c r="J235" s="1" t="str">
        <f>T("505 786 5265")</f>
        <v>505 786 5265</v>
      </c>
      <c r="K235" s="1" t="str">
        <f>T("505 786 5203")</f>
        <v>505 786 5203</v>
      </c>
    </row>
    <row r="236" spans="1:11" ht="12.75">
      <c r="A236" s="1" t="s">
        <v>11</v>
      </c>
      <c r="B236" t="str">
        <f>T("OJO ENCINO DAY SCHL")</f>
        <v>OJO ENCINO DAY SCHL</v>
      </c>
      <c r="C236" t="str">
        <f>T("DOI/BIA/OFFICE OF INDIAN EDUC. PROGRAMS")</f>
        <v>DOI/BIA/OFFICE OF INDIAN EDUC. PROGRAMS</v>
      </c>
      <c r="D236" t="str">
        <f>T("HCR 79  BOX 7  CUBA ")</f>
        <v>HCR 79  BOX 7  CUBA </v>
      </c>
      <c r="E236" s="1" t="s">
        <v>0</v>
      </c>
      <c r="F236" t="s">
        <v>0</v>
      </c>
      <c r="G236" t="str">
        <f>T("CUBA")</f>
        <v>CUBA</v>
      </c>
      <c r="H236" t="str">
        <f t="shared" si="44"/>
        <v>NM </v>
      </c>
      <c r="I236" s="1">
        <f>N(87103)</f>
        <v>87103</v>
      </c>
      <c r="J236" s="1" t="str">
        <f>T("505 731 2333")</f>
        <v>505 731 2333</v>
      </c>
      <c r="K236" s="1" t="str">
        <f>T("505 731 2361")</f>
        <v>505 731 2361</v>
      </c>
    </row>
    <row r="237" spans="1:11" ht="12.75">
      <c r="A237" s="1" t="s">
        <v>11</v>
      </c>
      <c r="B237" t="str">
        <f>T("PUEBLO PINTADO COMMUNITY SCHL")</f>
        <v>PUEBLO PINTADO COMMUNITY SCHL</v>
      </c>
      <c r="C237" t="str">
        <f>T("DOI/BIA/OFFICE OF INDIAN EDUC. PROGRAMS")</f>
        <v>DOI/BIA/OFFICE OF INDIAN EDUC. PROGRAMS</v>
      </c>
      <c r="D237" t="str">
        <f>T("HCR 79  BOX 80  CUBA  NM  ")</f>
        <v>HCR 79  BOX 80  CUBA  NM  </v>
      </c>
      <c r="E237" s="1" t="s">
        <v>0</v>
      </c>
      <c r="F237" t="s">
        <v>0</v>
      </c>
      <c r="G237" t="str">
        <f>T("CUBA")</f>
        <v>CUBA</v>
      </c>
      <c r="H237" t="str">
        <f t="shared" si="44"/>
        <v>NM </v>
      </c>
      <c r="I237" s="1">
        <f>N(87103)</f>
        <v>87103</v>
      </c>
      <c r="J237" s="1" t="str">
        <f>T("505 655 3341")</f>
        <v>505 655 3341</v>
      </c>
      <c r="K237" s="1" t="str">
        <f>T("505 655 3342")</f>
        <v>505 655 3342</v>
      </c>
    </row>
    <row r="238" spans="1:11" ht="12.75">
      <c r="A238" s="1" t="s">
        <v>11</v>
      </c>
      <c r="B238" t="str">
        <f>T("TSEIIAHI COMM SCH STANDING RK")</f>
        <v>TSEIIAHI COMM SCH STANDING RK</v>
      </c>
      <c r="C238" t="str">
        <f>T("PO BOX 828")</f>
        <v>PO BOX 828</v>
      </c>
      <c r="D238" t="s">
        <v>0</v>
      </c>
      <c r="E238" s="1" t="s">
        <v>0</v>
      </c>
      <c r="F238" t="s">
        <v>0</v>
      </c>
      <c r="G238" t="str">
        <f>T("CROWNPOINT")</f>
        <v>CROWNPOINT</v>
      </c>
      <c r="H238" t="str">
        <f t="shared" si="44"/>
        <v>NM </v>
      </c>
      <c r="I238" s="1">
        <f>N(87313)</f>
        <v>87313</v>
      </c>
      <c r="J238" s="1">
        <f>N(2022087658)</f>
        <v>2022087658</v>
      </c>
      <c r="K238" s="1" t="s">
        <v>0</v>
      </c>
    </row>
    <row r="239" spans="1:11" ht="12.75">
      <c r="A239" s="1" t="s">
        <v>11</v>
      </c>
      <c r="B239" t="str">
        <f>T("NA'NEELZHIIN JI'OLTA (TORREON)")</f>
        <v>NA'NEELZHIIN JI'OLTA (TORREON)</v>
      </c>
      <c r="C239" t="str">
        <f>T("DOI/BIA/OFFICE OF INDIAN EDUC. PROGRAMS")</f>
        <v>DOI/BIA/OFFICE OF INDIAN EDUC. PROGRAMS</v>
      </c>
      <c r="D239" t="str">
        <f>T("HCR 79  BOX 9 ")</f>
        <v>HCR 79  BOX 9 </v>
      </c>
      <c r="E239" s="1" t="s">
        <v>0</v>
      </c>
      <c r="F239" t="s">
        <v>0</v>
      </c>
      <c r="G239" t="str">
        <f>T("CUBA")</f>
        <v>CUBA</v>
      </c>
      <c r="H239" t="str">
        <f t="shared" si="44"/>
        <v>NM </v>
      </c>
      <c r="I239" s="1">
        <f>N(87103)</f>
        <v>87103</v>
      </c>
      <c r="J239" s="1" t="str">
        <f>T("505 731 2272")</f>
        <v>505 731 2272</v>
      </c>
      <c r="K239" s="1" t="str">
        <f>T("505 731 2252")</f>
        <v>505 731 2252</v>
      </c>
    </row>
    <row r="240" spans="1:11" ht="12.75">
      <c r="A240" s="1" t="s">
        <v>11</v>
      </c>
      <c r="B240" t="str">
        <f>T("WINGATE ELEMENTARY SCHL")</f>
        <v>WINGATE ELEMENTARY SCHL</v>
      </c>
      <c r="C240" t="str">
        <f>T("DOI/BIA/OFFICE OF INDIAN EDUC. PROGRAMS")</f>
        <v>DOI/BIA/OFFICE OF INDIAN EDUC. PROGRAMS</v>
      </c>
      <c r="D240" t="str">
        <f>T("PO BOX 1   ")</f>
        <v>PO BOX 1   </v>
      </c>
      <c r="E240" s="1" t="s">
        <v>0</v>
      </c>
      <c r="F240" t="s">
        <v>0</v>
      </c>
      <c r="G240" t="str">
        <f>T("FT WINGATE")</f>
        <v>FT WINGATE</v>
      </c>
      <c r="H240" t="str">
        <f t="shared" si="44"/>
        <v>NM </v>
      </c>
      <c r="I240" s="1">
        <f>N(87316)</f>
        <v>87316</v>
      </c>
      <c r="J240" s="1" t="str">
        <f>T("505 488 6470")</f>
        <v>505 488 6470</v>
      </c>
      <c r="K240" s="1" t="str">
        <f>T("505 488 6478")</f>
        <v>505 488 6478</v>
      </c>
    </row>
    <row r="241" spans="1:11" ht="12.75">
      <c r="A241" s="1" t="s">
        <v>11</v>
      </c>
      <c r="B241" t="str">
        <f>T("WINGATE HIGH SCHL")</f>
        <v>WINGATE HIGH SCHL</v>
      </c>
      <c r="C241" t="str">
        <f>T("DOI/BIA/OFFICE OF INDIAN EDUC. PROGRAMS")</f>
        <v>DOI/BIA/OFFICE OF INDIAN EDUC. PROGRAMS</v>
      </c>
      <c r="D241" t="str">
        <f>T("PO BOX 2   ")</f>
        <v>PO BOX 2   </v>
      </c>
      <c r="E241" s="1" t="s">
        <v>0</v>
      </c>
      <c r="F241" t="s">
        <v>0</v>
      </c>
      <c r="G241" t="str">
        <f>T("FT WINGATE")</f>
        <v>FT WINGATE</v>
      </c>
      <c r="H241" t="str">
        <f t="shared" si="44"/>
        <v>NM </v>
      </c>
      <c r="I241" s="1">
        <f>N(87316)</f>
        <v>87316</v>
      </c>
      <c r="J241" s="1" t="str">
        <f>T("505 488 6400")</f>
        <v>505 488 6400</v>
      </c>
      <c r="K241" s="1" t="str">
        <f>T("505 488 6444")</f>
        <v>505 488 6444</v>
      </c>
    </row>
    <row r="242" spans="1:11" ht="12.75">
      <c r="A242" s="1" t="s">
        <v>11</v>
      </c>
      <c r="B242" t="str">
        <f>T("TIISTSOOZIBIOLTA CROWNPOINT")</f>
        <v>TIISTSOOZIBIOLTA CROWNPOINT</v>
      </c>
      <c r="C242" t="str">
        <f>T("PO BOX 178")</f>
        <v>PO BOX 178</v>
      </c>
      <c r="D242" t="s">
        <v>0</v>
      </c>
      <c r="E242" s="1" t="s">
        <v>0</v>
      </c>
      <c r="F242" t="s">
        <v>0</v>
      </c>
      <c r="G242" t="str">
        <f>T("CROWNPOINT")</f>
        <v>CROWNPOINT</v>
      </c>
      <c r="H242" t="str">
        <f t="shared" si="44"/>
        <v>NM </v>
      </c>
      <c r="I242" s="1">
        <f>N(87313)</f>
        <v>87313</v>
      </c>
      <c r="J242" s="1">
        <f>N(2022087658)</f>
        <v>2022087658</v>
      </c>
      <c r="K242" s="1" t="s">
        <v>0</v>
      </c>
    </row>
    <row r="243" spans="1:11" ht="12.75">
      <c r="A243" s="1" t="s">
        <v>11</v>
      </c>
      <c r="B243" t="str">
        <f>T("COTTONWOOD DAY SCHL")</f>
        <v>COTTONWOOD DAY SCHL</v>
      </c>
      <c r="C243" t="str">
        <f aca="true" t="shared" si="45" ref="C243:C250">T("DOI/BIA/OFFICE OF INDIAN EDUC. PROGRAMS")</f>
        <v>DOI/BIA/OFFICE OF INDIAN EDUC. PROGRAMS</v>
      </c>
      <c r="D243" t="str">
        <f>T("NAVAJO RT. 4  CHINLE ")</f>
        <v>NAVAJO RT. 4  CHINLE </v>
      </c>
      <c r="E243" s="1" t="s">
        <v>0</v>
      </c>
      <c r="F243" t="s">
        <v>0</v>
      </c>
      <c r="G243" t="str">
        <f>T("CHINLE")</f>
        <v>CHINLE</v>
      </c>
      <c r="H243" t="str">
        <f>T("AZ ")</f>
        <v>AZ </v>
      </c>
      <c r="I243" s="1">
        <f>N(86503)</f>
        <v>86503</v>
      </c>
      <c r="J243" s="1" t="str">
        <f>T("928 725 3256")</f>
        <v>928 725 3256</v>
      </c>
      <c r="K243" s="1" t="str">
        <f>T("928 725 3255")</f>
        <v>928 725 3255</v>
      </c>
    </row>
    <row r="244" spans="1:11" ht="12.75">
      <c r="A244" s="1" t="s">
        <v>11</v>
      </c>
      <c r="B244" t="str">
        <f>T("CHINLE BOARDING SCHL")</f>
        <v>CHINLE BOARDING SCHL</v>
      </c>
      <c r="C244" t="str">
        <f t="shared" si="45"/>
        <v>DOI/BIA/OFFICE OF INDIAN EDUC. PROGRAMS</v>
      </c>
      <c r="D244" t="str">
        <f>T("PO BOX 70")</f>
        <v>PO BOX 70</v>
      </c>
      <c r="E244" s="1" t="s">
        <v>0</v>
      </c>
      <c r="F244" t="s">
        <v>0</v>
      </c>
      <c r="G244" t="str">
        <f>T("MANY FARMS")</f>
        <v>MANY FARMS</v>
      </c>
      <c r="H244" t="str">
        <f>T("AZ ")</f>
        <v>AZ </v>
      </c>
      <c r="I244" s="1">
        <f>N(86538)</f>
        <v>86538</v>
      </c>
      <c r="J244" s="1" t="str">
        <f>T("928 781 6221")</f>
        <v>928 781 6221</v>
      </c>
      <c r="K244" s="1" t="str">
        <f>T("928 781 6376")</f>
        <v>928 781 6376</v>
      </c>
    </row>
    <row r="245" spans="1:11" ht="12.75">
      <c r="A245" s="1" t="s">
        <v>11</v>
      </c>
      <c r="B245" t="str">
        <f>T("MANY FARMS HIGH SCHL")</f>
        <v>MANY FARMS HIGH SCHL</v>
      </c>
      <c r="C245" t="str">
        <f t="shared" si="45"/>
        <v>DOI/BIA/OFFICE OF INDIAN EDUC. PROGRAMS</v>
      </c>
      <c r="D245" t="str">
        <f>T("PO BOX 307   ")</f>
        <v>PO BOX 307   </v>
      </c>
      <c r="E245" s="1" t="s">
        <v>0</v>
      </c>
      <c r="F245" t="s">
        <v>0</v>
      </c>
      <c r="G245" t="str">
        <f>T("MANY FARMS")</f>
        <v>MANY FARMS</v>
      </c>
      <c r="H245" t="str">
        <f>T("AZ ")</f>
        <v>AZ </v>
      </c>
      <c r="I245" s="1">
        <f>N(86538)</f>
        <v>86538</v>
      </c>
      <c r="J245" s="1" t="str">
        <f>T("928 781 6226")</f>
        <v>928 781 6226</v>
      </c>
      <c r="K245" s="1" t="str">
        <f>T("928 781 6355")</f>
        <v>928 781 6355</v>
      </c>
    </row>
    <row r="246" spans="1:11" ht="12.75">
      <c r="A246" s="1" t="s">
        <v>11</v>
      </c>
      <c r="B246" t="str">
        <f>T("CRYSTAL BOARDING SCHL")</f>
        <v>CRYSTAL BOARDING SCHL</v>
      </c>
      <c r="C246" t="str">
        <f t="shared" si="45"/>
        <v>DOI/BIA/OFFICE OF INDIAN EDUC. PROGRAMS</v>
      </c>
      <c r="D246" t="str">
        <f>T("HWY. 134  ")</f>
        <v>HWY. 134  </v>
      </c>
      <c r="E246" s="1" t="s">
        <v>0</v>
      </c>
      <c r="F246" t="s">
        <v>0</v>
      </c>
      <c r="G246" t="str">
        <f>T("NAVAJO")</f>
        <v>NAVAJO</v>
      </c>
      <c r="H246" t="str">
        <f>T("NM ")</f>
        <v>NM </v>
      </c>
      <c r="I246" s="1" t="str">
        <f>T("87328 000")</f>
        <v>87328 000</v>
      </c>
      <c r="J246" s="1" t="str">
        <f>T("505 777 2385")</f>
        <v>505 777 2385</v>
      </c>
      <c r="K246" s="1" t="str">
        <f>T("505 777 2648")</f>
        <v>505 777 2648</v>
      </c>
    </row>
    <row r="247" spans="1:11" ht="12.75">
      <c r="A247" s="1" t="s">
        <v>11</v>
      </c>
      <c r="B247" t="str">
        <f>T("HUNTERS POINT BOARDING SCHL")</f>
        <v>HUNTERS POINT BOARDING SCHL</v>
      </c>
      <c r="C247" t="str">
        <f t="shared" si="45"/>
        <v>DOI/BIA/OFFICE OF INDIAN EDUC. PROGRAMS</v>
      </c>
      <c r="D247" t="str">
        <f>T("ROUTE 12  PO BOX DRAWER 99   ")</f>
        <v>ROUTE 12  PO BOX DRAWER 99   </v>
      </c>
      <c r="E247" s="1" t="s">
        <v>0</v>
      </c>
      <c r="F247" t="s">
        <v>0</v>
      </c>
      <c r="G247" t="str">
        <f>T("ST MICHAELS")</f>
        <v>ST MICHAELS</v>
      </c>
      <c r="H247" t="str">
        <f>T("AZ ")</f>
        <v>AZ </v>
      </c>
      <c r="I247" s="1" t="str">
        <f>T("85611 0099")</f>
        <v>85611 0099</v>
      </c>
      <c r="J247" s="1" t="str">
        <f>T("928 871 4439")</f>
        <v>928 871 4439</v>
      </c>
      <c r="K247" s="1" t="str">
        <f>T("928 871 4435")</f>
        <v>928 871 4435</v>
      </c>
    </row>
    <row r="248" spans="1:11" ht="12.75">
      <c r="A248" s="1" t="s">
        <v>11</v>
      </c>
      <c r="B248" t="str">
        <f>T("PINE SPRINGS BOARDING SCHL")</f>
        <v>PINE SPRINGS BOARDING SCHL</v>
      </c>
      <c r="C248" t="str">
        <f t="shared" si="45"/>
        <v>DOI/BIA/OFFICE OF INDIAN EDUC. PROGRAMS</v>
      </c>
      <c r="D248" t="str">
        <f>T("PO BOX 4198  ")</f>
        <v>PO BOX 4198  </v>
      </c>
      <c r="E248" s="1" t="s">
        <v>0</v>
      </c>
      <c r="F248" t="s">
        <v>0</v>
      </c>
      <c r="G248" t="str">
        <f>T("HOUCK")</f>
        <v>HOUCK</v>
      </c>
      <c r="H248" t="str">
        <f>T("AZ ")</f>
        <v>AZ </v>
      </c>
      <c r="I248" s="1" t="str">
        <f>T("86506 4198")</f>
        <v>86506 4198</v>
      </c>
      <c r="J248" s="1" t="str">
        <f>T("928 871 4311")</f>
        <v>928 871 4311</v>
      </c>
      <c r="K248" s="1" t="str">
        <f>T("928 871 4341")</f>
        <v>928 871 4341</v>
      </c>
    </row>
    <row r="249" spans="1:11" ht="12.75">
      <c r="A249" s="1" t="s">
        <v>11</v>
      </c>
      <c r="B249" t="str">
        <f>T("SEBA DALKAI BOARDING SCHL")</f>
        <v>SEBA DALKAI BOARDING SCHL</v>
      </c>
      <c r="C249" t="str">
        <f t="shared" si="45"/>
        <v>DOI/BIA/OFFICE OF INDIAN EDUC. PROGRAMS</v>
      </c>
      <c r="D249" t="str">
        <f>T("HC 63  BOX H  WINSLOW  ")</f>
        <v>HC 63  BOX H  WINSLOW  </v>
      </c>
      <c r="E249" s="1" t="s">
        <v>0</v>
      </c>
      <c r="F249" t="s">
        <v>0</v>
      </c>
      <c r="G249" t="str">
        <f>T("WINSLOW")</f>
        <v>WINSLOW</v>
      </c>
      <c r="H249" t="str">
        <f>T("AZ ")</f>
        <v>AZ </v>
      </c>
      <c r="I249" s="1">
        <f>N(86047)</f>
        <v>86047</v>
      </c>
      <c r="J249" s="1" t="str">
        <f>T("928 657 3208")</f>
        <v>928 657 3208</v>
      </c>
      <c r="K249" s="1" t="str">
        <f>T("928 657 3224")</f>
        <v>928 657 3224</v>
      </c>
    </row>
    <row r="250" spans="1:11" ht="12.75">
      <c r="A250" s="1" t="s">
        <v>11</v>
      </c>
      <c r="B250" t="str">
        <f>T("CHEMAWA INDIAN SCHL")</f>
        <v>CHEMAWA INDIAN SCHL</v>
      </c>
      <c r="C250" t="str">
        <f t="shared" si="45"/>
        <v>DOI/BIA/OFFICE OF INDIAN EDUC. PROGRAMS</v>
      </c>
      <c r="D250" t="str">
        <f>T("3700 CHEMAWA ROAD NE  SALEM  OR  97305 ")</f>
        <v>3700 CHEMAWA ROAD NE  SALEM  OR  97305 </v>
      </c>
      <c r="E250" s="1" t="s">
        <v>0</v>
      </c>
      <c r="F250" t="s">
        <v>0</v>
      </c>
      <c r="G250" t="str">
        <f>T("SALEM")</f>
        <v>SALEM</v>
      </c>
      <c r="H250" t="str">
        <f>T("OR ")</f>
        <v>OR </v>
      </c>
      <c r="I250" s="1" t="str">
        <f>T("97305 1199")</f>
        <v>97305 1199</v>
      </c>
      <c r="J250" s="1" t="str">
        <f>T("503 399 5721")</f>
        <v>503 399 5721</v>
      </c>
      <c r="K250" s="1" t="str">
        <f>T("503 399 5870")</f>
        <v>503 399 5870</v>
      </c>
    </row>
    <row r="251" spans="1:11" ht="12.75">
      <c r="A251" s="1" t="s">
        <v>11</v>
      </c>
      <c r="B251" t="str">
        <f>T("WATER RESOURCES")</f>
        <v>WATER RESOURCES</v>
      </c>
      <c r="C251" t="str">
        <f>T("BRANCH OF REGIONL WATER")</f>
        <v>BRANCH OF REGIONL WATER</v>
      </c>
      <c r="D251" t="str">
        <f>T("BIA/SOUTHWEST REGION")</f>
        <v>BIA/SOUTHWEST REGION</v>
      </c>
      <c r="E251" s="1" t="str">
        <f>T("P.O. BOX 26567")</f>
        <v>P.O. BOX 26567</v>
      </c>
      <c r="F251" t="s">
        <v>0</v>
      </c>
      <c r="G251" t="str">
        <f>T("ALBUQUERQUE")</f>
        <v>ALBUQUERQUE</v>
      </c>
      <c r="H251" t="str">
        <f>T("NM ")</f>
        <v>NM </v>
      </c>
      <c r="I251" s="1">
        <f>N(87125)</f>
        <v>87125</v>
      </c>
      <c r="J251" s="1" t="str">
        <f>T("505 346 7587")</f>
        <v>505 346 7587</v>
      </c>
      <c r="K251" s="1" t="str">
        <f>T("505 346 7593")</f>
        <v>505 346 7593</v>
      </c>
    </row>
    <row r="252" spans="1:11" ht="12.75">
      <c r="A252" s="1" t="s">
        <v>11</v>
      </c>
      <c r="B252" t="str">
        <f>T("CREDIT")</f>
        <v>CREDIT</v>
      </c>
      <c r="C252" t="str">
        <f>T("BRANCH OF ROADS")</f>
        <v>BRANCH OF ROADS</v>
      </c>
      <c r="D252" t="str">
        <f>T("BIA/SOUTHWEST REGION")</f>
        <v>BIA/SOUTHWEST REGION</v>
      </c>
      <c r="E252" s="1" t="str">
        <f>T("P.O. BOX 26567")</f>
        <v>P.O. BOX 26567</v>
      </c>
      <c r="F252" t="s">
        <v>0</v>
      </c>
      <c r="G252" t="str">
        <f>T("ALBUQUERQUE")</f>
        <v>ALBUQUERQUE</v>
      </c>
      <c r="H252" t="str">
        <f>T("NM ")</f>
        <v>NM </v>
      </c>
      <c r="I252" s="1">
        <f>N(87125)</f>
        <v>87125</v>
      </c>
      <c r="J252" s="1" t="str">
        <f>T("505 346 7576")</f>
        <v>505 346 7576</v>
      </c>
      <c r="K252" s="1" t="str">
        <f>T("505 346 7595")</f>
        <v>505 346 7595</v>
      </c>
    </row>
    <row r="253" spans="1:11" ht="12.75">
      <c r="A253" s="1" t="s">
        <v>11</v>
      </c>
      <c r="B253" t="str">
        <f>T("BR OF CONTRACTS &amp; GRANTS")</f>
        <v>BR OF CONTRACTS &amp; GRANTS</v>
      </c>
      <c r="C253" t="str">
        <f aca="true" t="shared" si="46" ref="C253:C263">T("DOI/ BIA/NW REGIONAL OFFICE")</f>
        <v>DOI/ BIA/NW REGIONAL OFFICE</v>
      </c>
      <c r="D253" t="str">
        <f aca="true" t="shared" si="47" ref="D253:D263">T("911 N.E. 11TH AVE.")</f>
        <v>911 N.E. 11TH AVE.</v>
      </c>
      <c r="E253" s="1" t="s">
        <v>0</v>
      </c>
      <c r="F253" t="s">
        <v>0</v>
      </c>
      <c r="G253" t="str">
        <f aca="true" t="shared" si="48" ref="G253:G263">T("PORTLAND")</f>
        <v>PORTLAND</v>
      </c>
      <c r="H253" t="str">
        <f aca="true" t="shared" si="49" ref="H253:H263">T("OR ")</f>
        <v>OR </v>
      </c>
      <c r="I253" s="1">
        <f aca="true" t="shared" si="50" ref="I253:I263">N(97232)</f>
        <v>97232</v>
      </c>
      <c r="J253" s="1">
        <f>N(99999999)</f>
        <v>99999999</v>
      </c>
      <c r="K253" s="1" t="s">
        <v>0</v>
      </c>
    </row>
    <row r="254" spans="1:11" ht="12.75">
      <c r="A254" s="1" t="s">
        <v>11</v>
      </c>
      <c r="B254" t="str">
        <f>T("BR OF FACIL M'GMT")</f>
        <v>BR OF FACIL M'GMT</v>
      </c>
      <c r="C254" t="str">
        <f t="shared" si="46"/>
        <v>DOI/ BIA/NW REGIONAL OFFICE</v>
      </c>
      <c r="D254" t="str">
        <f t="shared" si="47"/>
        <v>911 N.E. 11TH AVE.</v>
      </c>
      <c r="E254" s="1" t="s">
        <v>0</v>
      </c>
      <c r="F254" t="s">
        <v>0</v>
      </c>
      <c r="G254" t="str">
        <f t="shared" si="48"/>
        <v>PORTLAND</v>
      </c>
      <c r="H254" t="str">
        <f t="shared" si="49"/>
        <v>OR </v>
      </c>
      <c r="I254" s="1">
        <f t="shared" si="50"/>
        <v>97232</v>
      </c>
      <c r="J254" s="1" t="s">
        <v>0</v>
      </c>
      <c r="K254" s="1" t="s">
        <v>0</v>
      </c>
    </row>
    <row r="255" spans="1:11" ht="12.75">
      <c r="A255" s="1" t="s">
        <v>11</v>
      </c>
      <c r="B255" t="str">
        <f>T("CREDIT")</f>
        <v>CREDIT</v>
      </c>
      <c r="C255" t="str">
        <f t="shared" si="46"/>
        <v>DOI/ BIA/NW REGIONAL OFFICE</v>
      </c>
      <c r="D255" t="str">
        <f t="shared" si="47"/>
        <v>911 N.E. 11TH AVE.</v>
      </c>
      <c r="E255" s="1" t="s">
        <v>0</v>
      </c>
      <c r="F255" t="s">
        <v>0</v>
      </c>
      <c r="G255" t="str">
        <f t="shared" si="48"/>
        <v>PORTLAND</v>
      </c>
      <c r="H255" t="str">
        <f t="shared" si="49"/>
        <v>OR </v>
      </c>
      <c r="I255" s="1">
        <f t="shared" si="50"/>
        <v>97232</v>
      </c>
      <c r="J255" s="1" t="s">
        <v>0</v>
      </c>
      <c r="K255" s="1" t="s">
        <v>0</v>
      </c>
    </row>
    <row r="256" spans="1:11" ht="12.75">
      <c r="A256" s="1" t="s">
        <v>11</v>
      </c>
      <c r="B256" t="str">
        <f>T("FISH  WILDLIFE &amp; PARKS")</f>
        <v>FISH  WILDLIFE &amp; PARKS</v>
      </c>
      <c r="C256" t="str">
        <f t="shared" si="46"/>
        <v>DOI/ BIA/NW REGIONAL OFFICE</v>
      </c>
      <c r="D256" t="str">
        <f t="shared" si="47"/>
        <v>911 N.E. 11TH AVE.</v>
      </c>
      <c r="E256" s="1" t="s">
        <v>0</v>
      </c>
      <c r="F256" t="s">
        <v>0</v>
      </c>
      <c r="G256" t="str">
        <f t="shared" si="48"/>
        <v>PORTLAND</v>
      </c>
      <c r="H256" t="str">
        <f t="shared" si="49"/>
        <v>OR </v>
      </c>
      <c r="I256" s="1">
        <f t="shared" si="50"/>
        <v>97232</v>
      </c>
      <c r="J256" s="1" t="s">
        <v>0</v>
      </c>
      <c r="K256" s="1" t="s">
        <v>0</v>
      </c>
    </row>
    <row r="257" spans="1:11" ht="12.75">
      <c r="A257" s="1" t="s">
        <v>11</v>
      </c>
      <c r="B257" t="str">
        <f>T("BR OF FORESTRY")</f>
        <v>BR OF FORESTRY</v>
      </c>
      <c r="C257" t="str">
        <f t="shared" si="46"/>
        <v>DOI/ BIA/NW REGIONAL OFFICE</v>
      </c>
      <c r="D257" t="str">
        <f t="shared" si="47"/>
        <v>911 N.E. 11TH AVE.</v>
      </c>
      <c r="E257" s="1" t="s">
        <v>0</v>
      </c>
      <c r="F257" t="s">
        <v>0</v>
      </c>
      <c r="G257" t="str">
        <f t="shared" si="48"/>
        <v>PORTLAND</v>
      </c>
      <c r="H257" t="str">
        <f t="shared" si="49"/>
        <v>OR </v>
      </c>
      <c r="I257" s="1">
        <f t="shared" si="50"/>
        <v>97232</v>
      </c>
      <c r="J257" s="1" t="s">
        <v>0</v>
      </c>
      <c r="K257" s="1" t="s">
        <v>0</v>
      </c>
    </row>
    <row r="258" spans="1:11" ht="12.75">
      <c r="A258" s="1" t="s">
        <v>11</v>
      </c>
      <c r="B258" t="str">
        <f>T("BR OF LAND SVCS")</f>
        <v>BR OF LAND SVCS</v>
      </c>
      <c r="C258" t="str">
        <f t="shared" si="46"/>
        <v>DOI/ BIA/NW REGIONAL OFFICE</v>
      </c>
      <c r="D258" t="str">
        <f t="shared" si="47"/>
        <v>911 N.E. 11TH AVE.</v>
      </c>
      <c r="E258" s="1" t="s">
        <v>0</v>
      </c>
      <c r="F258" t="s">
        <v>0</v>
      </c>
      <c r="G258" t="str">
        <f t="shared" si="48"/>
        <v>PORTLAND</v>
      </c>
      <c r="H258" t="str">
        <f t="shared" si="49"/>
        <v>OR </v>
      </c>
      <c r="I258" s="1">
        <f t="shared" si="50"/>
        <v>97232</v>
      </c>
      <c r="J258" s="1" t="s">
        <v>0</v>
      </c>
      <c r="K258" s="1" t="s">
        <v>0</v>
      </c>
    </row>
    <row r="259" spans="1:11" ht="12.75">
      <c r="A259" s="1" t="s">
        <v>11</v>
      </c>
      <c r="B259" t="str">
        <f>T("DIV OF REAL ESTATE SERVICES")</f>
        <v>DIV OF REAL ESTATE SERVICES</v>
      </c>
      <c r="C259" t="str">
        <f t="shared" si="46"/>
        <v>DOI/ BIA/NW REGIONAL OFFICE</v>
      </c>
      <c r="D259" t="str">
        <f t="shared" si="47"/>
        <v>911 N.E. 11TH AVE.</v>
      </c>
      <c r="E259" s="1" t="s">
        <v>0</v>
      </c>
      <c r="F259" t="s">
        <v>0</v>
      </c>
      <c r="G259" t="str">
        <f t="shared" si="48"/>
        <v>PORTLAND</v>
      </c>
      <c r="H259" t="str">
        <f t="shared" si="49"/>
        <v>OR </v>
      </c>
      <c r="I259" s="1">
        <f t="shared" si="50"/>
        <v>97232</v>
      </c>
      <c r="J259" s="1" t="s">
        <v>0</v>
      </c>
      <c r="K259" s="1" t="s">
        <v>0</v>
      </c>
    </row>
    <row r="260" spans="1:11" ht="12.75">
      <c r="A260" s="1" t="s">
        <v>11</v>
      </c>
      <c r="B260" t="str">
        <f>T("DIV OF TRANSPORTATION")</f>
        <v>DIV OF TRANSPORTATION</v>
      </c>
      <c r="C260" t="str">
        <f t="shared" si="46"/>
        <v>DOI/ BIA/NW REGIONAL OFFICE</v>
      </c>
      <c r="D260" t="str">
        <f t="shared" si="47"/>
        <v>911 N.E. 11TH AVE.</v>
      </c>
      <c r="E260" s="1" t="s">
        <v>0</v>
      </c>
      <c r="F260" t="s">
        <v>0</v>
      </c>
      <c r="G260" t="str">
        <f t="shared" si="48"/>
        <v>PORTLAND</v>
      </c>
      <c r="H260" t="str">
        <f t="shared" si="49"/>
        <v>OR </v>
      </c>
      <c r="I260" s="1">
        <f t="shared" si="50"/>
        <v>97232</v>
      </c>
      <c r="J260" s="1" t="s">
        <v>0</v>
      </c>
      <c r="K260" s="1" t="s">
        <v>0</v>
      </c>
    </row>
    <row r="261" spans="1:11" ht="12.75">
      <c r="A261" s="1" t="s">
        <v>11</v>
      </c>
      <c r="B261" t="str">
        <f>T("HUMAN SERVICES")</f>
        <v>HUMAN SERVICES</v>
      </c>
      <c r="C261" t="str">
        <f t="shared" si="46"/>
        <v>DOI/ BIA/NW REGIONAL OFFICE</v>
      </c>
      <c r="D261" t="str">
        <f t="shared" si="47"/>
        <v>911 N.E. 11TH AVE.</v>
      </c>
      <c r="E261" s="1" t="s">
        <v>0</v>
      </c>
      <c r="F261" t="s">
        <v>0</v>
      </c>
      <c r="G261" t="str">
        <f t="shared" si="48"/>
        <v>PORTLAND</v>
      </c>
      <c r="H261" t="str">
        <f t="shared" si="49"/>
        <v>OR </v>
      </c>
      <c r="I261" s="1">
        <f t="shared" si="50"/>
        <v>97232</v>
      </c>
      <c r="J261" s="1" t="s">
        <v>0</v>
      </c>
      <c r="K261" s="1" t="s">
        <v>0</v>
      </c>
    </row>
    <row r="262" spans="1:11" ht="12.75">
      <c r="A262" s="1" t="s">
        <v>11</v>
      </c>
      <c r="B262" t="str">
        <f>T("LAND TITLE AND RECORDS")</f>
        <v>LAND TITLE AND RECORDS</v>
      </c>
      <c r="C262" t="str">
        <f t="shared" si="46"/>
        <v>DOI/ BIA/NW REGIONAL OFFICE</v>
      </c>
      <c r="D262" t="str">
        <f t="shared" si="47"/>
        <v>911 N.E. 11TH AVE.</v>
      </c>
      <c r="E262" s="1" t="s">
        <v>0</v>
      </c>
      <c r="F262" t="s">
        <v>0</v>
      </c>
      <c r="G262" t="str">
        <f t="shared" si="48"/>
        <v>PORTLAND</v>
      </c>
      <c r="H262" t="str">
        <f t="shared" si="49"/>
        <v>OR </v>
      </c>
      <c r="I262" s="1">
        <f t="shared" si="50"/>
        <v>97232</v>
      </c>
      <c r="J262" s="1" t="s">
        <v>0</v>
      </c>
      <c r="K262" s="1" t="s">
        <v>0</v>
      </c>
    </row>
    <row r="263" spans="1:11" ht="12.75">
      <c r="A263" s="1" t="s">
        <v>11</v>
      </c>
      <c r="B263" t="str">
        <f>T("TRIBAL GOVERNMENTS")</f>
        <v>TRIBAL GOVERNMENTS</v>
      </c>
      <c r="C263" t="str">
        <f t="shared" si="46"/>
        <v>DOI/ BIA/NW REGIONAL OFFICE</v>
      </c>
      <c r="D263" t="str">
        <f t="shared" si="47"/>
        <v>911 N.E. 11TH AVE.</v>
      </c>
      <c r="E263" s="1" t="s">
        <v>0</v>
      </c>
      <c r="F263" t="s">
        <v>0</v>
      </c>
      <c r="G263" t="str">
        <f t="shared" si="48"/>
        <v>PORTLAND</v>
      </c>
      <c r="H263" t="str">
        <f t="shared" si="49"/>
        <v>OR </v>
      </c>
      <c r="I263" s="1">
        <f t="shared" si="50"/>
        <v>97232</v>
      </c>
      <c r="J263" s="1" t="s">
        <v>0</v>
      </c>
      <c r="K263" s="1" t="s">
        <v>0</v>
      </c>
    </row>
    <row r="264" spans="1:11" ht="12.75">
      <c r="A264" s="1" t="s">
        <v>11</v>
      </c>
      <c r="B264" t="str">
        <f>T("SUPT  COLVILLE AGENCY")</f>
        <v>SUPT  COLVILLE AGENCY</v>
      </c>
      <c r="C264" t="str">
        <f>T("DOIBIA/COLVILLE AGENCY")</f>
        <v>DOIBIA/COLVILLE AGENCY</v>
      </c>
      <c r="D264" t="str">
        <f>T("P.O. BOX 111")</f>
        <v>P.O. BOX 111</v>
      </c>
      <c r="E264" s="1" t="s">
        <v>0</v>
      </c>
      <c r="F264" t="s">
        <v>0</v>
      </c>
      <c r="G264" t="str">
        <f>T("NESPELEM")</f>
        <v>NESPELEM</v>
      </c>
      <c r="H264" t="str">
        <f>T("WA ")</f>
        <v>WA </v>
      </c>
      <c r="I264" s="1">
        <f>N(99155)</f>
        <v>99155</v>
      </c>
      <c r="J264" s="1" t="s">
        <v>0</v>
      </c>
      <c r="K264" s="1" t="s">
        <v>0</v>
      </c>
    </row>
    <row r="265" spans="1:11" ht="12.75">
      <c r="A265" s="1" t="s">
        <v>11</v>
      </c>
      <c r="B265" t="str">
        <f>T("SUPT  FORT HALL AGENCY")</f>
        <v>SUPT  FORT HALL AGENCY</v>
      </c>
      <c r="C265" t="str">
        <f>T("DOI/BIA/FORT HALL AGENCY")</f>
        <v>DOI/BIA/FORT HALL AGENCY</v>
      </c>
      <c r="D265" t="str">
        <f>T("P.O. BOX 220")</f>
        <v>P.O. BOX 220</v>
      </c>
      <c r="E265" s="1" t="s">
        <v>0</v>
      </c>
      <c r="F265" t="s">
        <v>0</v>
      </c>
      <c r="G265" t="str">
        <f>T("FORT HALL")</f>
        <v>FORT HALL</v>
      </c>
      <c r="H265" t="str">
        <f>T("ID ")</f>
        <v>ID </v>
      </c>
      <c r="I265" s="1">
        <f>N(83203)</f>
        <v>83203</v>
      </c>
      <c r="J265" s="1" t="s">
        <v>0</v>
      </c>
      <c r="K265" s="1" t="s">
        <v>0</v>
      </c>
    </row>
    <row r="266" spans="1:11" ht="12.75">
      <c r="A266" s="1" t="s">
        <v>11</v>
      </c>
      <c r="B266" t="str">
        <f>T("MICHAUD POWER IRRIGATION PROJ")</f>
        <v>MICHAUD POWER IRRIGATION PROJ</v>
      </c>
      <c r="C266" t="str">
        <f>T("DOI BUREAU OF INDIAN AFFAIRS")</f>
        <v>DOI BUREAU OF INDIAN AFFAIRS</v>
      </c>
      <c r="D266" t="s">
        <v>0</v>
      </c>
      <c r="E266" s="1" t="s">
        <v>0</v>
      </c>
      <c r="F266" t="str">
        <f>T("ATTN: AUDREY SESSIONS")</f>
        <v>ATTN: AUDREY SESSIONS</v>
      </c>
      <c r="G266" t="str">
        <f>T("WASHINGTON")</f>
        <v>WASHINGTON</v>
      </c>
      <c r="H266" t="str">
        <f>T("DC ")</f>
        <v>DC </v>
      </c>
      <c r="I266" s="1">
        <f>N(20240)</f>
        <v>20240</v>
      </c>
      <c r="J266" s="1" t="s">
        <v>0</v>
      </c>
      <c r="K266" s="1" t="s">
        <v>0</v>
      </c>
    </row>
    <row r="267" spans="1:11" ht="12.75">
      <c r="A267" s="1" t="s">
        <v>11</v>
      </c>
      <c r="B267" t="str">
        <f>T("FORT HALL IRRIGATION PROJ")</f>
        <v>FORT HALL IRRIGATION PROJ</v>
      </c>
      <c r="C267" t="str">
        <f>T("DOI/BIA/FORT HALL IRRIG. PROJ")</f>
        <v>DOI/BIA/FORT HALL IRRIG. PROJ</v>
      </c>
      <c r="D267" t="str">
        <f>T("P.O. BOX 220")</f>
        <v>P.O. BOX 220</v>
      </c>
      <c r="E267" s="1" t="s">
        <v>0</v>
      </c>
      <c r="F267" t="s">
        <v>0</v>
      </c>
      <c r="G267" t="str">
        <f>T("FORT HALL")</f>
        <v>FORT HALL</v>
      </c>
      <c r="H267" t="str">
        <f>T("ID ")</f>
        <v>ID </v>
      </c>
      <c r="I267" s="1">
        <f>N(83203)</f>
        <v>83203</v>
      </c>
      <c r="J267" s="1" t="s">
        <v>0</v>
      </c>
      <c r="K267" s="1" t="s">
        <v>0</v>
      </c>
    </row>
    <row r="268" spans="1:11" ht="12.75">
      <c r="A268" s="1" t="s">
        <v>11</v>
      </c>
      <c r="B268" t="str">
        <f>T("SUPT  OLYMPIC PENINSULA AGENCY")</f>
        <v>SUPT  OLYMPIC PENINSULA AGENCY</v>
      </c>
      <c r="C268" t="str">
        <f>T("DOI/BIA/OLYMPIC PENINSULA AG.")</f>
        <v>DOI/BIA/OLYMPIC PENINSULA AG.</v>
      </c>
      <c r="D268" t="str">
        <f>T("P.O. BOX 48")</f>
        <v>P.O. BOX 48</v>
      </c>
      <c r="E268" s="1" t="s">
        <v>0</v>
      </c>
      <c r="F268" t="s">
        <v>0</v>
      </c>
      <c r="G268" t="str">
        <f>T("ABERDEEN")</f>
        <v>ABERDEEN</v>
      </c>
      <c r="H268" t="str">
        <f>T("WA ")</f>
        <v>WA </v>
      </c>
      <c r="I268" s="1">
        <f>N(98520)</f>
        <v>98520</v>
      </c>
      <c r="J268" s="1" t="s">
        <v>0</v>
      </c>
      <c r="K268" s="1" t="s">
        <v>0</v>
      </c>
    </row>
    <row r="269" spans="1:11" ht="12.75">
      <c r="A269" s="1" t="s">
        <v>11</v>
      </c>
      <c r="B269" t="str">
        <f>T("WAPATO/SATUS IRRIGATION PROJ")</f>
        <v>WAPATO/SATUS IRRIGATION PROJ</v>
      </c>
      <c r="C269" t="str">
        <f>T("DOIBIA/WAPATO IRRIG. PROJ.")</f>
        <v>DOIBIA/WAPATO IRRIG. PROJ.</v>
      </c>
      <c r="D269" t="str">
        <f>T("P.O. BOX 220")</f>
        <v>P.O. BOX 220</v>
      </c>
      <c r="E269" s="1" t="s">
        <v>0</v>
      </c>
      <c r="F269" t="s">
        <v>0</v>
      </c>
      <c r="G269" t="str">
        <f>T("WAPATO")</f>
        <v>WAPATO</v>
      </c>
      <c r="H269" t="str">
        <f>T("WA ")</f>
        <v>WA </v>
      </c>
      <c r="I269" s="1">
        <f>N(98951)</f>
        <v>98951</v>
      </c>
      <c r="J269" s="1" t="s">
        <v>0</v>
      </c>
      <c r="K269" s="1" t="s">
        <v>0</v>
      </c>
    </row>
    <row r="270" spans="1:11" ht="12.75">
      <c r="A270" s="1" t="s">
        <v>11</v>
      </c>
      <c r="B270" t="str">
        <f>T("SUPT  WARM SPRINGS AGENCY")</f>
        <v>SUPT  WARM SPRINGS AGENCY</v>
      </c>
      <c r="C270" t="str">
        <f>T("DOI/BIA/WARM SPRINGS AGENCY")</f>
        <v>DOI/BIA/WARM SPRINGS AGENCY</v>
      </c>
      <c r="D270" t="str">
        <f>T("P.O. BOX 1239")</f>
        <v>P.O. BOX 1239</v>
      </c>
      <c r="E270" s="1" t="s">
        <v>0</v>
      </c>
      <c r="F270" t="s">
        <v>0</v>
      </c>
      <c r="G270" t="str">
        <f>T("WARM SPRINGS")</f>
        <v>WARM SPRINGS</v>
      </c>
      <c r="H270" t="str">
        <f>T("OR ")</f>
        <v>OR </v>
      </c>
      <c r="I270" s="1">
        <f>N(97761)</f>
        <v>97761</v>
      </c>
      <c r="J270" s="1" t="s">
        <v>0</v>
      </c>
      <c r="K270" s="1" t="s">
        <v>0</v>
      </c>
    </row>
    <row r="271" spans="1:11" ht="12.75">
      <c r="A271" s="1" t="s">
        <v>11</v>
      </c>
      <c r="B271" t="str">
        <f>T("SUPT  SPOKANE AGENCY")</f>
        <v>SUPT  SPOKANE AGENCY</v>
      </c>
      <c r="C271" t="str">
        <f>T("DOI/BIA/SPOKANE AGENCY")</f>
        <v>DOI/BIA/SPOKANE AGENCY</v>
      </c>
      <c r="D271" t="str">
        <f>T("P.O. BOX 389")</f>
        <v>P.O. BOX 389</v>
      </c>
      <c r="E271" s="1" t="s">
        <v>0</v>
      </c>
      <c r="F271" t="s">
        <v>0</v>
      </c>
      <c r="G271" t="str">
        <f>T("WELLPINIT")</f>
        <v>WELLPINIT</v>
      </c>
      <c r="H271" t="str">
        <f>T("WA ")</f>
        <v>WA </v>
      </c>
      <c r="I271" s="1">
        <f>N(99040)</f>
        <v>99040</v>
      </c>
      <c r="J271" s="1" t="s">
        <v>0</v>
      </c>
      <c r="K271" s="1" t="s">
        <v>0</v>
      </c>
    </row>
    <row r="272" spans="1:11" ht="12.75">
      <c r="A272" s="1" t="s">
        <v>11</v>
      </c>
      <c r="B272" t="str">
        <f>T("SUPT  FLATHEAD AGENCY")</f>
        <v>SUPT  FLATHEAD AGENCY</v>
      </c>
      <c r="C272" t="str">
        <f>T("DOI/BIA/FLATHEAD AGENCY")</f>
        <v>DOI/BIA/FLATHEAD AGENCY</v>
      </c>
      <c r="D272" t="str">
        <f>T("BOX A")</f>
        <v>BOX A</v>
      </c>
      <c r="E272" s="1" t="s">
        <v>0</v>
      </c>
      <c r="F272" t="s">
        <v>0</v>
      </c>
      <c r="G272" t="str">
        <f>T("PABLO")</f>
        <v>PABLO</v>
      </c>
      <c r="H272" t="str">
        <f>T("MT ")</f>
        <v>MT </v>
      </c>
      <c r="I272" s="1">
        <f>N(59855)</f>
        <v>59855</v>
      </c>
      <c r="J272" s="1" t="s">
        <v>0</v>
      </c>
      <c r="K272" s="1" t="s">
        <v>0</v>
      </c>
    </row>
    <row r="273" spans="1:11" ht="12.75">
      <c r="A273" s="1" t="s">
        <v>11</v>
      </c>
      <c r="B273" t="str">
        <f>T("SUPT  METLAKATLA AGENCY")</f>
        <v>SUPT  METLAKATLA AGENCY</v>
      </c>
      <c r="C273" t="str">
        <f>T("DOI/BIA/METLAKATLA FIELD STA.")</f>
        <v>DOI/BIA/METLAKATLA FIELD STA.</v>
      </c>
      <c r="D273" t="str">
        <f>T("P.O. BOX 450")</f>
        <v>P.O. BOX 450</v>
      </c>
      <c r="E273" s="1" t="s">
        <v>0</v>
      </c>
      <c r="F273" t="s">
        <v>0</v>
      </c>
      <c r="G273" t="str">
        <f>T("METLAKATLA")</f>
        <v>METLAKATLA</v>
      </c>
      <c r="H273" t="str">
        <f>T("AK ")</f>
        <v>AK </v>
      </c>
      <c r="I273" s="1">
        <f>N(99926)</f>
        <v>99926</v>
      </c>
      <c r="J273" s="1" t="s">
        <v>0</v>
      </c>
      <c r="K273" s="1" t="s">
        <v>0</v>
      </c>
    </row>
    <row r="274" spans="1:11" ht="12.75">
      <c r="A274" s="1" t="s">
        <v>11</v>
      </c>
      <c r="B274" t="str">
        <f>T("FORESTRY AND FIRE")</f>
        <v>FORESTRY AND FIRE</v>
      </c>
      <c r="C274" t="str">
        <f aca="true" t="shared" si="51" ref="C274:C279">T("DOI/BIA/EASTERN REGIONAL")</f>
        <v>DOI/BIA/EASTERN REGIONAL</v>
      </c>
      <c r="D274" t="str">
        <f aca="true" t="shared" si="52" ref="D274:D279">T("711 STEWARTS FERRY PIKE")</f>
        <v>711 STEWARTS FERRY PIKE</v>
      </c>
      <c r="E274" s="1" t="s">
        <v>0</v>
      </c>
      <c r="F274" t="s">
        <v>0</v>
      </c>
      <c r="G274" t="str">
        <f aca="true" t="shared" si="53" ref="G274:G279">T("NASHVILLE")</f>
        <v>NASHVILLE</v>
      </c>
      <c r="H274" t="str">
        <f aca="true" t="shared" si="54" ref="H274:H279">T("TN ")</f>
        <v>TN </v>
      </c>
      <c r="I274" s="1">
        <f aca="true" t="shared" si="55" ref="I274:I279">N(37214)</f>
        <v>37214</v>
      </c>
      <c r="J274" s="1" t="str">
        <f aca="true" t="shared" si="56" ref="J274:J279">T("615 467 2926")</f>
        <v>615 467 2926</v>
      </c>
      <c r="K274" s="1" t="str">
        <f aca="true" t="shared" si="57" ref="K274:K279">T("615 467 1701")</f>
        <v>615 467 1701</v>
      </c>
    </row>
    <row r="275" spans="1:11" ht="12.75">
      <c r="A275" s="1" t="s">
        <v>11</v>
      </c>
      <c r="B275" t="str">
        <f>T("DIV OF REAL ESTATE SERVICES")</f>
        <v>DIV OF REAL ESTATE SERVICES</v>
      </c>
      <c r="C275" t="str">
        <f t="shared" si="51"/>
        <v>DOI/BIA/EASTERN REGIONAL</v>
      </c>
      <c r="D275" t="str">
        <f t="shared" si="52"/>
        <v>711 STEWARTS FERRY PIKE</v>
      </c>
      <c r="E275" s="1" t="s">
        <v>0</v>
      </c>
      <c r="F275" t="s">
        <v>0</v>
      </c>
      <c r="G275" t="str">
        <f t="shared" si="53"/>
        <v>NASHVILLE</v>
      </c>
      <c r="H275" t="str">
        <f t="shared" si="54"/>
        <v>TN </v>
      </c>
      <c r="I275" s="1">
        <f t="shared" si="55"/>
        <v>37214</v>
      </c>
      <c r="J275" s="1" t="str">
        <f t="shared" si="56"/>
        <v>615 467 2926</v>
      </c>
      <c r="K275" s="1" t="str">
        <f t="shared" si="57"/>
        <v>615 467 1701</v>
      </c>
    </row>
    <row r="276" spans="1:11" ht="12.75">
      <c r="A276" s="1" t="s">
        <v>11</v>
      </c>
      <c r="B276" t="str">
        <f>T("DIV OF NATURAL RESOURCES")</f>
        <v>DIV OF NATURAL RESOURCES</v>
      </c>
      <c r="C276" t="str">
        <f t="shared" si="51"/>
        <v>DOI/BIA/EASTERN REGIONAL</v>
      </c>
      <c r="D276" t="str">
        <f t="shared" si="52"/>
        <v>711 STEWARTS FERRY PIKE</v>
      </c>
      <c r="E276" s="1" t="s">
        <v>0</v>
      </c>
      <c r="F276" t="s">
        <v>0</v>
      </c>
      <c r="G276" t="str">
        <f t="shared" si="53"/>
        <v>NASHVILLE</v>
      </c>
      <c r="H276" t="str">
        <f t="shared" si="54"/>
        <v>TN </v>
      </c>
      <c r="I276" s="1">
        <f t="shared" si="55"/>
        <v>37214</v>
      </c>
      <c r="J276" s="1" t="str">
        <f t="shared" si="56"/>
        <v>615 467 2926</v>
      </c>
      <c r="K276" s="1" t="str">
        <f t="shared" si="57"/>
        <v>615 467 1701</v>
      </c>
    </row>
    <row r="277" spans="1:11" ht="12.75">
      <c r="A277" s="1" t="s">
        <v>11</v>
      </c>
      <c r="B277" t="str">
        <f>T("DIV OF TRANSPORTATION")</f>
        <v>DIV OF TRANSPORTATION</v>
      </c>
      <c r="C277" t="str">
        <f t="shared" si="51"/>
        <v>DOI/BIA/EASTERN REGIONAL</v>
      </c>
      <c r="D277" t="str">
        <f t="shared" si="52"/>
        <v>711 STEWARTS FERRY PIKE</v>
      </c>
      <c r="E277" s="1" t="s">
        <v>0</v>
      </c>
      <c r="F277" t="s">
        <v>0</v>
      </c>
      <c r="G277" t="str">
        <f t="shared" si="53"/>
        <v>NASHVILLE</v>
      </c>
      <c r="H277" t="str">
        <f t="shared" si="54"/>
        <v>TN </v>
      </c>
      <c r="I277" s="1">
        <f t="shared" si="55"/>
        <v>37214</v>
      </c>
      <c r="J277" s="1" t="str">
        <f t="shared" si="56"/>
        <v>615 467 2926</v>
      </c>
      <c r="K277" s="1" t="str">
        <f t="shared" si="57"/>
        <v>615 467 1701</v>
      </c>
    </row>
    <row r="278" spans="1:11" ht="12.75">
      <c r="A278" s="1" t="s">
        <v>11</v>
      </c>
      <c r="B278" t="str">
        <f>T("SUPT  CHEROKEE AGENCY")</f>
        <v>SUPT  CHEROKEE AGENCY</v>
      </c>
      <c r="C278" t="str">
        <f t="shared" si="51"/>
        <v>DOI/BIA/EASTERN REGIONAL</v>
      </c>
      <c r="D278" t="str">
        <f t="shared" si="52"/>
        <v>711 STEWARTS FERRY PIKE</v>
      </c>
      <c r="E278" s="1" t="s">
        <v>0</v>
      </c>
      <c r="F278" t="s">
        <v>0</v>
      </c>
      <c r="G278" t="str">
        <f t="shared" si="53"/>
        <v>NASHVILLE</v>
      </c>
      <c r="H278" t="str">
        <f t="shared" si="54"/>
        <v>TN </v>
      </c>
      <c r="I278" s="1">
        <f t="shared" si="55"/>
        <v>37214</v>
      </c>
      <c r="J278" s="1" t="str">
        <f t="shared" si="56"/>
        <v>615 467 2926</v>
      </c>
      <c r="K278" s="1" t="str">
        <f t="shared" si="57"/>
        <v>615 467 1701</v>
      </c>
    </row>
    <row r="279" spans="1:11" ht="12.75">
      <c r="A279" s="1" t="s">
        <v>11</v>
      </c>
      <c r="B279" t="str">
        <f>T("SUPT  SEMINOLE AGENCY")</f>
        <v>SUPT  SEMINOLE AGENCY</v>
      </c>
      <c r="C279" t="str">
        <f t="shared" si="51"/>
        <v>DOI/BIA/EASTERN REGIONAL</v>
      </c>
      <c r="D279" t="str">
        <f t="shared" si="52"/>
        <v>711 STEWARTS FERRY PIKE</v>
      </c>
      <c r="E279" s="1" t="s">
        <v>0</v>
      </c>
      <c r="F279" t="s">
        <v>0</v>
      </c>
      <c r="G279" t="str">
        <f t="shared" si="53"/>
        <v>NASHVILLE</v>
      </c>
      <c r="H279" t="str">
        <f t="shared" si="54"/>
        <v>TN </v>
      </c>
      <c r="I279" s="1">
        <f t="shared" si="55"/>
        <v>37214</v>
      </c>
      <c r="J279" s="1" t="str">
        <f t="shared" si="56"/>
        <v>615 467 2926</v>
      </c>
      <c r="K279" s="1" t="str">
        <f t="shared" si="57"/>
        <v>615 467 1701</v>
      </c>
    </row>
    <row r="280" spans="1:11" ht="12.75">
      <c r="A280" s="1" t="s">
        <v>11</v>
      </c>
      <c r="B280" t="str">
        <f>T("LAND TITLES &amp; RECORDS OFC")</f>
        <v>LAND TITLES &amp; RECORDS OFC</v>
      </c>
      <c r="C280" t="str">
        <f aca="true" t="shared" si="58" ref="C280:C321">T("DOI/BIA/GREAT PLAINS REGIONAL OFFICE")</f>
        <v>DOI/BIA/GREAT PLAINS REGIONAL OFFICE</v>
      </c>
      <c r="D280" t="str">
        <f aca="true" t="shared" si="59" ref="D280:D321">T("115 4TH AVENUE  SE")</f>
        <v>115 4TH AVENUE  SE</v>
      </c>
      <c r="E280" s="1" t="s">
        <v>0</v>
      </c>
      <c r="F280" t="s">
        <v>0</v>
      </c>
      <c r="G280" t="str">
        <f aca="true" t="shared" si="60" ref="G280:G321">T("ABERDEEN")</f>
        <v>ABERDEEN</v>
      </c>
      <c r="H280" t="str">
        <f aca="true" t="shared" si="61" ref="H280:H321">T("SD ")</f>
        <v>SD </v>
      </c>
      <c r="I280" s="1" t="str">
        <f aca="true" t="shared" si="62" ref="I280:I321">T("57401 4382")</f>
        <v>57401 4382</v>
      </c>
      <c r="J280" s="1" t="s">
        <v>0</v>
      </c>
      <c r="K280" s="1" t="s">
        <v>0</v>
      </c>
    </row>
    <row r="281" spans="1:11" ht="12.75">
      <c r="A281" s="1" t="s">
        <v>11</v>
      </c>
      <c r="B281" t="str">
        <f>T("BR OF ACQUISTN &amp; PROPTY")</f>
        <v>BR OF ACQUISTN &amp; PROPTY</v>
      </c>
      <c r="C281" t="str">
        <f t="shared" si="58"/>
        <v>DOI/BIA/GREAT PLAINS REGIONAL OFFICE</v>
      </c>
      <c r="D281" t="str">
        <f t="shared" si="59"/>
        <v>115 4TH AVENUE  SE</v>
      </c>
      <c r="E281" s="1" t="s">
        <v>0</v>
      </c>
      <c r="F281" t="s">
        <v>0</v>
      </c>
      <c r="G281" t="str">
        <f t="shared" si="60"/>
        <v>ABERDEEN</v>
      </c>
      <c r="H281" t="str">
        <f t="shared" si="61"/>
        <v>SD </v>
      </c>
      <c r="I281" s="1" t="str">
        <f t="shared" si="62"/>
        <v>57401 4382</v>
      </c>
      <c r="J281" s="1" t="s">
        <v>0</v>
      </c>
      <c r="K281" s="1" t="s">
        <v>0</v>
      </c>
    </row>
    <row r="282" spans="1:11" ht="12.75">
      <c r="A282" s="1" t="s">
        <v>11</v>
      </c>
      <c r="B282" t="str">
        <f>T("FACILITIES MANAGEMENT")</f>
        <v>FACILITIES MANAGEMENT</v>
      </c>
      <c r="C282" t="str">
        <f t="shared" si="58"/>
        <v>DOI/BIA/GREAT PLAINS REGIONAL OFFICE</v>
      </c>
      <c r="D282" t="str">
        <f t="shared" si="59"/>
        <v>115 4TH AVENUE  SE</v>
      </c>
      <c r="E282" s="1" t="s">
        <v>0</v>
      </c>
      <c r="F282" t="s">
        <v>0</v>
      </c>
      <c r="G282" t="str">
        <f t="shared" si="60"/>
        <v>ABERDEEN</v>
      </c>
      <c r="H282" t="str">
        <f t="shared" si="61"/>
        <v>SD </v>
      </c>
      <c r="I282" s="1" t="str">
        <f t="shared" si="62"/>
        <v>57401 4382</v>
      </c>
      <c r="J282" s="1" t="s">
        <v>0</v>
      </c>
      <c r="K282" s="1" t="s">
        <v>0</v>
      </c>
    </row>
    <row r="283" spans="1:11" ht="12.75">
      <c r="A283" s="1" t="s">
        <v>11</v>
      </c>
      <c r="B283" t="str">
        <f>T("NATURAL RESOURCES")</f>
        <v>NATURAL RESOURCES</v>
      </c>
      <c r="C283" t="str">
        <f t="shared" si="58"/>
        <v>DOI/BIA/GREAT PLAINS REGIONAL OFFICE</v>
      </c>
      <c r="D283" t="str">
        <f t="shared" si="59"/>
        <v>115 4TH AVENUE  SE</v>
      </c>
      <c r="E283" s="1" t="s">
        <v>0</v>
      </c>
      <c r="F283" t="s">
        <v>0</v>
      </c>
      <c r="G283" t="str">
        <f t="shared" si="60"/>
        <v>ABERDEEN</v>
      </c>
      <c r="H283" t="str">
        <f t="shared" si="61"/>
        <v>SD </v>
      </c>
      <c r="I283" s="1" t="str">
        <f t="shared" si="62"/>
        <v>57401 4382</v>
      </c>
      <c r="J283" s="1" t="s">
        <v>0</v>
      </c>
      <c r="K283" s="1" t="s">
        <v>0</v>
      </c>
    </row>
    <row r="284" spans="1:11" ht="12.75">
      <c r="A284" s="1" t="s">
        <v>11</v>
      </c>
      <c r="B284" t="str">
        <f>T("REAL ESTATE SERVICES")</f>
        <v>REAL ESTATE SERVICES</v>
      </c>
      <c r="C284" t="str">
        <f t="shared" si="58"/>
        <v>DOI/BIA/GREAT PLAINS REGIONAL OFFICE</v>
      </c>
      <c r="D284" t="str">
        <f t="shared" si="59"/>
        <v>115 4TH AVENUE  SE</v>
      </c>
      <c r="E284" s="1" t="s">
        <v>0</v>
      </c>
      <c r="F284" t="s">
        <v>0</v>
      </c>
      <c r="G284" t="str">
        <f t="shared" si="60"/>
        <v>ABERDEEN</v>
      </c>
      <c r="H284" t="str">
        <f t="shared" si="61"/>
        <v>SD </v>
      </c>
      <c r="I284" s="1" t="str">
        <f t="shared" si="62"/>
        <v>57401 4382</v>
      </c>
      <c r="J284" s="1" t="s">
        <v>0</v>
      </c>
      <c r="K284" s="1" t="s">
        <v>0</v>
      </c>
    </row>
    <row r="285" spans="1:11" ht="12.75">
      <c r="A285" s="1" t="s">
        <v>11</v>
      </c>
      <c r="B285" t="str">
        <f>T("TRANSPORTATION")</f>
        <v>TRANSPORTATION</v>
      </c>
      <c r="C285" t="str">
        <f t="shared" si="58"/>
        <v>DOI/BIA/GREAT PLAINS REGIONAL OFFICE</v>
      </c>
      <c r="D285" t="str">
        <f t="shared" si="59"/>
        <v>115 4TH AVENUE  SE</v>
      </c>
      <c r="E285" s="1" t="s">
        <v>0</v>
      </c>
      <c r="F285" t="s">
        <v>0</v>
      </c>
      <c r="G285" t="str">
        <f t="shared" si="60"/>
        <v>ABERDEEN</v>
      </c>
      <c r="H285" t="str">
        <f t="shared" si="61"/>
        <v>SD </v>
      </c>
      <c r="I285" s="1" t="str">
        <f t="shared" si="62"/>
        <v>57401 4382</v>
      </c>
      <c r="J285" s="1" t="s">
        <v>0</v>
      </c>
      <c r="K285" s="1" t="s">
        <v>0</v>
      </c>
    </row>
    <row r="286" spans="1:11" ht="12.75">
      <c r="A286" s="1" t="s">
        <v>11</v>
      </c>
      <c r="B286" t="str">
        <f>T("TRIBAL OPERATIONS")</f>
        <v>TRIBAL OPERATIONS</v>
      </c>
      <c r="C286" t="str">
        <f t="shared" si="58"/>
        <v>DOI/BIA/GREAT PLAINS REGIONAL OFFICE</v>
      </c>
      <c r="D286" t="str">
        <f t="shared" si="59"/>
        <v>115 4TH AVENUE  SE</v>
      </c>
      <c r="E286" s="1" t="s">
        <v>0</v>
      </c>
      <c r="F286" t="s">
        <v>0</v>
      </c>
      <c r="G286" t="str">
        <f t="shared" si="60"/>
        <v>ABERDEEN</v>
      </c>
      <c r="H286" t="str">
        <f t="shared" si="61"/>
        <v>SD </v>
      </c>
      <c r="I286" s="1" t="str">
        <f t="shared" si="62"/>
        <v>57401 4382</v>
      </c>
      <c r="J286" s="1" t="s">
        <v>0</v>
      </c>
      <c r="K286" s="1" t="s">
        <v>0</v>
      </c>
    </row>
    <row r="287" spans="1:11" ht="12.75">
      <c r="A287" s="1" t="s">
        <v>11</v>
      </c>
      <c r="B287" t="str">
        <f>T("BR OF ADMIN")</f>
        <v>BR OF ADMIN</v>
      </c>
      <c r="C287" t="str">
        <f t="shared" si="58"/>
        <v>DOI/BIA/GREAT PLAINS REGIONAL OFFICE</v>
      </c>
      <c r="D287" t="str">
        <f t="shared" si="59"/>
        <v>115 4TH AVENUE  SE</v>
      </c>
      <c r="E287" s="1" t="s">
        <v>0</v>
      </c>
      <c r="F287" t="s">
        <v>0</v>
      </c>
      <c r="G287" t="str">
        <f t="shared" si="60"/>
        <v>ABERDEEN</v>
      </c>
      <c r="H287" t="str">
        <f t="shared" si="61"/>
        <v>SD </v>
      </c>
      <c r="I287" s="1" t="str">
        <f t="shared" si="62"/>
        <v>57401 4382</v>
      </c>
      <c r="J287" s="1" t="s">
        <v>0</v>
      </c>
      <c r="K287" s="1" t="s">
        <v>0</v>
      </c>
    </row>
    <row r="288" spans="1:11" ht="12.75">
      <c r="A288" s="1" t="s">
        <v>11</v>
      </c>
      <c r="B288" t="str">
        <f>T("NATURAL RESOURCES")</f>
        <v>NATURAL RESOURCES</v>
      </c>
      <c r="C288" t="str">
        <f t="shared" si="58"/>
        <v>DOI/BIA/GREAT PLAINS REGIONAL OFFICE</v>
      </c>
      <c r="D288" t="str">
        <f t="shared" si="59"/>
        <v>115 4TH AVENUE  SE</v>
      </c>
      <c r="E288" s="1" t="s">
        <v>0</v>
      </c>
      <c r="F288" t="s">
        <v>0</v>
      </c>
      <c r="G288" t="str">
        <f t="shared" si="60"/>
        <v>ABERDEEN</v>
      </c>
      <c r="H288" t="str">
        <f t="shared" si="61"/>
        <v>SD </v>
      </c>
      <c r="I288" s="1" t="str">
        <f t="shared" si="62"/>
        <v>57401 4382</v>
      </c>
      <c r="J288" s="1" t="s">
        <v>0</v>
      </c>
      <c r="K288" s="1" t="s">
        <v>0</v>
      </c>
    </row>
    <row r="289" spans="1:11" ht="12.75">
      <c r="A289" s="1" t="s">
        <v>11</v>
      </c>
      <c r="B289" t="str">
        <f>T("BR OF ADMIN")</f>
        <v>BR OF ADMIN</v>
      </c>
      <c r="C289" t="str">
        <f t="shared" si="58"/>
        <v>DOI/BIA/GREAT PLAINS REGIONAL OFFICE</v>
      </c>
      <c r="D289" t="str">
        <f t="shared" si="59"/>
        <v>115 4TH AVENUE  SE</v>
      </c>
      <c r="E289" s="1" t="s">
        <v>0</v>
      </c>
      <c r="F289" t="s">
        <v>0</v>
      </c>
      <c r="G289" t="str">
        <f t="shared" si="60"/>
        <v>ABERDEEN</v>
      </c>
      <c r="H289" t="str">
        <f t="shared" si="61"/>
        <v>SD </v>
      </c>
      <c r="I289" s="1" t="str">
        <f t="shared" si="62"/>
        <v>57401 4382</v>
      </c>
      <c r="J289" s="1" t="s">
        <v>0</v>
      </c>
      <c r="K289" s="1" t="s">
        <v>0</v>
      </c>
    </row>
    <row r="290" spans="1:11" ht="12.75">
      <c r="A290" s="1" t="s">
        <v>11</v>
      </c>
      <c r="B290" t="str">
        <f>T("FACILITIES MANAGEMENT")</f>
        <v>FACILITIES MANAGEMENT</v>
      </c>
      <c r="C290" t="str">
        <f t="shared" si="58"/>
        <v>DOI/BIA/GREAT PLAINS REGIONAL OFFICE</v>
      </c>
      <c r="D290" t="str">
        <f t="shared" si="59"/>
        <v>115 4TH AVENUE  SE</v>
      </c>
      <c r="E290" s="1" t="s">
        <v>0</v>
      </c>
      <c r="F290" t="s">
        <v>0</v>
      </c>
      <c r="G290" t="str">
        <f t="shared" si="60"/>
        <v>ABERDEEN</v>
      </c>
      <c r="H290" t="str">
        <f t="shared" si="61"/>
        <v>SD </v>
      </c>
      <c r="I290" s="1" t="str">
        <f t="shared" si="62"/>
        <v>57401 4382</v>
      </c>
      <c r="J290" s="1" t="s">
        <v>0</v>
      </c>
      <c r="K290" s="1" t="s">
        <v>0</v>
      </c>
    </row>
    <row r="291" spans="1:11" ht="12.75">
      <c r="A291" s="1" t="s">
        <v>11</v>
      </c>
      <c r="B291" t="str">
        <f>T("REAL ESTATE SERVICES")</f>
        <v>REAL ESTATE SERVICES</v>
      </c>
      <c r="C291" t="str">
        <f t="shared" si="58"/>
        <v>DOI/BIA/GREAT PLAINS REGIONAL OFFICE</v>
      </c>
      <c r="D291" t="str">
        <f t="shared" si="59"/>
        <v>115 4TH AVENUE  SE</v>
      </c>
      <c r="E291" s="1" t="s">
        <v>0</v>
      </c>
      <c r="F291" t="s">
        <v>0</v>
      </c>
      <c r="G291" t="str">
        <f t="shared" si="60"/>
        <v>ABERDEEN</v>
      </c>
      <c r="H291" t="str">
        <f t="shared" si="61"/>
        <v>SD </v>
      </c>
      <c r="I291" s="1" t="str">
        <f t="shared" si="62"/>
        <v>57401 4382</v>
      </c>
      <c r="J291" s="1" t="s">
        <v>0</v>
      </c>
      <c r="K291" s="1" t="s">
        <v>0</v>
      </c>
    </row>
    <row r="292" spans="1:11" ht="12.75">
      <c r="A292" s="1" t="s">
        <v>11</v>
      </c>
      <c r="B292" t="str">
        <f>T("TRANSPORTATION")</f>
        <v>TRANSPORTATION</v>
      </c>
      <c r="C292" t="str">
        <f t="shared" si="58"/>
        <v>DOI/BIA/GREAT PLAINS REGIONAL OFFICE</v>
      </c>
      <c r="D292" t="str">
        <f t="shared" si="59"/>
        <v>115 4TH AVENUE  SE</v>
      </c>
      <c r="E292" s="1" t="s">
        <v>0</v>
      </c>
      <c r="F292" t="s">
        <v>0</v>
      </c>
      <c r="G292" t="str">
        <f t="shared" si="60"/>
        <v>ABERDEEN</v>
      </c>
      <c r="H292" t="str">
        <f t="shared" si="61"/>
        <v>SD </v>
      </c>
      <c r="I292" s="1" t="str">
        <f t="shared" si="62"/>
        <v>57401 4382</v>
      </c>
      <c r="J292" s="1" t="s">
        <v>0</v>
      </c>
      <c r="K292" s="1" t="s">
        <v>0</v>
      </c>
    </row>
    <row r="293" spans="1:11" ht="12.75">
      <c r="A293" s="1" t="s">
        <v>11</v>
      </c>
      <c r="B293" t="str">
        <f>T("NATURAL RESOURCES")</f>
        <v>NATURAL RESOURCES</v>
      </c>
      <c r="C293" t="str">
        <f t="shared" si="58"/>
        <v>DOI/BIA/GREAT PLAINS REGIONAL OFFICE</v>
      </c>
      <c r="D293" t="str">
        <f t="shared" si="59"/>
        <v>115 4TH AVENUE  SE</v>
      </c>
      <c r="E293" s="1" t="s">
        <v>0</v>
      </c>
      <c r="F293" t="s">
        <v>0</v>
      </c>
      <c r="G293" t="str">
        <f t="shared" si="60"/>
        <v>ABERDEEN</v>
      </c>
      <c r="H293" t="str">
        <f t="shared" si="61"/>
        <v>SD </v>
      </c>
      <c r="I293" s="1" t="str">
        <f t="shared" si="62"/>
        <v>57401 4382</v>
      </c>
      <c r="J293" s="1" t="s">
        <v>0</v>
      </c>
      <c r="K293" s="1" t="s">
        <v>0</v>
      </c>
    </row>
    <row r="294" spans="1:11" ht="12.75">
      <c r="A294" s="1" t="s">
        <v>11</v>
      </c>
      <c r="B294" t="str">
        <f>T("REAL ESTATE SERVICES")</f>
        <v>REAL ESTATE SERVICES</v>
      </c>
      <c r="C294" t="str">
        <f t="shared" si="58"/>
        <v>DOI/BIA/GREAT PLAINS REGIONAL OFFICE</v>
      </c>
      <c r="D294" t="str">
        <f t="shared" si="59"/>
        <v>115 4TH AVENUE  SE</v>
      </c>
      <c r="E294" s="1" t="s">
        <v>0</v>
      </c>
      <c r="F294" t="s">
        <v>0</v>
      </c>
      <c r="G294" t="str">
        <f t="shared" si="60"/>
        <v>ABERDEEN</v>
      </c>
      <c r="H294" t="str">
        <f t="shared" si="61"/>
        <v>SD </v>
      </c>
      <c r="I294" s="1" t="str">
        <f t="shared" si="62"/>
        <v>57401 4382</v>
      </c>
      <c r="J294" s="1" t="s">
        <v>0</v>
      </c>
      <c r="K294" s="1" t="s">
        <v>0</v>
      </c>
    </row>
    <row r="295" spans="1:11" ht="12.75">
      <c r="A295" s="1" t="s">
        <v>11</v>
      </c>
      <c r="B295" t="str">
        <f>T("HUMAN SERVICES")</f>
        <v>HUMAN SERVICES</v>
      </c>
      <c r="C295" t="str">
        <f t="shared" si="58"/>
        <v>DOI/BIA/GREAT PLAINS REGIONAL OFFICE</v>
      </c>
      <c r="D295" t="str">
        <f t="shared" si="59"/>
        <v>115 4TH AVENUE  SE</v>
      </c>
      <c r="E295" s="1" t="s">
        <v>0</v>
      </c>
      <c r="F295" t="s">
        <v>0</v>
      </c>
      <c r="G295" t="str">
        <f t="shared" si="60"/>
        <v>ABERDEEN</v>
      </c>
      <c r="H295" t="str">
        <f t="shared" si="61"/>
        <v>SD </v>
      </c>
      <c r="I295" s="1" t="str">
        <f t="shared" si="62"/>
        <v>57401 4382</v>
      </c>
      <c r="J295" s="1" t="s">
        <v>0</v>
      </c>
      <c r="K295" s="1" t="s">
        <v>0</v>
      </c>
    </row>
    <row r="296" spans="1:11" ht="12.75">
      <c r="A296" s="1" t="s">
        <v>11</v>
      </c>
      <c r="B296" t="str">
        <f>T("BR OF ADMIN")</f>
        <v>BR OF ADMIN</v>
      </c>
      <c r="C296" t="str">
        <f t="shared" si="58"/>
        <v>DOI/BIA/GREAT PLAINS REGIONAL OFFICE</v>
      </c>
      <c r="D296" t="str">
        <f t="shared" si="59"/>
        <v>115 4TH AVENUE  SE</v>
      </c>
      <c r="E296" s="1" t="s">
        <v>0</v>
      </c>
      <c r="F296" t="s">
        <v>0</v>
      </c>
      <c r="G296" t="str">
        <f t="shared" si="60"/>
        <v>ABERDEEN</v>
      </c>
      <c r="H296" t="str">
        <f t="shared" si="61"/>
        <v>SD </v>
      </c>
      <c r="I296" s="1" t="str">
        <f t="shared" si="62"/>
        <v>57401 4382</v>
      </c>
      <c r="J296" s="1" t="s">
        <v>0</v>
      </c>
      <c r="K296" s="1" t="s">
        <v>0</v>
      </c>
    </row>
    <row r="297" spans="1:11" ht="12.75">
      <c r="A297" s="1" t="s">
        <v>11</v>
      </c>
      <c r="B297" t="str">
        <f>T("FACILITIES MANAGEMENT")</f>
        <v>FACILITIES MANAGEMENT</v>
      </c>
      <c r="C297" t="str">
        <f t="shared" si="58"/>
        <v>DOI/BIA/GREAT PLAINS REGIONAL OFFICE</v>
      </c>
      <c r="D297" t="str">
        <f t="shared" si="59"/>
        <v>115 4TH AVENUE  SE</v>
      </c>
      <c r="E297" s="1" t="s">
        <v>0</v>
      </c>
      <c r="F297" t="s">
        <v>0</v>
      </c>
      <c r="G297" t="str">
        <f t="shared" si="60"/>
        <v>ABERDEEN</v>
      </c>
      <c r="H297" t="str">
        <f t="shared" si="61"/>
        <v>SD </v>
      </c>
      <c r="I297" s="1" t="str">
        <f t="shared" si="62"/>
        <v>57401 4382</v>
      </c>
      <c r="J297" s="1" t="s">
        <v>0</v>
      </c>
      <c r="K297" s="1" t="s">
        <v>0</v>
      </c>
    </row>
    <row r="298" spans="1:11" ht="12.75">
      <c r="A298" s="1" t="s">
        <v>11</v>
      </c>
      <c r="B298" t="str">
        <f>T("NATURAL RESOURCES")</f>
        <v>NATURAL RESOURCES</v>
      </c>
      <c r="C298" t="str">
        <f t="shared" si="58"/>
        <v>DOI/BIA/GREAT PLAINS REGIONAL OFFICE</v>
      </c>
      <c r="D298" t="str">
        <f t="shared" si="59"/>
        <v>115 4TH AVENUE  SE</v>
      </c>
      <c r="E298" s="1" t="s">
        <v>0</v>
      </c>
      <c r="F298" t="s">
        <v>0</v>
      </c>
      <c r="G298" t="str">
        <f t="shared" si="60"/>
        <v>ABERDEEN</v>
      </c>
      <c r="H298" t="str">
        <f t="shared" si="61"/>
        <v>SD </v>
      </c>
      <c r="I298" s="1" t="str">
        <f t="shared" si="62"/>
        <v>57401 4382</v>
      </c>
      <c r="J298" s="1" t="s">
        <v>0</v>
      </c>
      <c r="K298" s="1" t="s">
        <v>0</v>
      </c>
    </row>
    <row r="299" spans="1:11" ht="12.75">
      <c r="A299" s="1" t="s">
        <v>11</v>
      </c>
      <c r="B299" t="str">
        <f>T("FORESTRY")</f>
        <v>FORESTRY</v>
      </c>
      <c r="C299" t="str">
        <f t="shared" si="58"/>
        <v>DOI/BIA/GREAT PLAINS REGIONAL OFFICE</v>
      </c>
      <c r="D299" t="str">
        <f t="shared" si="59"/>
        <v>115 4TH AVENUE  SE</v>
      </c>
      <c r="E299" s="1" t="s">
        <v>0</v>
      </c>
      <c r="F299" t="s">
        <v>0</v>
      </c>
      <c r="G299" t="str">
        <f t="shared" si="60"/>
        <v>ABERDEEN</v>
      </c>
      <c r="H299" t="str">
        <f t="shared" si="61"/>
        <v>SD </v>
      </c>
      <c r="I299" s="1" t="str">
        <f t="shared" si="62"/>
        <v>57401 4382</v>
      </c>
      <c r="J299" s="1" t="s">
        <v>0</v>
      </c>
      <c r="K299" s="1" t="s">
        <v>0</v>
      </c>
    </row>
    <row r="300" spans="1:11" ht="12.75">
      <c r="A300" s="1" t="s">
        <v>11</v>
      </c>
      <c r="B300" t="str">
        <f>T("NATURAL RESOURCES")</f>
        <v>NATURAL RESOURCES</v>
      </c>
      <c r="C300" t="str">
        <f t="shared" si="58"/>
        <v>DOI/BIA/GREAT PLAINS REGIONAL OFFICE</v>
      </c>
      <c r="D300" t="str">
        <f t="shared" si="59"/>
        <v>115 4TH AVENUE  SE</v>
      </c>
      <c r="E300" s="1" t="s">
        <v>0</v>
      </c>
      <c r="F300" t="s">
        <v>0</v>
      </c>
      <c r="G300" t="str">
        <f t="shared" si="60"/>
        <v>ABERDEEN</v>
      </c>
      <c r="H300" t="str">
        <f t="shared" si="61"/>
        <v>SD </v>
      </c>
      <c r="I300" s="1" t="str">
        <f t="shared" si="62"/>
        <v>57401 4382</v>
      </c>
      <c r="J300" s="1" t="s">
        <v>0</v>
      </c>
      <c r="K300" s="1" t="s">
        <v>0</v>
      </c>
    </row>
    <row r="301" spans="1:11" ht="12.75">
      <c r="A301" s="1" t="s">
        <v>11</v>
      </c>
      <c r="B301" t="str">
        <f>T("REAL ESTATE SERVICES")</f>
        <v>REAL ESTATE SERVICES</v>
      </c>
      <c r="C301" t="str">
        <f t="shared" si="58"/>
        <v>DOI/BIA/GREAT PLAINS REGIONAL OFFICE</v>
      </c>
      <c r="D301" t="str">
        <f t="shared" si="59"/>
        <v>115 4TH AVENUE  SE</v>
      </c>
      <c r="E301" s="1" t="s">
        <v>0</v>
      </c>
      <c r="F301" t="s">
        <v>0</v>
      </c>
      <c r="G301" t="str">
        <f t="shared" si="60"/>
        <v>ABERDEEN</v>
      </c>
      <c r="H301" t="str">
        <f t="shared" si="61"/>
        <v>SD </v>
      </c>
      <c r="I301" s="1" t="str">
        <f t="shared" si="62"/>
        <v>57401 4382</v>
      </c>
      <c r="J301" s="1" t="s">
        <v>0</v>
      </c>
      <c r="K301" s="1" t="s">
        <v>0</v>
      </c>
    </row>
    <row r="302" spans="1:11" ht="12.75">
      <c r="A302" s="1" t="s">
        <v>11</v>
      </c>
      <c r="B302" t="str">
        <f>T("TRIBAL OPERATIONS")</f>
        <v>TRIBAL OPERATIONS</v>
      </c>
      <c r="C302" t="str">
        <f t="shared" si="58"/>
        <v>DOI/BIA/GREAT PLAINS REGIONAL OFFICE</v>
      </c>
      <c r="D302" t="str">
        <f t="shared" si="59"/>
        <v>115 4TH AVENUE  SE</v>
      </c>
      <c r="E302" s="1" t="s">
        <v>0</v>
      </c>
      <c r="F302" t="s">
        <v>0</v>
      </c>
      <c r="G302" t="str">
        <f t="shared" si="60"/>
        <v>ABERDEEN</v>
      </c>
      <c r="H302" t="str">
        <f t="shared" si="61"/>
        <v>SD </v>
      </c>
      <c r="I302" s="1" t="str">
        <f t="shared" si="62"/>
        <v>57401 4382</v>
      </c>
      <c r="J302" s="1" t="s">
        <v>0</v>
      </c>
      <c r="K302" s="1" t="s">
        <v>0</v>
      </c>
    </row>
    <row r="303" spans="1:11" ht="12.75">
      <c r="A303" s="1" t="s">
        <v>11</v>
      </c>
      <c r="B303" t="str">
        <f>T("FIELD REP  PONCA FIELD OFFICE")</f>
        <v>FIELD REP  PONCA FIELD OFFICE</v>
      </c>
      <c r="C303" t="str">
        <f t="shared" si="58"/>
        <v>DOI/BIA/GREAT PLAINS REGIONAL OFFICE</v>
      </c>
      <c r="D303" t="str">
        <f t="shared" si="59"/>
        <v>115 4TH AVENUE  SE</v>
      </c>
      <c r="E303" s="1" t="s">
        <v>0</v>
      </c>
      <c r="F303" t="s">
        <v>0</v>
      </c>
      <c r="G303" t="str">
        <f t="shared" si="60"/>
        <v>ABERDEEN</v>
      </c>
      <c r="H303" t="str">
        <f t="shared" si="61"/>
        <v>SD </v>
      </c>
      <c r="I303" s="1" t="str">
        <f t="shared" si="62"/>
        <v>57401 4382</v>
      </c>
      <c r="J303" s="1" t="s">
        <v>0</v>
      </c>
      <c r="K303" s="1" t="s">
        <v>0</v>
      </c>
    </row>
    <row r="304" spans="1:11" ht="12.75">
      <c r="A304" s="1" t="s">
        <v>11</v>
      </c>
      <c r="B304" t="str">
        <f>T("BR OF ADMIN")</f>
        <v>BR OF ADMIN</v>
      </c>
      <c r="C304" t="str">
        <f t="shared" si="58"/>
        <v>DOI/BIA/GREAT PLAINS REGIONAL OFFICE</v>
      </c>
      <c r="D304" t="str">
        <f t="shared" si="59"/>
        <v>115 4TH AVENUE  SE</v>
      </c>
      <c r="E304" s="1" t="s">
        <v>0</v>
      </c>
      <c r="F304" t="s">
        <v>0</v>
      </c>
      <c r="G304" t="str">
        <f t="shared" si="60"/>
        <v>ABERDEEN</v>
      </c>
      <c r="H304" t="str">
        <f t="shared" si="61"/>
        <v>SD </v>
      </c>
      <c r="I304" s="1" t="str">
        <f t="shared" si="62"/>
        <v>57401 4382</v>
      </c>
      <c r="J304" s="1" t="s">
        <v>0</v>
      </c>
      <c r="K304" s="1" t="s">
        <v>0</v>
      </c>
    </row>
    <row r="305" spans="1:11" ht="12.75">
      <c r="A305" s="1" t="s">
        <v>11</v>
      </c>
      <c r="B305" t="str">
        <f>T("FACILITIES MANAGEMENT")</f>
        <v>FACILITIES MANAGEMENT</v>
      </c>
      <c r="C305" t="str">
        <f t="shared" si="58"/>
        <v>DOI/BIA/GREAT PLAINS REGIONAL OFFICE</v>
      </c>
      <c r="D305" t="str">
        <f t="shared" si="59"/>
        <v>115 4TH AVENUE  SE</v>
      </c>
      <c r="E305" s="1" t="s">
        <v>0</v>
      </c>
      <c r="F305" t="s">
        <v>0</v>
      </c>
      <c r="G305" t="str">
        <f t="shared" si="60"/>
        <v>ABERDEEN</v>
      </c>
      <c r="H305" t="str">
        <f t="shared" si="61"/>
        <v>SD </v>
      </c>
      <c r="I305" s="1" t="str">
        <f t="shared" si="62"/>
        <v>57401 4382</v>
      </c>
      <c r="J305" s="1" t="s">
        <v>0</v>
      </c>
      <c r="K305" s="1" t="s">
        <v>0</v>
      </c>
    </row>
    <row r="306" spans="1:11" ht="12.75">
      <c r="A306" s="1" t="s">
        <v>11</v>
      </c>
      <c r="B306" t="str">
        <f>T("FORESTRY")</f>
        <v>FORESTRY</v>
      </c>
      <c r="C306" t="str">
        <f t="shared" si="58"/>
        <v>DOI/BIA/GREAT PLAINS REGIONAL OFFICE</v>
      </c>
      <c r="D306" t="str">
        <f t="shared" si="59"/>
        <v>115 4TH AVENUE  SE</v>
      </c>
      <c r="E306" s="1" t="s">
        <v>0</v>
      </c>
      <c r="F306" t="s">
        <v>0</v>
      </c>
      <c r="G306" t="str">
        <f t="shared" si="60"/>
        <v>ABERDEEN</v>
      </c>
      <c r="H306" t="str">
        <f t="shared" si="61"/>
        <v>SD </v>
      </c>
      <c r="I306" s="1" t="str">
        <f t="shared" si="62"/>
        <v>57401 4382</v>
      </c>
      <c r="J306" s="1" t="s">
        <v>0</v>
      </c>
      <c r="K306" s="1" t="s">
        <v>0</v>
      </c>
    </row>
    <row r="307" spans="1:11" ht="12.75">
      <c r="A307" s="1" t="s">
        <v>11</v>
      </c>
      <c r="B307" t="str">
        <f>T("REAL ESTATE SERVICES")</f>
        <v>REAL ESTATE SERVICES</v>
      </c>
      <c r="C307" t="str">
        <f t="shared" si="58"/>
        <v>DOI/BIA/GREAT PLAINS REGIONAL OFFICE</v>
      </c>
      <c r="D307" t="str">
        <f t="shared" si="59"/>
        <v>115 4TH AVENUE  SE</v>
      </c>
      <c r="E307" s="1" t="s">
        <v>0</v>
      </c>
      <c r="F307" t="s">
        <v>0</v>
      </c>
      <c r="G307" t="str">
        <f t="shared" si="60"/>
        <v>ABERDEEN</v>
      </c>
      <c r="H307" t="str">
        <f t="shared" si="61"/>
        <v>SD </v>
      </c>
      <c r="I307" s="1" t="str">
        <f t="shared" si="62"/>
        <v>57401 4382</v>
      </c>
      <c r="J307" s="1" t="s">
        <v>0</v>
      </c>
      <c r="K307" s="1" t="s">
        <v>0</v>
      </c>
    </row>
    <row r="308" spans="1:11" ht="12.75">
      <c r="A308" s="1" t="s">
        <v>11</v>
      </c>
      <c r="B308" t="str">
        <f>T("TRANSPORTATION")</f>
        <v>TRANSPORTATION</v>
      </c>
      <c r="C308" t="str">
        <f t="shared" si="58"/>
        <v>DOI/BIA/GREAT PLAINS REGIONAL OFFICE</v>
      </c>
      <c r="D308" t="str">
        <f t="shared" si="59"/>
        <v>115 4TH AVENUE  SE</v>
      </c>
      <c r="E308" s="1" t="s">
        <v>0</v>
      </c>
      <c r="F308" t="s">
        <v>0</v>
      </c>
      <c r="G308" t="str">
        <f t="shared" si="60"/>
        <v>ABERDEEN</v>
      </c>
      <c r="H308" t="str">
        <f t="shared" si="61"/>
        <v>SD </v>
      </c>
      <c r="I308" s="1" t="str">
        <f t="shared" si="62"/>
        <v>57401 4382</v>
      </c>
      <c r="J308" s="1" t="s">
        <v>0</v>
      </c>
      <c r="K308" s="1" t="s">
        <v>0</v>
      </c>
    </row>
    <row r="309" spans="1:11" ht="12.75">
      <c r="A309" s="1" t="s">
        <v>11</v>
      </c>
      <c r="B309" t="str">
        <f>T("TRIBAL OPERATIONS")</f>
        <v>TRIBAL OPERATIONS</v>
      </c>
      <c r="C309" t="str">
        <f t="shared" si="58"/>
        <v>DOI/BIA/GREAT PLAINS REGIONAL OFFICE</v>
      </c>
      <c r="D309" t="str">
        <f t="shared" si="59"/>
        <v>115 4TH AVENUE  SE</v>
      </c>
      <c r="E309" s="1" t="s">
        <v>0</v>
      </c>
      <c r="F309" t="s">
        <v>0</v>
      </c>
      <c r="G309" t="str">
        <f t="shared" si="60"/>
        <v>ABERDEEN</v>
      </c>
      <c r="H309" t="str">
        <f t="shared" si="61"/>
        <v>SD </v>
      </c>
      <c r="I309" s="1" t="str">
        <f t="shared" si="62"/>
        <v>57401 4382</v>
      </c>
      <c r="J309" s="1" t="s">
        <v>0</v>
      </c>
      <c r="K309" s="1" t="s">
        <v>0</v>
      </c>
    </row>
    <row r="310" spans="1:11" ht="12.75">
      <c r="A310" s="1" t="s">
        <v>11</v>
      </c>
      <c r="B310" t="str">
        <f>T("PROBATE AND ESTATE SERVICES")</f>
        <v>PROBATE AND ESTATE SERVICES</v>
      </c>
      <c r="C310" t="str">
        <f t="shared" si="58"/>
        <v>DOI/BIA/GREAT PLAINS REGIONAL OFFICE</v>
      </c>
      <c r="D310" t="str">
        <f t="shared" si="59"/>
        <v>115 4TH AVENUE  SE</v>
      </c>
      <c r="E310" s="1" t="s">
        <v>0</v>
      </c>
      <c r="F310" t="s">
        <v>0</v>
      </c>
      <c r="G310" t="str">
        <f t="shared" si="60"/>
        <v>ABERDEEN</v>
      </c>
      <c r="H310" t="str">
        <f t="shared" si="61"/>
        <v>SD </v>
      </c>
      <c r="I310" s="1" t="str">
        <f t="shared" si="62"/>
        <v>57401 4382</v>
      </c>
      <c r="J310" s="1" t="s">
        <v>0</v>
      </c>
      <c r="K310" s="1" t="s">
        <v>0</v>
      </c>
    </row>
    <row r="311" spans="1:11" ht="12.75">
      <c r="A311" s="1" t="s">
        <v>11</v>
      </c>
      <c r="B311" t="str">
        <f>T("BR OF ADMIN")</f>
        <v>BR OF ADMIN</v>
      </c>
      <c r="C311" t="str">
        <f t="shared" si="58"/>
        <v>DOI/BIA/GREAT PLAINS REGIONAL OFFICE</v>
      </c>
      <c r="D311" t="str">
        <f t="shared" si="59"/>
        <v>115 4TH AVENUE  SE</v>
      </c>
      <c r="E311" s="1" t="s">
        <v>0</v>
      </c>
      <c r="F311" t="s">
        <v>0</v>
      </c>
      <c r="G311" t="str">
        <f t="shared" si="60"/>
        <v>ABERDEEN</v>
      </c>
      <c r="H311" t="str">
        <f t="shared" si="61"/>
        <v>SD </v>
      </c>
      <c r="I311" s="1" t="str">
        <f t="shared" si="62"/>
        <v>57401 4382</v>
      </c>
      <c r="J311" s="1" t="s">
        <v>0</v>
      </c>
      <c r="K311" s="1" t="s">
        <v>0</v>
      </c>
    </row>
    <row r="312" spans="1:11" ht="12.75">
      <c r="A312" s="1" t="s">
        <v>11</v>
      </c>
      <c r="B312" t="str">
        <f>T("FACILITIES MANAGEMENT")</f>
        <v>FACILITIES MANAGEMENT</v>
      </c>
      <c r="C312" t="str">
        <f t="shared" si="58"/>
        <v>DOI/BIA/GREAT PLAINS REGIONAL OFFICE</v>
      </c>
      <c r="D312" t="str">
        <f t="shared" si="59"/>
        <v>115 4TH AVENUE  SE</v>
      </c>
      <c r="E312" s="1" t="s">
        <v>0</v>
      </c>
      <c r="F312" t="s">
        <v>0</v>
      </c>
      <c r="G312" t="str">
        <f t="shared" si="60"/>
        <v>ABERDEEN</v>
      </c>
      <c r="H312" t="str">
        <f t="shared" si="61"/>
        <v>SD </v>
      </c>
      <c r="I312" s="1" t="str">
        <f t="shared" si="62"/>
        <v>57401 4382</v>
      </c>
      <c r="J312" s="1">
        <f>N(5555555555)</f>
        <v>5555555555</v>
      </c>
      <c r="K312" s="1" t="s">
        <v>0</v>
      </c>
    </row>
    <row r="313" spans="1:11" ht="12.75">
      <c r="A313" s="1" t="s">
        <v>11</v>
      </c>
      <c r="B313" t="str">
        <f>T("NATURAL RESOURCES")</f>
        <v>NATURAL RESOURCES</v>
      </c>
      <c r="C313" t="str">
        <f t="shared" si="58"/>
        <v>DOI/BIA/GREAT PLAINS REGIONAL OFFICE</v>
      </c>
      <c r="D313" t="str">
        <f t="shared" si="59"/>
        <v>115 4TH AVENUE  SE</v>
      </c>
      <c r="E313" s="1" t="s">
        <v>0</v>
      </c>
      <c r="F313" t="s">
        <v>0</v>
      </c>
      <c r="G313" t="str">
        <f t="shared" si="60"/>
        <v>ABERDEEN</v>
      </c>
      <c r="H313" t="str">
        <f t="shared" si="61"/>
        <v>SD </v>
      </c>
      <c r="I313" s="1" t="str">
        <f t="shared" si="62"/>
        <v>57401 4382</v>
      </c>
      <c r="J313" s="1" t="s">
        <v>0</v>
      </c>
      <c r="K313" s="1" t="s">
        <v>0</v>
      </c>
    </row>
    <row r="314" spans="1:11" ht="12.75">
      <c r="A314" s="1" t="s">
        <v>11</v>
      </c>
      <c r="B314" t="str">
        <f>T("TRIBAL OPERATIONS")</f>
        <v>TRIBAL OPERATIONS</v>
      </c>
      <c r="C314" t="str">
        <f t="shared" si="58"/>
        <v>DOI/BIA/GREAT PLAINS REGIONAL OFFICE</v>
      </c>
      <c r="D314" t="str">
        <f t="shared" si="59"/>
        <v>115 4TH AVENUE  SE</v>
      </c>
      <c r="E314" s="1" t="s">
        <v>0</v>
      </c>
      <c r="F314" t="s">
        <v>0</v>
      </c>
      <c r="G314" t="str">
        <f t="shared" si="60"/>
        <v>ABERDEEN</v>
      </c>
      <c r="H314" t="str">
        <f t="shared" si="61"/>
        <v>SD </v>
      </c>
      <c r="I314" s="1" t="str">
        <f t="shared" si="62"/>
        <v>57401 4382</v>
      </c>
      <c r="J314" s="1" t="s">
        <v>0</v>
      </c>
      <c r="K314" s="1" t="s">
        <v>0</v>
      </c>
    </row>
    <row r="315" spans="1:11" ht="12.75">
      <c r="A315" s="1" t="s">
        <v>11</v>
      </c>
      <c r="B315" t="str">
        <f>T("NATURAL RESOURCES")</f>
        <v>NATURAL RESOURCES</v>
      </c>
      <c r="C315" t="str">
        <f t="shared" si="58"/>
        <v>DOI/BIA/GREAT PLAINS REGIONAL OFFICE</v>
      </c>
      <c r="D315" t="str">
        <f t="shared" si="59"/>
        <v>115 4TH AVENUE  SE</v>
      </c>
      <c r="E315" s="1" t="s">
        <v>0</v>
      </c>
      <c r="F315" t="s">
        <v>0</v>
      </c>
      <c r="G315" t="str">
        <f t="shared" si="60"/>
        <v>ABERDEEN</v>
      </c>
      <c r="H315" t="str">
        <f t="shared" si="61"/>
        <v>SD </v>
      </c>
      <c r="I315" s="1" t="str">
        <f t="shared" si="62"/>
        <v>57401 4382</v>
      </c>
      <c r="J315" s="1" t="s">
        <v>0</v>
      </c>
      <c r="K315" s="1" t="s">
        <v>0</v>
      </c>
    </row>
    <row r="316" spans="1:11" ht="12.75">
      <c r="A316" s="1" t="s">
        <v>11</v>
      </c>
      <c r="B316" t="str">
        <f>T("BR OF ADMIN")</f>
        <v>BR OF ADMIN</v>
      </c>
      <c r="C316" t="str">
        <f t="shared" si="58"/>
        <v>DOI/BIA/GREAT PLAINS REGIONAL OFFICE</v>
      </c>
      <c r="D316" t="str">
        <f t="shared" si="59"/>
        <v>115 4TH AVENUE  SE</v>
      </c>
      <c r="E316" s="1" t="s">
        <v>0</v>
      </c>
      <c r="F316" t="s">
        <v>0</v>
      </c>
      <c r="G316" t="str">
        <f t="shared" si="60"/>
        <v>ABERDEEN</v>
      </c>
      <c r="H316" t="str">
        <f t="shared" si="61"/>
        <v>SD </v>
      </c>
      <c r="I316" s="1" t="str">
        <f t="shared" si="62"/>
        <v>57401 4382</v>
      </c>
      <c r="J316" s="1" t="s">
        <v>0</v>
      </c>
      <c r="K316" s="1" t="s">
        <v>0</v>
      </c>
    </row>
    <row r="317" spans="1:11" ht="12.75">
      <c r="A317" s="1" t="s">
        <v>11</v>
      </c>
      <c r="B317" t="str">
        <f>T("NATURAL RESOURCES")</f>
        <v>NATURAL RESOURCES</v>
      </c>
      <c r="C317" t="str">
        <f t="shared" si="58"/>
        <v>DOI/BIA/GREAT PLAINS REGIONAL OFFICE</v>
      </c>
      <c r="D317" t="str">
        <f t="shared" si="59"/>
        <v>115 4TH AVENUE  SE</v>
      </c>
      <c r="E317" s="1" t="s">
        <v>0</v>
      </c>
      <c r="F317" t="s">
        <v>0</v>
      </c>
      <c r="G317" t="str">
        <f t="shared" si="60"/>
        <v>ABERDEEN</v>
      </c>
      <c r="H317" t="str">
        <f t="shared" si="61"/>
        <v>SD </v>
      </c>
      <c r="I317" s="1" t="str">
        <f t="shared" si="62"/>
        <v>57401 4382</v>
      </c>
      <c r="J317" s="1" t="s">
        <v>0</v>
      </c>
      <c r="K317" s="1" t="s">
        <v>0</v>
      </c>
    </row>
    <row r="318" spans="1:11" ht="12.75">
      <c r="A318" s="1" t="s">
        <v>11</v>
      </c>
      <c r="B318" t="str">
        <f>T("REAL ESTATE SERVICES")</f>
        <v>REAL ESTATE SERVICES</v>
      </c>
      <c r="C318" t="str">
        <f t="shared" si="58"/>
        <v>DOI/BIA/GREAT PLAINS REGIONAL OFFICE</v>
      </c>
      <c r="D318" t="str">
        <f t="shared" si="59"/>
        <v>115 4TH AVENUE  SE</v>
      </c>
      <c r="E318" s="1" t="s">
        <v>0</v>
      </c>
      <c r="F318" t="s">
        <v>0</v>
      </c>
      <c r="G318" t="str">
        <f t="shared" si="60"/>
        <v>ABERDEEN</v>
      </c>
      <c r="H318" t="str">
        <f t="shared" si="61"/>
        <v>SD </v>
      </c>
      <c r="I318" s="1" t="str">
        <f t="shared" si="62"/>
        <v>57401 4382</v>
      </c>
      <c r="J318" s="1" t="s">
        <v>0</v>
      </c>
      <c r="K318" s="1" t="s">
        <v>0</v>
      </c>
    </row>
    <row r="319" spans="1:11" ht="12.75">
      <c r="A319" s="1" t="s">
        <v>11</v>
      </c>
      <c r="B319" t="str">
        <f>T("BR OF SOCIAL SVCS")</f>
        <v>BR OF SOCIAL SVCS</v>
      </c>
      <c r="C319" t="str">
        <f t="shared" si="58"/>
        <v>DOI/BIA/GREAT PLAINS REGIONAL OFFICE</v>
      </c>
      <c r="D319" t="str">
        <f t="shared" si="59"/>
        <v>115 4TH AVENUE  SE</v>
      </c>
      <c r="E319" s="1" t="s">
        <v>0</v>
      </c>
      <c r="F319" t="s">
        <v>0</v>
      </c>
      <c r="G319" t="str">
        <f t="shared" si="60"/>
        <v>ABERDEEN</v>
      </c>
      <c r="H319" t="str">
        <f t="shared" si="61"/>
        <v>SD </v>
      </c>
      <c r="I319" s="1" t="str">
        <f t="shared" si="62"/>
        <v>57401 4382</v>
      </c>
      <c r="J319" s="1" t="s">
        <v>0</v>
      </c>
      <c r="K319" s="1" t="s">
        <v>0</v>
      </c>
    </row>
    <row r="320" spans="1:11" ht="12.75">
      <c r="A320" s="1" t="s">
        <v>11</v>
      </c>
      <c r="B320" t="str">
        <f>T("BR OF ADMIN")</f>
        <v>BR OF ADMIN</v>
      </c>
      <c r="C320" t="str">
        <f t="shared" si="58"/>
        <v>DOI/BIA/GREAT PLAINS REGIONAL OFFICE</v>
      </c>
      <c r="D320" t="str">
        <f t="shared" si="59"/>
        <v>115 4TH AVENUE  SE</v>
      </c>
      <c r="E320" s="1" t="s">
        <v>0</v>
      </c>
      <c r="F320" t="s">
        <v>0</v>
      </c>
      <c r="G320" t="str">
        <f t="shared" si="60"/>
        <v>ABERDEEN</v>
      </c>
      <c r="H320" t="str">
        <f t="shared" si="61"/>
        <v>SD </v>
      </c>
      <c r="I320" s="1" t="str">
        <f t="shared" si="62"/>
        <v>57401 4382</v>
      </c>
      <c r="J320" s="1" t="s">
        <v>0</v>
      </c>
      <c r="K320" s="1" t="s">
        <v>0</v>
      </c>
    </row>
    <row r="321" spans="1:11" ht="12.75">
      <c r="A321" s="1" t="s">
        <v>11</v>
      </c>
      <c r="B321" t="str">
        <f>T("NATURAL RESOURCES")</f>
        <v>NATURAL RESOURCES</v>
      </c>
      <c r="C321" t="str">
        <f t="shared" si="58"/>
        <v>DOI/BIA/GREAT PLAINS REGIONAL OFFICE</v>
      </c>
      <c r="D321" t="str">
        <f t="shared" si="59"/>
        <v>115 4TH AVENUE  SE</v>
      </c>
      <c r="E321" s="1" t="s">
        <v>0</v>
      </c>
      <c r="F321" t="s">
        <v>0</v>
      </c>
      <c r="G321" t="str">
        <f t="shared" si="60"/>
        <v>ABERDEEN</v>
      </c>
      <c r="H321" t="str">
        <f t="shared" si="61"/>
        <v>SD </v>
      </c>
      <c r="I321" s="1" t="str">
        <f t="shared" si="62"/>
        <v>57401 4382</v>
      </c>
      <c r="J321" s="1" t="s">
        <v>0</v>
      </c>
      <c r="K321" s="1" t="s">
        <v>0</v>
      </c>
    </row>
    <row r="322" spans="1:11" ht="12.75">
      <c r="A322" s="1" t="s">
        <v>11</v>
      </c>
      <c r="B322" t="str">
        <f>T("NATURAL RESOURCES")</f>
        <v>NATURAL RESOURCES</v>
      </c>
      <c r="C322" t="str">
        <f>T("DOI/BIA/HORTON FIELD OFFICE")</f>
        <v>DOI/BIA/HORTON FIELD OFFICE</v>
      </c>
      <c r="D322" t="str">
        <f>T("PO BOX 31")</f>
        <v>PO BOX 31</v>
      </c>
      <c r="E322" s="1" t="s">
        <v>0</v>
      </c>
      <c r="F322" t="s">
        <v>0</v>
      </c>
      <c r="G322" t="str">
        <f>T("HORTON")</f>
        <v>HORTON</v>
      </c>
      <c r="H322" t="str">
        <f>T("KS ")</f>
        <v>KS </v>
      </c>
      <c r="I322" s="1">
        <f>N(66439)</f>
        <v>66439</v>
      </c>
      <c r="J322" s="1" t="s">
        <v>0</v>
      </c>
      <c r="K322" s="1">
        <f>N(7854862515)</f>
        <v>7854862515</v>
      </c>
    </row>
    <row r="323" spans="1:11" ht="12.75">
      <c r="A323" s="1" t="s">
        <v>11</v>
      </c>
      <c r="B323" t="str">
        <f>T("REAL ESTATE SERVICES")</f>
        <v>REAL ESTATE SERVICES</v>
      </c>
      <c r="C323" t="str">
        <f>T("DOI/BIA/HORTON FIELD OFFICE")</f>
        <v>DOI/BIA/HORTON FIELD OFFICE</v>
      </c>
      <c r="D323" t="str">
        <f>T("PO BOX 31")</f>
        <v>PO BOX 31</v>
      </c>
      <c r="E323" s="1" t="s">
        <v>0</v>
      </c>
      <c r="F323" t="s">
        <v>0</v>
      </c>
      <c r="G323" t="str">
        <f>T("HORTON")</f>
        <v>HORTON</v>
      </c>
      <c r="H323" t="str">
        <f>T("KS ")</f>
        <v>KS </v>
      </c>
      <c r="I323" s="1">
        <f>N(66439)</f>
        <v>66439</v>
      </c>
      <c r="J323" s="1" t="s">
        <v>0</v>
      </c>
      <c r="K323" s="1">
        <f>N(7854862515)</f>
        <v>7854862515</v>
      </c>
    </row>
    <row r="324" spans="1:11" ht="12.75">
      <c r="A324" s="1" t="s">
        <v>11</v>
      </c>
      <c r="B324" t="str">
        <f>T("NATURAL RESOURCES")</f>
        <v>NATURAL RESOURCES</v>
      </c>
      <c r="C324" t="str">
        <f>T("DOI/BIA/CONCHO FIELD OFFICE")</f>
        <v>DOI/BIA/CONCHO FIELD OFFICE</v>
      </c>
      <c r="D324" t="str">
        <f>T("PO BOX 68")</f>
        <v>PO BOX 68</v>
      </c>
      <c r="E324" s="1" t="s">
        <v>0</v>
      </c>
      <c r="F324" t="s">
        <v>0</v>
      </c>
      <c r="G324" t="str">
        <f>T("EL RENO")</f>
        <v>EL RENO</v>
      </c>
      <c r="H324" t="str">
        <f>T("OK ")</f>
        <v>OK </v>
      </c>
      <c r="I324" s="1">
        <f>N(73036)</f>
        <v>73036</v>
      </c>
      <c r="J324" s="1" t="s">
        <v>0</v>
      </c>
      <c r="K324" s="1">
        <f>N(4052623140)</f>
        <v>4052623140</v>
      </c>
    </row>
    <row r="325" spans="1:11" ht="12.75">
      <c r="A325" s="1" t="s">
        <v>11</v>
      </c>
      <c r="B325" t="str">
        <f>T("BR OF SUPLY &amp; PROPRTY MGMT")</f>
        <v>BR OF SUPLY &amp; PROPRTY MGMT</v>
      </c>
      <c r="C325" t="str">
        <f>T("DOI/BIA/ANADARKO AGENCY")</f>
        <v>DOI/BIA/ANADARKO AGENCY</v>
      </c>
      <c r="D325" t="str">
        <f>T("PO BOX 309")</f>
        <v>PO BOX 309</v>
      </c>
      <c r="E325" s="1" t="s">
        <v>0</v>
      </c>
      <c r="F325" t="s">
        <v>0</v>
      </c>
      <c r="G325" t="str">
        <f>T("ANADARKO")</f>
        <v>ANADARKO</v>
      </c>
      <c r="H325" t="str">
        <f>T("OK ")</f>
        <v>OK </v>
      </c>
      <c r="I325" s="1">
        <f>N(73005)</f>
        <v>73005</v>
      </c>
      <c r="J325" s="1" t="s">
        <v>0</v>
      </c>
      <c r="K325" s="1">
        <f>N(4052479232)</f>
        <v>4052479232</v>
      </c>
    </row>
    <row r="326" spans="1:11" ht="12.75">
      <c r="A326" s="1" t="s">
        <v>11</v>
      </c>
      <c r="B326" t="str">
        <f>T("NATURAL RESOURCES")</f>
        <v>NATURAL RESOURCES</v>
      </c>
      <c r="C326" t="str">
        <f>T("DOI/BIA/ANADARKO AGENCY")</f>
        <v>DOI/BIA/ANADARKO AGENCY</v>
      </c>
      <c r="D326" t="str">
        <f>T("PO BOX 309")</f>
        <v>PO BOX 309</v>
      </c>
      <c r="E326" s="1" t="s">
        <v>0</v>
      </c>
      <c r="F326" t="s">
        <v>0</v>
      </c>
      <c r="G326" t="str">
        <f>T("ANADARKO")</f>
        <v>ANADARKO</v>
      </c>
      <c r="H326" t="str">
        <f>T("OK ")</f>
        <v>OK </v>
      </c>
      <c r="I326" s="1">
        <f>N(73005)</f>
        <v>73005</v>
      </c>
      <c r="J326" s="1" t="s">
        <v>0</v>
      </c>
      <c r="K326" s="1">
        <f>N(4052479232)</f>
        <v>4052479232</v>
      </c>
    </row>
    <row r="327" spans="1:11" ht="12.75">
      <c r="A327" s="1" t="s">
        <v>11</v>
      </c>
      <c r="B327" t="str">
        <f>T("REAL ESTATE SERVICES")</f>
        <v>REAL ESTATE SERVICES</v>
      </c>
      <c r="C327" t="str">
        <f>T("DOI/BIA/ANADARKO AGENCY")</f>
        <v>DOI/BIA/ANADARKO AGENCY</v>
      </c>
      <c r="D327" t="str">
        <f>T("PO BOX 309")</f>
        <v>PO BOX 309</v>
      </c>
      <c r="E327" s="1" t="s">
        <v>0</v>
      </c>
      <c r="F327" t="s">
        <v>0</v>
      </c>
      <c r="G327" t="str">
        <f>T("ANADARKO")</f>
        <v>ANADARKO</v>
      </c>
      <c r="H327" t="str">
        <f>T("OK ")</f>
        <v>OK </v>
      </c>
      <c r="I327" s="1">
        <f>N(73005)</f>
        <v>73005</v>
      </c>
      <c r="J327" s="1" t="s">
        <v>0</v>
      </c>
      <c r="K327" s="1">
        <f>N(4052479232)</f>
        <v>4052479232</v>
      </c>
    </row>
    <row r="328" spans="1:11" ht="12.75">
      <c r="A328" s="1" t="s">
        <v>11</v>
      </c>
      <c r="B328" t="str">
        <f>T("BR OF CONTRACTS &amp; GRANTS")</f>
        <v>BR OF CONTRACTS &amp; GRANTS</v>
      </c>
      <c r="C328" t="str">
        <f>T("DOI/BIA/PAWNEE AGENCY")</f>
        <v>DOI/BIA/PAWNEE AGENCY</v>
      </c>
      <c r="D328" t="str">
        <f>T("PO BOX 440")</f>
        <v>PO BOX 440</v>
      </c>
      <c r="E328" s="1" t="s">
        <v>0</v>
      </c>
      <c r="F328" t="s">
        <v>0</v>
      </c>
      <c r="G328" t="str">
        <f>T("PAWNEE")</f>
        <v>PAWNEE</v>
      </c>
      <c r="H328" t="str">
        <f>T("OK ")</f>
        <v>OK </v>
      </c>
      <c r="I328" s="1">
        <f>N(74058)</f>
        <v>74058</v>
      </c>
      <c r="J328" s="1" t="s">
        <v>0</v>
      </c>
      <c r="K328" s="1">
        <f>N(9187623201)</f>
        <v>9187623201</v>
      </c>
    </row>
    <row r="329" spans="1:11" ht="12.75">
      <c r="A329" s="1" t="s">
        <v>11</v>
      </c>
      <c r="B329" t="str">
        <f>T("BR OF ADMIN")</f>
        <v>BR OF ADMIN</v>
      </c>
      <c r="C329" t="str">
        <f>T("DOI/BIA/BLACKFEET AGENCY")</f>
        <v>DOI/BIA/BLACKFEET AGENCY</v>
      </c>
      <c r="D329" t="str">
        <f>T("P.O. BOX 880")</f>
        <v>P.O. BOX 880</v>
      </c>
      <c r="E329" s="1" t="s">
        <v>0</v>
      </c>
      <c r="F329" t="s">
        <v>0</v>
      </c>
      <c r="G329" t="str">
        <f>T("BROWNING")</f>
        <v>BROWNING</v>
      </c>
      <c r="H329" t="str">
        <f aca="true" t="shared" si="63" ref="H329:H349">T("MT ")</f>
        <v>MT </v>
      </c>
      <c r="I329" s="1">
        <f>N(59417)</f>
        <v>59417</v>
      </c>
      <c r="J329" s="1">
        <f>N(4063387395)</f>
        <v>4063387395</v>
      </c>
      <c r="K329" s="1">
        <f>N(4063387716)</f>
        <v>4063387716</v>
      </c>
    </row>
    <row r="330" spans="1:11" ht="12.75">
      <c r="A330" s="1" t="s">
        <v>11</v>
      </c>
      <c r="B330" t="str">
        <f>T("BR OF FACIL")</f>
        <v>BR OF FACIL</v>
      </c>
      <c r="C330" t="str">
        <f>T("DOI/BIA/BLACKFEET AGENCY")</f>
        <v>DOI/BIA/BLACKFEET AGENCY</v>
      </c>
      <c r="D330" t="str">
        <f>T("P.O. BOX 880")</f>
        <v>P.O. BOX 880</v>
      </c>
      <c r="E330" s="1" t="s">
        <v>0</v>
      </c>
      <c r="F330" t="s">
        <v>0</v>
      </c>
      <c r="G330" t="str">
        <f>T("BROWNING")</f>
        <v>BROWNING</v>
      </c>
      <c r="H330" t="str">
        <f t="shared" si="63"/>
        <v>MT </v>
      </c>
      <c r="I330" s="1">
        <f>N(59417)</f>
        <v>59417</v>
      </c>
      <c r="J330" s="1">
        <f>N(4063387395)</f>
        <v>4063387395</v>
      </c>
      <c r="K330" s="1">
        <f>N(4063387716)</f>
        <v>4063387716</v>
      </c>
    </row>
    <row r="331" spans="1:11" ht="12.75">
      <c r="A331" s="1" t="s">
        <v>11</v>
      </c>
      <c r="B331" t="str">
        <f>T("BR OF SOCIAL SVCS")</f>
        <v>BR OF SOCIAL SVCS</v>
      </c>
      <c r="C331" t="str">
        <f>T("DOI/BIA/BLACKFEET AGENCY")</f>
        <v>DOI/BIA/BLACKFEET AGENCY</v>
      </c>
      <c r="D331" t="str">
        <f>T("P.O. BOX 880")</f>
        <v>P.O. BOX 880</v>
      </c>
      <c r="E331" s="1" t="s">
        <v>0</v>
      </c>
      <c r="F331" t="s">
        <v>0</v>
      </c>
      <c r="G331" t="str">
        <f>T("BROWNING")</f>
        <v>BROWNING</v>
      </c>
      <c r="H331" t="str">
        <f t="shared" si="63"/>
        <v>MT </v>
      </c>
      <c r="I331" s="1">
        <f>N(59417)</f>
        <v>59417</v>
      </c>
      <c r="J331" s="1">
        <f>N(4063387395)</f>
        <v>4063387395</v>
      </c>
      <c r="K331" s="1">
        <f>N(4063387716)</f>
        <v>4063387716</v>
      </c>
    </row>
    <row r="332" spans="1:11" ht="12.75">
      <c r="A332" s="1" t="s">
        <v>11</v>
      </c>
      <c r="B332" t="str">
        <f>T("FORESTRY AND FIRE")</f>
        <v>FORESTRY AND FIRE</v>
      </c>
      <c r="C332" t="str">
        <f>T("DOI/BIA/BLACKFEET AGENCY")</f>
        <v>DOI/BIA/BLACKFEET AGENCY</v>
      </c>
      <c r="D332" t="str">
        <f>T("P.O. BOX 880")</f>
        <v>P.O. BOX 880</v>
      </c>
      <c r="E332" s="1" t="s">
        <v>0</v>
      </c>
      <c r="F332" t="s">
        <v>0</v>
      </c>
      <c r="G332" t="str">
        <f>T("BROWNING")</f>
        <v>BROWNING</v>
      </c>
      <c r="H332" t="str">
        <f t="shared" si="63"/>
        <v>MT </v>
      </c>
      <c r="I332" s="1">
        <f>N(59417)</f>
        <v>59417</v>
      </c>
      <c r="J332" s="1">
        <f>N(4063387395)</f>
        <v>4063387395</v>
      </c>
      <c r="K332" s="1">
        <f>N(4063387716)</f>
        <v>4063387716</v>
      </c>
    </row>
    <row r="333" spans="1:11" ht="12.75">
      <c r="A333" s="1" t="s">
        <v>11</v>
      </c>
      <c r="B333" t="str">
        <f>T("TRANSPORTATION")</f>
        <v>TRANSPORTATION</v>
      </c>
      <c r="C333" t="str">
        <f>T("DOI/BIA/BLACKFEET AGENCY")</f>
        <v>DOI/BIA/BLACKFEET AGENCY</v>
      </c>
      <c r="D333" t="str">
        <f>T("P.O. BOX 880")</f>
        <v>P.O. BOX 880</v>
      </c>
      <c r="E333" s="1" t="s">
        <v>0</v>
      </c>
      <c r="F333" t="s">
        <v>0</v>
      </c>
      <c r="G333" t="str">
        <f>T("BROWNING")</f>
        <v>BROWNING</v>
      </c>
      <c r="H333" t="str">
        <f t="shared" si="63"/>
        <v>MT </v>
      </c>
      <c r="I333" s="1">
        <f>N(59417)</f>
        <v>59417</v>
      </c>
      <c r="J333" s="1">
        <f>N(4063387395)</f>
        <v>4063387395</v>
      </c>
      <c r="K333" s="1">
        <f>N(4063387716)</f>
        <v>4063387716</v>
      </c>
    </row>
    <row r="334" spans="1:11" ht="12.75">
      <c r="A334" s="1" t="s">
        <v>11</v>
      </c>
      <c r="B334" t="str">
        <f>T("BR OF ADMIN")</f>
        <v>BR OF ADMIN</v>
      </c>
      <c r="C334" t="str">
        <f>T("DOI/BIA/CROW AGENCY")</f>
        <v>DOI/BIA/CROW AGENCY</v>
      </c>
      <c r="D334" t="str">
        <f>T("P.O. BOX 69")</f>
        <v>P.O. BOX 69</v>
      </c>
      <c r="E334" s="1" t="s">
        <v>0</v>
      </c>
      <c r="F334" t="s">
        <v>0</v>
      </c>
      <c r="G334" t="str">
        <f>T("CROW AGENCY")</f>
        <v>CROW AGENCY</v>
      </c>
      <c r="H334" t="str">
        <f t="shared" si="63"/>
        <v>MT </v>
      </c>
      <c r="I334" s="1">
        <f>N(59022)</f>
        <v>59022</v>
      </c>
      <c r="J334" s="1">
        <f>N(4066384413)</f>
        <v>4066384413</v>
      </c>
      <c r="K334" s="1">
        <f>N(4066382380)</f>
        <v>4066382380</v>
      </c>
    </row>
    <row r="335" spans="1:11" ht="12.75">
      <c r="A335" s="1" t="s">
        <v>11</v>
      </c>
      <c r="B335" t="str">
        <f>T("REAL ESTATE SERVICES")</f>
        <v>REAL ESTATE SERVICES</v>
      </c>
      <c r="C335" t="str">
        <f>T("DOI/BIA/CROW AGENCY")</f>
        <v>DOI/BIA/CROW AGENCY</v>
      </c>
      <c r="D335" t="str">
        <f>T("P.O. BOX 69")</f>
        <v>P.O. BOX 69</v>
      </c>
      <c r="E335" s="1" t="s">
        <v>0</v>
      </c>
      <c r="F335" t="s">
        <v>0</v>
      </c>
      <c r="G335" t="str">
        <f>T("CROW AGENCY")</f>
        <v>CROW AGENCY</v>
      </c>
      <c r="H335" t="str">
        <f t="shared" si="63"/>
        <v>MT </v>
      </c>
      <c r="I335" s="1">
        <f>N(59022)</f>
        <v>59022</v>
      </c>
      <c r="J335" s="1">
        <f>N(4066384413)</f>
        <v>4066384413</v>
      </c>
      <c r="K335" s="1">
        <f>N(4066382380)</f>
        <v>4066382380</v>
      </c>
    </row>
    <row r="336" spans="1:11" ht="12.75">
      <c r="A336" s="1" t="s">
        <v>11</v>
      </c>
      <c r="B336" t="str">
        <f>T("NATURAL RESOURCES")</f>
        <v>NATURAL RESOURCES</v>
      </c>
      <c r="C336" t="str">
        <f>T("DOI/BIA/CROW AGENCY")</f>
        <v>DOI/BIA/CROW AGENCY</v>
      </c>
      <c r="D336" t="str">
        <f>T("P.O. BOX 69")</f>
        <v>P.O. BOX 69</v>
      </c>
      <c r="E336" s="1" t="s">
        <v>0</v>
      </c>
      <c r="F336" t="s">
        <v>0</v>
      </c>
      <c r="G336" t="str">
        <f>T("CROW AGENCY")</f>
        <v>CROW AGENCY</v>
      </c>
      <c r="H336" t="str">
        <f t="shared" si="63"/>
        <v>MT </v>
      </c>
      <c r="I336" s="1">
        <f>N(59022)</f>
        <v>59022</v>
      </c>
      <c r="J336" s="1">
        <f>N(4066384413)</f>
        <v>4066384413</v>
      </c>
      <c r="K336" s="1">
        <f>N(4066382380)</f>
        <v>4066382380</v>
      </c>
    </row>
    <row r="337" spans="1:11" ht="12.75">
      <c r="A337" s="1" t="s">
        <v>11</v>
      </c>
      <c r="B337" t="str">
        <f>T("FORESTRY AND FIRE")</f>
        <v>FORESTRY AND FIRE</v>
      </c>
      <c r="C337" t="str">
        <f>T("DOI/BIA/CROW AGENCY")</f>
        <v>DOI/BIA/CROW AGENCY</v>
      </c>
      <c r="D337" t="str">
        <f>T("P.O. BOX 69")</f>
        <v>P.O. BOX 69</v>
      </c>
      <c r="E337" s="1" t="s">
        <v>0</v>
      </c>
      <c r="F337" t="s">
        <v>0</v>
      </c>
      <c r="G337" t="str">
        <f>T("CROW AGENCY")</f>
        <v>CROW AGENCY</v>
      </c>
      <c r="H337" t="str">
        <f t="shared" si="63"/>
        <v>MT </v>
      </c>
      <c r="I337" s="1">
        <f>N(59022)</f>
        <v>59022</v>
      </c>
      <c r="J337" s="1">
        <f>N(4066384413)</f>
        <v>4066384413</v>
      </c>
      <c r="K337" s="1">
        <f>N(4066382380)</f>
        <v>4066382380</v>
      </c>
    </row>
    <row r="338" spans="1:11" ht="12.75">
      <c r="A338" s="1" t="s">
        <v>11</v>
      </c>
      <c r="B338" t="str">
        <f>T("BR OF IRRIGATION")</f>
        <v>BR OF IRRIGATION</v>
      </c>
      <c r="C338" t="str">
        <f>T("DOI/BIA/CROW AGENCY")</f>
        <v>DOI/BIA/CROW AGENCY</v>
      </c>
      <c r="D338" t="str">
        <f>T("P.O. BOX 69")</f>
        <v>P.O. BOX 69</v>
      </c>
      <c r="E338" s="1" t="s">
        <v>0</v>
      </c>
      <c r="F338" t="s">
        <v>0</v>
      </c>
      <c r="G338" t="str">
        <f>T("CROW AGENCY")</f>
        <v>CROW AGENCY</v>
      </c>
      <c r="H338" t="str">
        <f t="shared" si="63"/>
        <v>MT </v>
      </c>
      <c r="I338" s="1">
        <f>N(59022)</f>
        <v>59022</v>
      </c>
      <c r="J338" s="1">
        <f>N(4066384413)</f>
        <v>4066384413</v>
      </c>
      <c r="K338" s="1">
        <f>N(4066382380)</f>
        <v>4066382380</v>
      </c>
    </row>
    <row r="339" spans="1:11" ht="12.75">
      <c r="A339" s="1" t="s">
        <v>11</v>
      </c>
      <c r="B339" t="str">
        <f>T("BR OF ADMIN")</f>
        <v>BR OF ADMIN</v>
      </c>
      <c r="C339" t="str">
        <f>T("DOI/BIA/FORT BELKNAP AGENCY")</f>
        <v>DOI/BIA/FORT BELKNAP AGENCY</v>
      </c>
      <c r="D339" t="str">
        <f>T("RR1  P.O. BOX 980 ")</f>
        <v>RR1  P.O. BOX 980 </v>
      </c>
      <c r="E339" s="1" t="s">
        <v>0</v>
      </c>
      <c r="F339" t="s">
        <v>0</v>
      </c>
      <c r="G339" t="str">
        <f>T("HARLEM")</f>
        <v>HARLEM</v>
      </c>
      <c r="H339" t="str">
        <f t="shared" si="63"/>
        <v>MT </v>
      </c>
      <c r="I339" s="1">
        <f>N(59526)</f>
        <v>59526</v>
      </c>
      <c r="J339" s="1" t="str">
        <f>T("406 353 2901")</f>
        <v>406 353 2901</v>
      </c>
      <c r="K339" s="1" t="str">
        <f>T("406 353 2886")</f>
        <v>406 353 2886</v>
      </c>
    </row>
    <row r="340" spans="1:11" ht="12.75">
      <c r="A340" s="1" t="s">
        <v>11</v>
      </c>
      <c r="B340" t="str">
        <f>T("BR OF FACIL")</f>
        <v>BR OF FACIL</v>
      </c>
      <c r="C340" t="str">
        <f>T("DOI/BIA/FORT BELKNAP AGENCY")</f>
        <v>DOI/BIA/FORT BELKNAP AGENCY</v>
      </c>
      <c r="D340" t="str">
        <f>T("RR1  P.O. BOX 980 ")</f>
        <v>RR1  P.O. BOX 980 </v>
      </c>
      <c r="E340" s="1" t="s">
        <v>0</v>
      </c>
      <c r="F340" t="s">
        <v>0</v>
      </c>
      <c r="G340" t="str">
        <f>T("HARLEM")</f>
        <v>HARLEM</v>
      </c>
      <c r="H340" t="str">
        <f t="shared" si="63"/>
        <v>MT </v>
      </c>
      <c r="I340" s="1">
        <f>N(59526)</f>
        <v>59526</v>
      </c>
      <c r="J340" s="1" t="str">
        <f>T("406 353 2901")</f>
        <v>406 353 2901</v>
      </c>
      <c r="K340" s="1" t="str">
        <f>T("406 353 2886")</f>
        <v>406 353 2886</v>
      </c>
    </row>
    <row r="341" spans="1:11" ht="12.75">
      <c r="A341" s="1" t="s">
        <v>11</v>
      </c>
      <c r="B341" t="str">
        <f>T("BR OF IRRIGATION")</f>
        <v>BR OF IRRIGATION</v>
      </c>
      <c r="C341" t="str">
        <f>T("DOI/BIA/FORT BELKNAP AGENCY")</f>
        <v>DOI/BIA/FORT BELKNAP AGENCY</v>
      </c>
      <c r="D341" t="str">
        <f>T("RR1  P.O. BOX 980 ")</f>
        <v>RR1  P.O. BOX 980 </v>
      </c>
      <c r="E341" s="1" t="s">
        <v>0</v>
      </c>
      <c r="F341" t="s">
        <v>0</v>
      </c>
      <c r="G341" t="str">
        <f>T("HARLEM")</f>
        <v>HARLEM</v>
      </c>
      <c r="H341" t="str">
        <f t="shared" si="63"/>
        <v>MT </v>
      </c>
      <c r="I341" s="1">
        <f>N(59526)</f>
        <v>59526</v>
      </c>
      <c r="J341" s="1" t="str">
        <f>T("406 353 2901")</f>
        <v>406 353 2901</v>
      </c>
      <c r="K341" s="1" t="str">
        <f>T("406 353 2886")</f>
        <v>406 353 2886</v>
      </c>
    </row>
    <row r="342" spans="1:11" ht="12.75">
      <c r="A342" s="1" t="s">
        <v>11</v>
      </c>
      <c r="B342" t="str">
        <f>T("BR OF ADMIN")</f>
        <v>BR OF ADMIN</v>
      </c>
      <c r="C342" t="str">
        <f aca="true" t="shared" si="64" ref="C342:C347">T("DOI/BIA/FORT PECK AGENCY")</f>
        <v>DOI/BIA/FORT PECK AGENCY</v>
      </c>
      <c r="D342" t="str">
        <f aca="true" t="shared" si="65" ref="D342:D347">T("P.O. BOX 637")</f>
        <v>P.O. BOX 637</v>
      </c>
      <c r="E342" s="1" t="s">
        <v>0</v>
      </c>
      <c r="F342" t="s">
        <v>0</v>
      </c>
      <c r="G342" t="str">
        <f aca="true" t="shared" si="66" ref="G342:G347">T("POPLAR")</f>
        <v>POPLAR</v>
      </c>
      <c r="H342" t="str">
        <f t="shared" si="63"/>
        <v>MT </v>
      </c>
      <c r="I342" s="1">
        <f aca="true" t="shared" si="67" ref="I342:I347">N(59255)</f>
        <v>59255</v>
      </c>
      <c r="J342" s="1" t="str">
        <f aca="true" t="shared" si="68" ref="J342:J347">T("406 768 5312")</f>
        <v>406 768 5312</v>
      </c>
      <c r="K342" s="1" t="str">
        <f aca="true" t="shared" si="69" ref="K342:K347">T("406 768 3405")</f>
        <v>406 768 3405</v>
      </c>
    </row>
    <row r="343" spans="1:11" ht="12.75">
      <c r="A343" s="1" t="s">
        <v>11</v>
      </c>
      <c r="B343" t="str">
        <f>T("REAL ESTATE SERVICES")</f>
        <v>REAL ESTATE SERVICES</v>
      </c>
      <c r="C343" t="str">
        <f t="shared" si="64"/>
        <v>DOI/BIA/FORT PECK AGENCY</v>
      </c>
      <c r="D343" t="str">
        <f t="shared" si="65"/>
        <v>P.O. BOX 637</v>
      </c>
      <c r="E343" s="1" t="s">
        <v>0</v>
      </c>
      <c r="F343" t="s">
        <v>0</v>
      </c>
      <c r="G343" t="str">
        <f t="shared" si="66"/>
        <v>POPLAR</v>
      </c>
      <c r="H343" t="str">
        <f t="shared" si="63"/>
        <v>MT </v>
      </c>
      <c r="I343" s="1">
        <f t="shared" si="67"/>
        <v>59255</v>
      </c>
      <c r="J343" s="1" t="str">
        <f t="shared" si="68"/>
        <v>406 768 5312</v>
      </c>
      <c r="K343" s="1" t="str">
        <f t="shared" si="69"/>
        <v>406 768 3405</v>
      </c>
    </row>
    <row r="344" spans="1:11" ht="12.75">
      <c r="A344" s="1" t="s">
        <v>11</v>
      </c>
      <c r="B344" t="str">
        <f>T("BR OF SOCIAL SVCS")</f>
        <v>BR OF SOCIAL SVCS</v>
      </c>
      <c r="C344" t="str">
        <f t="shared" si="64"/>
        <v>DOI/BIA/FORT PECK AGENCY</v>
      </c>
      <c r="D344" t="str">
        <f t="shared" si="65"/>
        <v>P.O. BOX 637</v>
      </c>
      <c r="E344" s="1" t="s">
        <v>0</v>
      </c>
      <c r="F344" t="s">
        <v>0</v>
      </c>
      <c r="G344" t="str">
        <f t="shared" si="66"/>
        <v>POPLAR</v>
      </c>
      <c r="H344" t="str">
        <f t="shared" si="63"/>
        <v>MT </v>
      </c>
      <c r="I344" s="1">
        <f t="shared" si="67"/>
        <v>59255</v>
      </c>
      <c r="J344" s="1" t="str">
        <f t="shared" si="68"/>
        <v>406 768 5312</v>
      </c>
      <c r="K344" s="1" t="str">
        <f t="shared" si="69"/>
        <v>406 768 3405</v>
      </c>
    </row>
    <row r="345" spans="1:11" ht="12.75">
      <c r="A345" s="1" t="s">
        <v>11</v>
      </c>
      <c r="B345" t="str">
        <f>T("FORESTRY AND FIRE")</f>
        <v>FORESTRY AND FIRE</v>
      </c>
      <c r="C345" t="str">
        <f t="shared" si="64"/>
        <v>DOI/BIA/FORT PECK AGENCY</v>
      </c>
      <c r="D345" t="str">
        <f t="shared" si="65"/>
        <v>P.O. BOX 637</v>
      </c>
      <c r="E345" s="1" t="s">
        <v>0</v>
      </c>
      <c r="F345" t="s">
        <v>0</v>
      </c>
      <c r="G345" t="str">
        <f t="shared" si="66"/>
        <v>POPLAR</v>
      </c>
      <c r="H345" t="str">
        <f t="shared" si="63"/>
        <v>MT </v>
      </c>
      <c r="I345" s="1">
        <f t="shared" si="67"/>
        <v>59255</v>
      </c>
      <c r="J345" s="1" t="str">
        <f t="shared" si="68"/>
        <v>406 768 5312</v>
      </c>
      <c r="K345" s="1" t="str">
        <f t="shared" si="69"/>
        <v>406 768 3405</v>
      </c>
    </row>
    <row r="346" spans="1:11" ht="12.75">
      <c r="A346" s="1" t="s">
        <v>11</v>
      </c>
      <c r="B346" t="str">
        <f>T("BR OF IRRIGATION")</f>
        <v>BR OF IRRIGATION</v>
      </c>
      <c r="C346" t="str">
        <f t="shared" si="64"/>
        <v>DOI/BIA/FORT PECK AGENCY</v>
      </c>
      <c r="D346" t="str">
        <f t="shared" si="65"/>
        <v>P.O. BOX 637</v>
      </c>
      <c r="E346" s="1" t="s">
        <v>0</v>
      </c>
      <c r="F346" t="s">
        <v>0</v>
      </c>
      <c r="G346" t="str">
        <f t="shared" si="66"/>
        <v>POPLAR</v>
      </c>
      <c r="H346" t="str">
        <f t="shared" si="63"/>
        <v>MT </v>
      </c>
      <c r="I346" s="1">
        <f t="shared" si="67"/>
        <v>59255</v>
      </c>
      <c r="J346" s="1" t="str">
        <f t="shared" si="68"/>
        <v>406 768 5312</v>
      </c>
      <c r="K346" s="1" t="str">
        <f t="shared" si="69"/>
        <v>406 768 3405</v>
      </c>
    </row>
    <row r="347" spans="1:11" ht="12.75">
      <c r="A347" s="1" t="s">
        <v>11</v>
      </c>
      <c r="B347" t="str">
        <f>T("BR OF CREDIT")</f>
        <v>BR OF CREDIT</v>
      </c>
      <c r="C347" t="str">
        <f t="shared" si="64"/>
        <v>DOI/BIA/FORT PECK AGENCY</v>
      </c>
      <c r="D347" t="str">
        <f t="shared" si="65"/>
        <v>P.O. BOX 637</v>
      </c>
      <c r="E347" s="1" t="s">
        <v>0</v>
      </c>
      <c r="F347" t="s">
        <v>0</v>
      </c>
      <c r="G347" t="str">
        <f t="shared" si="66"/>
        <v>POPLAR</v>
      </c>
      <c r="H347" t="str">
        <f t="shared" si="63"/>
        <v>MT </v>
      </c>
      <c r="I347" s="1">
        <f t="shared" si="67"/>
        <v>59255</v>
      </c>
      <c r="J347" s="1" t="str">
        <f t="shared" si="68"/>
        <v>406 768 5312</v>
      </c>
      <c r="K347" s="1" t="str">
        <f t="shared" si="69"/>
        <v>406 768 3405</v>
      </c>
    </row>
    <row r="348" spans="1:11" ht="12.75">
      <c r="A348" s="1" t="s">
        <v>11</v>
      </c>
      <c r="B348" t="str">
        <f>T("REAL ESTATE SERVICES")</f>
        <v>REAL ESTATE SERVICES</v>
      </c>
      <c r="C348" t="str">
        <f>T("DOI/BIA/NORTHERN CHEYENNE AGENCY")</f>
        <v>DOI/BIA/NORTHERN CHEYENNE AGENCY</v>
      </c>
      <c r="D348" t="str">
        <f>T("P.O. BOX 40")</f>
        <v>P.O. BOX 40</v>
      </c>
      <c r="E348" s="1" t="s">
        <v>0</v>
      </c>
      <c r="F348" t="s">
        <v>0</v>
      </c>
      <c r="G348" t="str">
        <f>T("LAME DEER")</f>
        <v>LAME DEER</v>
      </c>
      <c r="H348" t="str">
        <f t="shared" si="63"/>
        <v>MT </v>
      </c>
      <c r="I348" s="1">
        <f>N(59043)</f>
        <v>59043</v>
      </c>
      <c r="J348" s="1" t="str">
        <f>T("406 477 8242")</f>
        <v>406 477 8242</v>
      </c>
      <c r="K348" s="1" t="str">
        <f>T("406 477 6636")</f>
        <v>406 477 6636</v>
      </c>
    </row>
    <row r="349" spans="1:11" ht="12.75">
      <c r="A349" s="1" t="s">
        <v>11</v>
      </c>
      <c r="B349" t="str">
        <f>T("BR OF CREDIT")</f>
        <v>BR OF CREDIT</v>
      </c>
      <c r="C349" t="str">
        <f>T("DOI/BIA/NORTHERN CHEYENNE AGENCY")</f>
        <v>DOI/BIA/NORTHERN CHEYENNE AGENCY</v>
      </c>
      <c r="D349" t="str">
        <f>T("P.O. BOX 40")</f>
        <v>P.O. BOX 40</v>
      </c>
      <c r="E349" s="1" t="s">
        <v>0</v>
      </c>
      <c r="F349" t="s">
        <v>0</v>
      </c>
      <c r="G349" t="str">
        <f>T("LAME DEER")</f>
        <v>LAME DEER</v>
      </c>
      <c r="H349" t="str">
        <f t="shared" si="63"/>
        <v>MT </v>
      </c>
      <c r="I349" s="1">
        <f>N(59043)</f>
        <v>59043</v>
      </c>
      <c r="J349" s="1" t="str">
        <f>T("406 477 8242")</f>
        <v>406 477 8242</v>
      </c>
      <c r="K349" s="1" t="str">
        <f>T("406 477 6636")</f>
        <v>406 477 6636</v>
      </c>
    </row>
    <row r="350" spans="1:11" ht="12.75">
      <c r="A350" s="1" t="s">
        <v>11</v>
      </c>
      <c r="B350" t="str">
        <f>T("BR OF ADMIN")</f>
        <v>BR OF ADMIN</v>
      </c>
      <c r="C350" t="str">
        <f aca="true" t="shared" si="70" ref="C350:C356">T("DOI/BIA/WIND RIVER AGENCY")</f>
        <v>DOI/BIA/WIND RIVER AGENCY</v>
      </c>
      <c r="D350" t="str">
        <f aca="true" t="shared" si="71" ref="D350:D356">T("P.O. BOX 158")</f>
        <v>P.O. BOX 158</v>
      </c>
      <c r="E350" s="1" t="s">
        <v>0</v>
      </c>
      <c r="F350" t="s">
        <v>0</v>
      </c>
      <c r="G350" t="str">
        <f aca="true" t="shared" si="72" ref="G350:G356">T("FORT WASHAKIE")</f>
        <v>FORT WASHAKIE</v>
      </c>
      <c r="H350" t="str">
        <f aca="true" t="shared" si="73" ref="H350:H356">T("WY ")</f>
        <v>WY </v>
      </c>
      <c r="I350" s="1">
        <f aca="true" t="shared" si="74" ref="I350:I356">N(82514)</f>
        <v>82514</v>
      </c>
      <c r="J350" s="1" t="str">
        <f aca="true" t="shared" si="75" ref="J350:J356">T("307 332 4575")</f>
        <v>307 332 4575</v>
      </c>
      <c r="K350" s="1" t="str">
        <f aca="true" t="shared" si="76" ref="K350:K356">T("307 332 4578")</f>
        <v>307 332 4578</v>
      </c>
    </row>
    <row r="351" spans="1:11" ht="12.75">
      <c r="A351" s="1" t="s">
        <v>11</v>
      </c>
      <c r="B351" t="str">
        <f>T("BR OF FACIL")</f>
        <v>BR OF FACIL</v>
      </c>
      <c r="C351" t="str">
        <f t="shared" si="70"/>
        <v>DOI/BIA/WIND RIVER AGENCY</v>
      </c>
      <c r="D351" t="str">
        <f t="shared" si="71"/>
        <v>P.O. BOX 158</v>
      </c>
      <c r="E351" s="1" t="s">
        <v>0</v>
      </c>
      <c r="F351" t="s">
        <v>0</v>
      </c>
      <c r="G351" t="str">
        <f t="shared" si="72"/>
        <v>FORT WASHAKIE</v>
      </c>
      <c r="H351" t="str">
        <f t="shared" si="73"/>
        <v>WY </v>
      </c>
      <c r="I351" s="1">
        <f t="shared" si="74"/>
        <v>82514</v>
      </c>
      <c r="J351" s="1" t="str">
        <f t="shared" si="75"/>
        <v>307 332 4575</v>
      </c>
      <c r="K351" s="1" t="str">
        <f t="shared" si="76"/>
        <v>307 332 4578</v>
      </c>
    </row>
    <row r="352" spans="1:11" ht="12.75">
      <c r="A352" s="1" t="s">
        <v>11</v>
      </c>
      <c r="B352" t="str">
        <f>T("REAL ESTATE SERVICES")</f>
        <v>REAL ESTATE SERVICES</v>
      </c>
      <c r="C352" t="str">
        <f t="shared" si="70"/>
        <v>DOI/BIA/WIND RIVER AGENCY</v>
      </c>
      <c r="D352" t="str">
        <f t="shared" si="71"/>
        <v>P.O. BOX 158</v>
      </c>
      <c r="E352" s="1" t="s">
        <v>0</v>
      </c>
      <c r="F352" t="s">
        <v>0</v>
      </c>
      <c r="G352" t="str">
        <f t="shared" si="72"/>
        <v>FORT WASHAKIE</v>
      </c>
      <c r="H352" t="str">
        <f t="shared" si="73"/>
        <v>WY </v>
      </c>
      <c r="I352" s="1">
        <f t="shared" si="74"/>
        <v>82514</v>
      </c>
      <c r="J352" s="1" t="str">
        <f t="shared" si="75"/>
        <v>307 332 4575</v>
      </c>
      <c r="K352" s="1" t="str">
        <f t="shared" si="76"/>
        <v>307 332 4578</v>
      </c>
    </row>
    <row r="353" spans="1:11" ht="12.75">
      <c r="A353" s="1" t="s">
        <v>11</v>
      </c>
      <c r="B353" t="str">
        <f>T("BR OF NAT RES")</f>
        <v>BR OF NAT RES</v>
      </c>
      <c r="C353" t="str">
        <f t="shared" si="70"/>
        <v>DOI/BIA/WIND RIVER AGENCY</v>
      </c>
      <c r="D353" t="str">
        <f t="shared" si="71"/>
        <v>P.O. BOX 158</v>
      </c>
      <c r="E353" s="1" t="s">
        <v>0</v>
      </c>
      <c r="F353" t="s">
        <v>0</v>
      </c>
      <c r="G353" t="str">
        <f t="shared" si="72"/>
        <v>FORT WASHAKIE</v>
      </c>
      <c r="H353" t="str">
        <f t="shared" si="73"/>
        <v>WY </v>
      </c>
      <c r="I353" s="1">
        <f t="shared" si="74"/>
        <v>82514</v>
      </c>
      <c r="J353" s="1" t="str">
        <f t="shared" si="75"/>
        <v>307 332 4575</v>
      </c>
      <c r="K353" s="1" t="str">
        <f t="shared" si="76"/>
        <v>307 332 4578</v>
      </c>
    </row>
    <row r="354" spans="1:11" ht="12.75">
      <c r="A354" s="1" t="s">
        <v>11</v>
      </c>
      <c r="B354" t="str">
        <f>T("FORESTRY AND FIRE")</f>
        <v>FORESTRY AND FIRE</v>
      </c>
      <c r="C354" t="str">
        <f t="shared" si="70"/>
        <v>DOI/BIA/WIND RIVER AGENCY</v>
      </c>
      <c r="D354" t="str">
        <f t="shared" si="71"/>
        <v>P.O. BOX 158</v>
      </c>
      <c r="E354" s="1" t="s">
        <v>0</v>
      </c>
      <c r="F354" t="s">
        <v>0</v>
      </c>
      <c r="G354" t="str">
        <f t="shared" si="72"/>
        <v>FORT WASHAKIE</v>
      </c>
      <c r="H354" t="str">
        <f t="shared" si="73"/>
        <v>WY </v>
      </c>
      <c r="I354" s="1">
        <f t="shared" si="74"/>
        <v>82514</v>
      </c>
      <c r="J354" s="1" t="str">
        <f t="shared" si="75"/>
        <v>307 332 4575</v>
      </c>
      <c r="K354" s="1" t="str">
        <f t="shared" si="76"/>
        <v>307 332 4578</v>
      </c>
    </row>
    <row r="355" spans="1:11" ht="12.75">
      <c r="A355" s="1" t="s">
        <v>11</v>
      </c>
      <c r="B355" t="str">
        <f>T("BR OF IRRIGATION")</f>
        <v>BR OF IRRIGATION</v>
      </c>
      <c r="C355" t="str">
        <f t="shared" si="70"/>
        <v>DOI/BIA/WIND RIVER AGENCY</v>
      </c>
      <c r="D355" t="str">
        <f t="shared" si="71"/>
        <v>P.O. BOX 158</v>
      </c>
      <c r="E355" s="1" t="s">
        <v>0</v>
      </c>
      <c r="F355" t="s">
        <v>0</v>
      </c>
      <c r="G355" t="str">
        <f t="shared" si="72"/>
        <v>FORT WASHAKIE</v>
      </c>
      <c r="H355" t="str">
        <f t="shared" si="73"/>
        <v>WY </v>
      </c>
      <c r="I355" s="1">
        <f t="shared" si="74"/>
        <v>82514</v>
      </c>
      <c r="J355" s="1" t="str">
        <f t="shared" si="75"/>
        <v>307 332 4575</v>
      </c>
      <c r="K355" s="1" t="str">
        <f t="shared" si="76"/>
        <v>307 332 4578</v>
      </c>
    </row>
    <row r="356" spans="1:11" ht="12.75">
      <c r="A356" s="1" t="s">
        <v>11</v>
      </c>
      <c r="B356" t="str">
        <f>T("TRANSPORTATION")</f>
        <v>TRANSPORTATION</v>
      </c>
      <c r="C356" t="str">
        <f t="shared" si="70"/>
        <v>DOI/BIA/WIND RIVER AGENCY</v>
      </c>
      <c r="D356" t="str">
        <f t="shared" si="71"/>
        <v>P.O. BOX 158</v>
      </c>
      <c r="E356" s="1" t="s">
        <v>0</v>
      </c>
      <c r="F356" t="s">
        <v>0</v>
      </c>
      <c r="G356" t="str">
        <f t="shared" si="72"/>
        <v>FORT WASHAKIE</v>
      </c>
      <c r="H356" t="str">
        <f t="shared" si="73"/>
        <v>WY </v>
      </c>
      <c r="I356" s="1">
        <f t="shared" si="74"/>
        <v>82514</v>
      </c>
      <c r="J356" s="1" t="str">
        <f t="shared" si="75"/>
        <v>307 332 4575</v>
      </c>
      <c r="K356" s="1" t="str">
        <f t="shared" si="76"/>
        <v>307 332 4578</v>
      </c>
    </row>
    <row r="357" spans="1:11" ht="12.75">
      <c r="A357" s="1" t="s">
        <v>11</v>
      </c>
      <c r="B357" t="str">
        <f>T("CONTRACTS SECTION")</f>
        <v>CONTRACTS SECTION</v>
      </c>
      <c r="C357" t="str">
        <f aca="true" t="shared" si="77" ref="C357:C365">T("DOI/BIA/ALASKA REGION")</f>
        <v>DOI/BIA/ALASKA REGION</v>
      </c>
      <c r="D357" t="str">
        <f>T("P.O. BOX 25520")</f>
        <v>P.O. BOX 25520</v>
      </c>
      <c r="E357" s="1" t="s">
        <v>0</v>
      </c>
      <c r="F357" t="s">
        <v>0</v>
      </c>
      <c r="G357" t="str">
        <f aca="true" t="shared" si="78" ref="G357:G365">T("JUNEAU")</f>
        <v>JUNEAU</v>
      </c>
      <c r="H357" t="str">
        <f aca="true" t="shared" si="79" ref="H357:H365">T("AK ")</f>
        <v>AK </v>
      </c>
      <c r="I357" s="1">
        <f aca="true" t="shared" si="80" ref="I357:I365">N(99802)</f>
        <v>99802</v>
      </c>
      <c r="J357" s="1" t="str">
        <f>T("907 586 7171")</f>
        <v>907 586 7171</v>
      </c>
      <c r="K357" s="1" t="str">
        <f>T("907 586 7525")</f>
        <v>907 586 7525</v>
      </c>
    </row>
    <row r="358" spans="1:11" ht="12.75">
      <c r="A358" s="1" t="s">
        <v>11</v>
      </c>
      <c r="B358" t="str">
        <f>T("OFC SVCS SECTION")</f>
        <v>OFC SVCS SECTION</v>
      </c>
      <c r="C358" t="str">
        <f t="shared" si="77"/>
        <v>DOI/BIA/ALASKA REGION</v>
      </c>
      <c r="D358" t="str">
        <f>T("P.O. BOX 25520")</f>
        <v>P.O. BOX 25520</v>
      </c>
      <c r="E358" s="1" t="s">
        <v>0</v>
      </c>
      <c r="F358" t="s">
        <v>0</v>
      </c>
      <c r="G358" t="str">
        <f t="shared" si="78"/>
        <v>JUNEAU</v>
      </c>
      <c r="H358" t="str">
        <f t="shared" si="79"/>
        <v>AK </v>
      </c>
      <c r="I358" s="1">
        <f t="shared" si="80"/>
        <v>99802</v>
      </c>
      <c r="J358" s="1" t="str">
        <f>T("907 586 7190")</f>
        <v>907 586 7190</v>
      </c>
      <c r="K358" s="1" t="str">
        <f>T("907 586 7169")</f>
        <v>907 586 7169</v>
      </c>
    </row>
    <row r="359" spans="1:11" ht="12.75">
      <c r="A359" s="1" t="s">
        <v>11</v>
      </c>
      <c r="B359" t="str">
        <f>T("ARCHEOLOGY SECTION")</f>
        <v>ARCHEOLOGY SECTION</v>
      </c>
      <c r="C359" t="str">
        <f t="shared" si="77"/>
        <v>DOI/BIA/ALASKA REGION</v>
      </c>
      <c r="D359" t="str">
        <f>T("3601 C STREET  SUIT 1100 ")</f>
        <v>3601 C STREET  SUIT 1100 </v>
      </c>
      <c r="E359" s="1" t="s">
        <v>0</v>
      </c>
      <c r="F359" t="s">
        <v>0</v>
      </c>
      <c r="G359" t="str">
        <f t="shared" si="78"/>
        <v>JUNEAU</v>
      </c>
      <c r="H359" t="str">
        <f t="shared" si="79"/>
        <v>AK </v>
      </c>
      <c r="I359" s="1">
        <f t="shared" si="80"/>
        <v>99802</v>
      </c>
      <c r="J359" s="1" t="str">
        <f>T("907 271 4003")</f>
        <v>907 271 4003</v>
      </c>
      <c r="K359" s="1" t="str">
        <f>T("907 271 1747")</f>
        <v>907 271 1747</v>
      </c>
    </row>
    <row r="360" spans="1:11" ht="12.75">
      <c r="A360" s="1" t="s">
        <v>11</v>
      </c>
      <c r="B360" t="str">
        <f>T("TITLES &amp; RECORDS SECTION")</f>
        <v>TITLES &amp; RECORDS SECTION</v>
      </c>
      <c r="C360" t="str">
        <f t="shared" si="77"/>
        <v>DOI/BIA/ALASKA REGION</v>
      </c>
      <c r="D360" t="str">
        <f>T("3601 C STREET  SUIT 1100 ")</f>
        <v>3601 C STREET  SUIT 1100 </v>
      </c>
      <c r="E360" s="1" t="s">
        <v>0</v>
      </c>
      <c r="F360" t="s">
        <v>0</v>
      </c>
      <c r="G360" t="str">
        <f t="shared" si="78"/>
        <v>JUNEAU</v>
      </c>
      <c r="H360" t="str">
        <f t="shared" si="79"/>
        <v>AK </v>
      </c>
      <c r="I360" s="1">
        <f t="shared" si="80"/>
        <v>99802</v>
      </c>
      <c r="J360" s="1" t="str">
        <f>T("907 271 4019")</f>
        <v>907 271 4019</v>
      </c>
      <c r="K360" s="1" t="str">
        <f>T("907 271 4801")</f>
        <v>907 271 4801</v>
      </c>
    </row>
    <row r="361" spans="1:11" ht="12.75">
      <c r="A361" s="1" t="s">
        <v>11</v>
      </c>
      <c r="B361" t="str">
        <f>T("FORESTRY SECTION")</f>
        <v>FORESTRY SECTION</v>
      </c>
      <c r="C361" t="str">
        <f t="shared" si="77"/>
        <v>DOI/BIA/ALASKA REGION</v>
      </c>
      <c r="D361" t="str">
        <f>T("P.O. BOX 25520")</f>
        <v>P.O. BOX 25520</v>
      </c>
      <c r="E361" s="1" t="s">
        <v>0</v>
      </c>
      <c r="F361" t="s">
        <v>0</v>
      </c>
      <c r="G361" t="str">
        <f t="shared" si="78"/>
        <v>JUNEAU</v>
      </c>
      <c r="H361" t="str">
        <f t="shared" si="79"/>
        <v>AK </v>
      </c>
      <c r="I361" s="1">
        <f t="shared" si="80"/>
        <v>99802</v>
      </c>
      <c r="J361" s="1" t="str">
        <f>T("907 586 7315")</f>
        <v>907 586 7315</v>
      </c>
      <c r="K361" s="1" t="str">
        <f>T("907 586 7169")</f>
        <v>907 586 7169</v>
      </c>
    </row>
    <row r="362" spans="1:11" ht="12.75">
      <c r="A362" s="1" t="s">
        <v>11</v>
      </c>
      <c r="B362" t="str">
        <f>T("BR OF ADMIN")</f>
        <v>BR OF ADMIN</v>
      </c>
      <c r="C362" t="str">
        <f t="shared" si="77"/>
        <v>DOI/BIA/ALASKA REGION</v>
      </c>
      <c r="D362" t="str">
        <f>T("3601 C STREET  SUIT 1100 ")</f>
        <v>3601 C STREET  SUIT 1100 </v>
      </c>
      <c r="E362" s="1" t="s">
        <v>0</v>
      </c>
      <c r="F362" t="s">
        <v>0</v>
      </c>
      <c r="G362" t="str">
        <f t="shared" si="78"/>
        <v>JUNEAU</v>
      </c>
      <c r="H362" t="str">
        <f t="shared" si="79"/>
        <v>AK </v>
      </c>
      <c r="I362" s="1">
        <f t="shared" si="80"/>
        <v>99802</v>
      </c>
      <c r="J362" s="1" t="str">
        <f>T("907 271 4084")</f>
        <v>907 271 4084</v>
      </c>
      <c r="K362" s="1" t="str">
        <f>T("907 271 4083")</f>
        <v>907 271 4083</v>
      </c>
    </row>
    <row r="363" spans="1:11" ht="12.75">
      <c r="A363" s="1" t="s">
        <v>11</v>
      </c>
      <c r="B363" t="str">
        <f>T("BR OF TRUST SVCS")</f>
        <v>BR OF TRUST SVCS</v>
      </c>
      <c r="C363" t="str">
        <f t="shared" si="77"/>
        <v>DOI/BIA/ALASKA REGION</v>
      </c>
      <c r="D363" t="str">
        <f>T("3601 C STREET  SUIT 1100 ")</f>
        <v>3601 C STREET  SUIT 1100 </v>
      </c>
      <c r="E363" s="1" t="s">
        <v>0</v>
      </c>
      <c r="F363" t="s">
        <v>0</v>
      </c>
      <c r="G363" t="str">
        <f t="shared" si="78"/>
        <v>JUNEAU</v>
      </c>
      <c r="H363" t="str">
        <f t="shared" si="79"/>
        <v>AK </v>
      </c>
      <c r="I363" s="1">
        <f t="shared" si="80"/>
        <v>99802</v>
      </c>
      <c r="J363" s="1" t="str">
        <f>T("907 271 4088")</f>
        <v>907 271 4088</v>
      </c>
      <c r="K363" s="1" t="str">
        <f>T("907 271 4083")</f>
        <v>907 271 4083</v>
      </c>
    </row>
    <row r="364" spans="1:11" ht="12.75">
      <c r="A364" s="1" t="s">
        <v>11</v>
      </c>
      <c r="B364" t="str">
        <f>T("BR OF ADMIN")</f>
        <v>BR OF ADMIN</v>
      </c>
      <c r="C364" t="str">
        <f t="shared" si="77"/>
        <v>DOI/BIA/ALASKA REGION</v>
      </c>
      <c r="D364" t="str">
        <f>T("101 12TH AVE. BOX 16")</f>
        <v>101 12TH AVE. BOX 16</v>
      </c>
      <c r="E364" s="1" t="s">
        <v>0</v>
      </c>
      <c r="F364" t="s">
        <v>0</v>
      </c>
      <c r="G364" t="str">
        <f t="shared" si="78"/>
        <v>JUNEAU</v>
      </c>
      <c r="H364" t="str">
        <f t="shared" si="79"/>
        <v>AK </v>
      </c>
      <c r="I364" s="1">
        <f t="shared" si="80"/>
        <v>99802</v>
      </c>
      <c r="J364" s="1" t="str">
        <f>T("907 456 0229")</f>
        <v>907 456 0229</v>
      </c>
      <c r="K364" s="1" t="str">
        <f>T("907 456 0225")</f>
        <v>907 456 0225</v>
      </c>
    </row>
    <row r="365" spans="1:11" ht="12.75">
      <c r="A365" s="1" t="s">
        <v>11</v>
      </c>
      <c r="B365" t="str">
        <f>T("BR OF TRUST SVCS")</f>
        <v>BR OF TRUST SVCS</v>
      </c>
      <c r="C365" t="str">
        <f t="shared" si="77"/>
        <v>DOI/BIA/ALASKA REGION</v>
      </c>
      <c r="D365" t="str">
        <f>T("101 12TH AVE. BOX 16")</f>
        <v>101 12TH AVE. BOX 16</v>
      </c>
      <c r="E365" s="1" t="s">
        <v>0</v>
      </c>
      <c r="F365" t="s">
        <v>0</v>
      </c>
      <c r="G365" t="str">
        <f t="shared" si="78"/>
        <v>JUNEAU</v>
      </c>
      <c r="H365" t="str">
        <f t="shared" si="79"/>
        <v>AK </v>
      </c>
      <c r="I365" s="1">
        <f t="shared" si="80"/>
        <v>99802</v>
      </c>
      <c r="J365" s="1" t="str">
        <f>T("907 456 0229")</f>
        <v>907 456 0229</v>
      </c>
      <c r="K365" s="1" t="str">
        <f>T("907 456 0225")</f>
        <v>907 456 0225</v>
      </c>
    </row>
    <row r="366" spans="1:11" ht="12.75">
      <c r="A366" s="1" t="s">
        <v>11</v>
      </c>
      <c r="B366" t="str">
        <f>T("FORESTRY")</f>
        <v>FORESTRY</v>
      </c>
      <c r="C366" t="str">
        <f>T("MIDWEST REGIONAL OFFICE")</f>
        <v>MIDWEST REGIONAL OFFICE</v>
      </c>
      <c r="D366" t="str">
        <f>T("ONE FEDERAL DRIVE  ROOM 550")</f>
        <v>ONE FEDERAL DRIVE  ROOM 550</v>
      </c>
      <c r="E366" s="1" t="s">
        <v>0</v>
      </c>
      <c r="F366" t="s">
        <v>0</v>
      </c>
      <c r="G366" t="str">
        <f>T("FT. SNELLING")</f>
        <v>FT. SNELLING</v>
      </c>
      <c r="H366" t="str">
        <f aca="true" t="shared" si="81" ref="H366:H373">T("MN ")</f>
        <v>MN </v>
      </c>
      <c r="I366" s="1" t="str">
        <f>T("55111 4007")</f>
        <v>55111 4007</v>
      </c>
      <c r="J366" s="1" t="str">
        <f>T("612 713 4400")</f>
        <v>612 713 4400</v>
      </c>
      <c r="K366" s="1" t="str">
        <f>T("612 713 4441")</f>
        <v>612 713 4441</v>
      </c>
    </row>
    <row r="367" spans="1:11" ht="12.75">
      <c r="A367" s="1" t="s">
        <v>11</v>
      </c>
      <c r="B367" t="str">
        <f>T("RIGHTS PROTECTION")</f>
        <v>RIGHTS PROTECTION</v>
      </c>
      <c r="C367" t="str">
        <f>T("MIDWEST REGIONAL OFFICE")</f>
        <v>MIDWEST REGIONAL OFFICE</v>
      </c>
      <c r="D367" t="str">
        <f>T("ONE FEDERAL DRIVE  ROOM 550")</f>
        <v>ONE FEDERAL DRIVE  ROOM 550</v>
      </c>
      <c r="E367" s="1" t="s">
        <v>0</v>
      </c>
      <c r="F367" t="s">
        <v>0</v>
      </c>
      <c r="G367" t="str">
        <f>T("FT. SNELLING")</f>
        <v>FT. SNELLING</v>
      </c>
      <c r="H367" t="str">
        <f t="shared" si="81"/>
        <v>MN </v>
      </c>
      <c r="I367" s="1" t="str">
        <f>T("55111 4007")</f>
        <v>55111 4007</v>
      </c>
      <c r="J367" s="1" t="str">
        <f>T("612 713 4400")</f>
        <v>612 713 4400</v>
      </c>
      <c r="K367" s="1" t="str">
        <f>T("612 713 4441")</f>
        <v>612 713 4441</v>
      </c>
    </row>
    <row r="368" spans="1:11" ht="12.75">
      <c r="A368" s="1" t="s">
        <v>11</v>
      </c>
      <c r="B368" t="str">
        <f>T("REAL ESTATE SERVICES")</f>
        <v>REAL ESTATE SERVICES</v>
      </c>
      <c r="C368" t="str">
        <f>T("MIDWEST REGIONAL OFFICE")</f>
        <v>MIDWEST REGIONAL OFFICE</v>
      </c>
      <c r="D368" t="str">
        <f>T("ONE FEDERAL DRIVE  ROOM 550")</f>
        <v>ONE FEDERAL DRIVE  ROOM 550</v>
      </c>
      <c r="E368" s="1" t="s">
        <v>0</v>
      </c>
      <c r="F368" t="s">
        <v>0</v>
      </c>
      <c r="G368" t="str">
        <f>T("FT. SNELLING")</f>
        <v>FT. SNELLING</v>
      </c>
      <c r="H368" t="str">
        <f t="shared" si="81"/>
        <v>MN </v>
      </c>
      <c r="I368" s="1" t="str">
        <f>T("55111 4007")</f>
        <v>55111 4007</v>
      </c>
      <c r="J368" s="1" t="str">
        <f>T("612 713 4400")</f>
        <v>612 713 4400</v>
      </c>
      <c r="K368" s="1" t="str">
        <f>T("612 713 4441")</f>
        <v>612 713 4441</v>
      </c>
    </row>
    <row r="369" spans="1:11" ht="12.75">
      <c r="A369" s="1" t="s">
        <v>11</v>
      </c>
      <c r="B369" t="str">
        <f>T("HUMAN SERVICES")</f>
        <v>HUMAN SERVICES</v>
      </c>
      <c r="C369" t="str">
        <f>T("MIDWEST REGIONAL OFFICE")</f>
        <v>MIDWEST REGIONAL OFFICE</v>
      </c>
      <c r="D369" t="str">
        <f>T("ONE FEDERAL DRIVE  ROOM 550")</f>
        <v>ONE FEDERAL DRIVE  ROOM 550</v>
      </c>
      <c r="E369" s="1" t="s">
        <v>0</v>
      </c>
      <c r="F369" t="s">
        <v>0</v>
      </c>
      <c r="G369" t="str">
        <f>T("FT. SNELLING")</f>
        <v>FT. SNELLING</v>
      </c>
      <c r="H369" t="str">
        <f t="shared" si="81"/>
        <v>MN </v>
      </c>
      <c r="I369" s="1" t="str">
        <f>T("55111 4007")</f>
        <v>55111 4007</v>
      </c>
      <c r="J369" s="1" t="str">
        <f>T("612 713 4400")</f>
        <v>612 713 4400</v>
      </c>
      <c r="K369" s="1" t="str">
        <f>T("612 713 4441")</f>
        <v>612 713 4441</v>
      </c>
    </row>
    <row r="370" spans="1:11" ht="12.75">
      <c r="A370" s="1" t="s">
        <v>11</v>
      </c>
      <c r="B370" t="str">
        <f>T("BR OF REALTY")</f>
        <v>BR OF REALTY</v>
      </c>
      <c r="C370" t="str">
        <f>T("MIDWEST REGIONAL OFFICE")</f>
        <v>MIDWEST REGIONAL OFFICE</v>
      </c>
      <c r="D370" t="str">
        <f>T("ONE FEDERAL DRIVE  ROOM 550")</f>
        <v>ONE FEDERAL DRIVE  ROOM 550</v>
      </c>
      <c r="E370" s="1" t="s">
        <v>0</v>
      </c>
      <c r="F370" t="s">
        <v>0</v>
      </c>
      <c r="G370" t="str">
        <f>T("FT. SNELLING")</f>
        <v>FT. SNELLING</v>
      </c>
      <c r="H370" t="str">
        <f t="shared" si="81"/>
        <v>MN </v>
      </c>
      <c r="I370" s="1" t="str">
        <f>T("55111 4007")</f>
        <v>55111 4007</v>
      </c>
      <c r="J370" s="1" t="str">
        <f>T("612 713 4400")</f>
        <v>612 713 4400</v>
      </c>
      <c r="K370" s="1" t="str">
        <f>T("612 713 4441")</f>
        <v>612 713 4441</v>
      </c>
    </row>
    <row r="371" spans="1:11" ht="12.75">
      <c r="A371" s="1" t="s">
        <v>11</v>
      </c>
      <c r="B371" t="str">
        <f>T("BR OF ADMIN")</f>
        <v>BR OF ADMIN</v>
      </c>
      <c r="C371" t="str">
        <f>T("MINNESOTA AGENCY")</f>
        <v>MINNESOTA AGENCY</v>
      </c>
      <c r="D371" t="str">
        <f>T("522 MINNESOTA AVE NW RM 418 FED BLDG")</f>
        <v>522 MINNESOTA AVE NW RM 418 FED BLDG</v>
      </c>
      <c r="E371" s="1" t="s">
        <v>0</v>
      </c>
      <c r="F371" t="s">
        <v>0</v>
      </c>
      <c r="G371" t="str">
        <f>T("BEMIDJI")</f>
        <v>BEMIDJI</v>
      </c>
      <c r="H371" t="str">
        <f t="shared" si="81"/>
        <v>MN </v>
      </c>
      <c r="I371" s="1" t="str">
        <f>T("56601 3062")</f>
        <v>56601 3062</v>
      </c>
      <c r="J371" s="1" t="str">
        <f>T("218 751 2011")</f>
        <v>218 751 2011</v>
      </c>
      <c r="K371" s="1" t="str">
        <f>T("218 751 4367")</f>
        <v>218 751 4367</v>
      </c>
    </row>
    <row r="372" spans="1:11" ht="12.75">
      <c r="A372" s="1" t="s">
        <v>11</v>
      </c>
      <c r="B372" t="str">
        <f>T("REAL ESTATE SERVICES")</f>
        <v>REAL ESTATE SERVICES</v>
      </c>
      <c r="C372" t="str">
        <f>T("MINNESOTA AGENCY")</f>
        <v>MINNESOTA AGENCY</v>
      </c>
      <c r="D372" t="str">
        <f>T("522 MINNESOTA AVE NW RM 418 FED BLDG")</f>
        <v>522 MINNESOTA AVE NW RM 418 FED BLDG</v>
      </c>
      <c r="E372" s="1" t="s">
        <v>0</v>
      </c>
      <c r="F372" t="s">
        <v>0</v>
      </c>
      <c r="G372" t="str">
        <f>T("BEMIDJI")</f>
        <v>BEMIDJI</v>
      </c>
      <c r="H372" t="str">
        <f t="shared" si="81"/>
        <v>MN </v>
      </c>
      <c r="I372" s="1" t="str">
        <f>T("56601 3062")</f>
        <v>56601 3062</v>
      </c>
      <c r="J372" s="1" t="str">
        <f>T("218 751 2011")</f>
        <v>218 751 2011</v>
      </c>
      <c r="K372" s="1" t="str">
        <f>T("218 751 4367")</f>
        <v>218 751 4367</v>
      </c>
    </row>
    <row r="373" spans="1:11" ht="12.75">
      <c r="A373" s="1" t="s">
        <v>11</v>
      </c>
      <c r="B373" t="str">
        <f>T("FORESTRY AND FIRE")</f>
        <v>FORESTRY AND FIRE</v>
      </c>
      <c r="C373" t="str">
        <f>T("MINNESOTA AGENCY")</f>
        <v>MINNESOTA AGENCY</v>
      </c>
      <c r="D373" t="str">
        <f>T("522 MINNESOTA AVE NW RM 418 FED BLDG")</f>
        <v>522 MINNESOTA AVE NW RM 418 FED BLDG</v>
      </c>
      <c r="E373" s="1" t="s">
        <v>0</v>
      </c>
      <c r="F373" t="s">
        <v>0</v>
      </c>
      <c r="G373" t="str">
        <f>T("BEMIDJI")</f>
        <v>BEMIDJI</v>
      </c>
      <c r="H373" t="str">
        <f t="shared" si="81"/>
        <v>MN </v>
      </c>
      <c r="I373" s="1" t="str">
        <f>T("56601 3062")</f>
        <v>56601 3062</v>
      </c>
      <c r="J373" s="1" t="str">
        <f>T("218 751 2011")</f>
        <v>218 751 2011</v>
      </c>
      <c r="K373" s="1" t="str">
        <f>T("218 751 4367")</f>
        <v>218 751 4367</v>
      </c>
    </row>
    <row r="374" spans="1:11" ht="12.75">
      <c r="A374" s="1" t="s">
        <v>11</v>
      </c>
      <c r="B374" t="str">
        <f>T("BR OF ADMIN")</f>
        <v>BR OF ADMIN</v>
      </c>
      <c r="C374" t="str">
        <f>T("GREAT LAKES AGENCY")</f>
        <v>GREAT LAKES AGENCY</v>
      </c>
      <c r="D374" t="str">
        <f>T("615 WEST MAIN STREET")</f>
        <v>615 WEST MAIN STREET</v>
      </c>
      <c r="E374" s="1" t="str">
        <f>T("P.O. BOX 273")</f>
        <v>P.O. BOX 273</v>
      </c>
      <c r="F374" t="s">
        <v>0</v>
      </c>
      <c r="G374" t="str">
        <f>T("ASHLAND")</f>
        <v>ASHLAND</v>
      </c>
      <c r="H374" t="str">
        <f>T("WI ")</f>
        <v>WI </v>
      </c>
      <c r="I374" s="1" t="str">
        <f>T("54506 0273")</f>
        <v>54506 0273</v>
      </c>
      <c r="J374" s="1" t="str">
        <f>T("715 682 4527")</f>
        <v>715 682 4527</v>
      </c>
      <c r="K374" s="1" t="str">
        <f>T("715 682 8897")</f>
        <v>715 682 8897</v>
      </c>
    </row>
    <row r="375" spans="1:11" ht="12.75">
      <c r="A375" s="1" t="s">
        <v>11</v>
      </c>
      <c r="B375" t="str">
        <f>T("FORESTRY AND FIRE")</f>
        <v>FORESTRY AND FIRE</v>
      </c>
      <c r="C375" t="str">
        <f>T("GREAT LAKES AGENCY")</f>
        <v>GREAT LAKES AGENCY</v>
      </c>
      <c r="D375" t="str">
        <f>T("615 WEST MAIN STREET")</f>
        <v>615 WEST MAIN STREET</v>
      </c>
      <c r="E375" s="1" t="str">
        <f>T("P.O. BOX 273")</f>
        <v>P.O. BOX 273</v>
      </c>
      <c r="F375" t="s">
        <v>0</v>
      </c>
      <c r="G375" t="str">
        <f>T("ASHLAND")</f>
        <v>ASHLAND</v>
      </c>
      <c r="H375" t="str">
        <f>T("WI ")</f>
        <v>WI </v>
      </c>
      <c r="I375" s="1" t="str">
        <f>T("54506 0273")</f>
        <v>54506 0273</v>
      </c>
      <c r="J375" s="1" t="str">
        <f>T("715 682 4527")</f>
        <v>715 682 4527</v>
      </c>
      <c r="K375" s="1" t="str">
        <f>T("715 682 8897")</f>
        <v>715 682 8897</v>
      </c>
    </row>
    <row r="376" spans="1:11" ht="12.75">
      <c r="A376" s="1" t="s">
        <v>11</v>
      </c>
      <c r="B376" t="str">
        <f>T("BR OF FIELD SVCS")</f>
        <v>BR OF FIELD SVCS</v>
      </c>
      <c r="C376" t="str">
        <f>T("MICHIGAN AGENCY")</f>
        <v>MICHIGAN AGENCY</v>
      </c>
      <c r="D376" t="str">
        <f>T("2901.5 I 75 BUSINESS SPUR")</f>
        <v>2901.5 I 75 BUSINESS SPUR</v>
      </c>
      <c r="E376" s="1" t="s">
        <v>0</v>
      </c>
      <c r="F376" t="s">
        <v>0</v>
      </c>
      <c r="G376" t="str">
        <f>T("SAULT STE. MARIE")</f>
        <v>SAULT STE. MARIE</v>
      </c>
      <c r="H376" t="str">
        <f>T("MI ")</f>
        <v>MI </v>
      </c>
      <c r="I376" s="1" t="str">
        <f>T("49783 3519")</f>
        <v>49783 3519</v>
      </c>
      <c r="J376" s="1" t="str">
        <f>T("906 632 6809")</f>
        <v>906 632 6809</v>
      </c>
      <c r="K376" s="1" t="str">
        <f>T("906 632 0689")</f>
        <v>906 632 0689</v>
      </c>
    </row>
    <row r="377" spans="1:11" ht="12.75">
      <c r="A377" s="1" t="s">
        <v>11</v>
      </c>
      <c r="B377" t="str">
        <f>T("NATURAL RESOURCES")</f>
        <v>NATURAL RESOURCES</v>
      </c>
      <c r="C377" t="str">
        <f>T("DOI/BIA/CHICKASAW AGENCY")</f>
        <v>DOI/BIA/CHICKASAW AGENCY</v>
      </c>
      <c r="D377" t="str">
        <f>T("1500 N. COUNTRY CLUB RD  P.O. BOX 2240 ")</f>
        <v>1500 N. COUNTRY CLUB RD  P.O. BOX 2240 </v>
      </c>
      <c r="E377" s="1" t="s">
        <v>0</v>
      </c>
      <c r="F377" t="s">
        <v>0</v>
      </c>
      <c r="G377" t="str">
        <f>T("ADA")</f>
        <v>ADA</v>
      </c>
      <c r="H377" t="str">
        <f aca="true" t="shared" si="82" ref="H377:H386">T("OK ")</f>
        <v>OK </v>
      </c>
      <c r="I377" s="1">
        <f>N(74821)</f>
        <v>74821</v>
      </c>
      <c r="J377" s="1">
        <f>N(5804360784)</f>
        <v>5804360784</v>
      </c>
      <c r="K377" s="1">
        <f>N(5804363215)</f>
        <v>5804363215</v>
      </c>
    </row>
    <row r="378" spans="1:11" ht="12.75">
      <c r="A378" s="1" t="s">
        <v>11</v>
      </c>
      <c r="B378" t="str">
        <f>T("REAL ESTATE SERVICES")</f>
        <v>REAL ESTATE SERVICES</v>
      </c>
      <c r="C378" t="str">
        <f>T("DOI/BIA/CHICKASAW AGENCY")</f>
        <v>DOI/BIA/CHICKASAW AGENCY</v>
      </c>
      <c r="D378" t="str">
        <f>T("1500 N. COUNTRY CLUB RD  P.O. BOX 2240 ")</f>
        <v>1500 N. COUNTRY CLUB RD  P.O. BOX 2240 </v>
      </c>
      <c r="E378" s="1" t="s">
        <v>0</v>
      </c>
      <c r="F378" t="s">
        <v>0</v>
      </c>
      <c r="G378" t="str">
        <f>T("ADA")</f>
        <v>ADA</v>
      </c>
      <c r="H378" t="str">
        <f t="shared" si="82"/>
        <v>OK </v>
      </c>
      <c r="I378" s="1">
        <f>N(74821)</f>
        <v>74821</v>
      </c>
      <c r="J378" s="1">
        <f>N(5804360784)</f>
        <v>5804360784</v>
      </c>
      <c r="K378" s="1">
        <f>N(5804363215)</f>
        <v>5804363215</v>
      </c>
    </row>
    <row r="379" spans="1:11" ht="12.75">
      <c r="A379" s="1" t="s">
        <v>11</v>
      </c>
      <c r="B379" t="str">
        <f>T("BR OF FORESTRY")</f>
        <v>BR OF FORESTRY</v>
      </c>
      <c r="C379" t="str">
        <f>T("DOI/BIA/CHICKASAW AGENCY")</f>
        <v>DOI/BIA/CHICKASAW AGENCY</v>
      </c>
      <c r="D379" t="str">
        <f>T("1500 N. COUNTRY CLUB RD  P.O. BOX 2240 ")</f>
        <v>1500 N. COUNTRY CLUB RD  P.O. BOX 2240 </v>
      </c>
      <c r="E379" s="1" t="s">
        <v>0</v>
      </c>
      <c r="F379" t="s">
        <v>0</v>
      </c>
      <c r="G379" t="str">
        <f>T("ADA")</f>
        <v>ADA</v>
      </c>
      <c r="H379" t="str">
        <f t="shared" si="82"/>
        <v>OK </v>
      </c>
      <c r="I379" s="1">
        <f>N(74821)</f>
        <v>74821</v>
      </c>
      <c r="J379" s="1">
        <f>N(5804360784)</f>
        <v>5804360784</v>
      </c>
      <c r="K379" s="1">
        <f>N(5804363215)</f>
        <v>5804363215</v>
      </c>
    </row>
    <row r="380" spans="1:11" ht="12.75">
      <c r="A380" s="1" t="s">
        <v>11</v>
      </c>
      <c r="B380" t="str">
        <f>T("NATURAL RESOURCES")</f>
        <v>NATURAL RESOURCES</v>
      </c>
      <c r="C380" t="str">
        <f>T("DOI/BIA/MIAMI FIELD OFFICE")</f>
        <v>DOI/BIA/MIAMI FIELD OFFICE</v>
      </c>
      <c r="D380" t="str">
        <f>T("P.O. BOX 391")</f>
        <v>P.O. BOX 391</v>
      </c>
      <c r="E380" s="1" t="s">
        <v>0</v>
      </c>
      <c r="F380" t="s">
        <v>0</v>
      </c>
      <c r="G380" t="str">
        <f>T("MIAMI")</f>
        <v>MIAMI</v>
      </c>
      <c r="H380" t="str">
        <f t="shared" si="82"/>
        <v>OK </v>
      </c>
      <c r="I380" s="1">
        <f>N(74355)</f>
        <v>74355</v>
      </c>
      <c r="J380" s="1">
        <f>N(9185423396)</f>
        <v>9185423396</v>
      </c>
      <c r="K380" s="1">
        <f>N(9185427202)</f>
        <v>9185427202</v>
      </c>
    </row>
    <row r="381" spans="1:11" ht="12.75">
      <c r="A381" s="1" t="s">
        <v>11</v>
      </c>
      <c r="B381" t="str">
        <f>T("REAL ESTATE SERVICES")</f>
        <v>REAL ESTATE SERVICES</v>
      </c>
      <c r="C381" t="str">
        <f>T("DOI/BIA/MIAMI FIELD OFFICE")</f>
        <v>DOI/BIA/MIAMI FIELD OFFICE</v>
      </c>
      <c r="D381" t="str">
        <f>T("P.O. BOX 391")</f>
        <v>P.O. BOX 391</v>
      </c>
      <c r="E381" s="1" t="s">
        <v>0</v>
      </c>
      <c r="F381" t="s">
        <v>0</v>
      </c>
      <c r="G381" t="str">
        <f>T("MIAMI")</f>
        <v>MIAMI</v>
      </c>
      <c r="H381" t="str">
        <f t="shared" si="82"/>
        <v>OK </v>
      </c>
      <c r="I381" s="1">
        <f>N(74355)</f>
        <v>74355</v>
      </c>
      <c r="J381" s="1">
        <f>N(9185423396)</f>
        <v>9185423396</v>
      </c>
      <c r="K381" s="1">
        <f>N(9185427202)</f>
        <v>9185427202</v>
      </c>
    </row>
    <row r="382" spans="1:11" ht="12.75">
      <c r="A382" s="1" t="s">
        <v>11</v>
      </c>
      <c r="B382" t="str">
        <f>T("NATURAL RESOURCES")</f>
        <v>NATURAL RESOURCES</v>
      </c>
      <c r="C382" t="str">
        <f>T("DOI/BIA/OSAGE AGENCY")</f>
        <v>DOI/BIA/OSAGE AGENCY</v>
      </c>
      <c r="D382" t="str">
        <f>T("P.O. BOX 1539")</f>
        <v>P.O. BOX 1539</v>
      </c>
      <c r="E382" s="1" t="s">
        <v>0</v>
      </c>
      <c r="F382" t="s">
        <v>0</v>
      </c>
      <c r="G382" t="str">
        <f>T("PAWHUSKA")</f>
        <v>PAWHUSKA</v>
      </c>
      <c r="H382" t="str">
        <f t="shared" si="82"/>
        <v>OK </v>
      </c>
      <c r="I382" s="1">
        <f>N(74056)</f>
        <v>74056</v>
      </c>
      <c r="J382" s="1">
        <f>N(9182871032)</f>
        <v>9182871032</v>
      </c>
      <c r="K382" s="1">
        <f>N(9182874320)</f>
        <v>9182874320</v>
      </c>
    </row>
    <row r="383" spans="1:11" ht="12.75">
      <c r="A383" s="1" t="s">
        <v>11</v>
      </c>
      <c r="B383" t="str">
        <f>T("REAL ESTATE SERVICES")</f>
        <v>REAL ESTATE SERVICES</v>
      </c>
      <c r="C383" t="str">
        <f>T("DOI/BIA/OSAGE AGENCY")</f>
        <v>DOI/BIA/OSAGE AGENCY</v>
      </c>
      <c r="D383" t="str">
        <f>T("P.O. BOX 1539")</f>
        <v>P.O. BOX 1539</v>
      </c>
      <c r="E383" s="1" t="s">
        <v>0</v>
      </c>
      <c r="F383" t="s">
        <v>0</v>
      </c>
      <c r="G383" t="str">
        <f>T("PAWHUSKA")</f>
        <v>PAWHUSKA</v>
      </c>
      <c r="H383" t="str">
        <f t="shared" si="82"/>
        <v>OK </v>
      </c>
      <c r="I383" s="1">
        <f>N(74056)</f>
        <v>74056</v>
      </c>
      <c r="J383" s="1">
        <f>N(9182871032)</f>
        <v>9182871032</v>
      </c>
      <c r="K383" s="1">
        <f>N(9182874320)</f>
        <v>9182874320</v>
      </c>
    </row>
    <row r="384" spans="1:11" ht="12.75">
      <c r="A384" s="1" t="s">
        <v>11</v>
      </c>
      <c r="B384" t="str">
        <f>T("BR OF FORESTRY")</f>
        <v>BR OF FORESTRY</v>
      </c>
      <c r="C384" t="str">
        <f>T("DOI/BIA/OSAGE AGENCY")</f>
        <v>DOI/BIA/OSAGE AGENCY</v>
      </c>
      <c r="D384" t="str">
        <f>T("P.O. BOX 1539")</f>
        <v>P.O. BOX 1539</v>
      </c>
      <c r="E384" s="1" t="s">
        <v>0</v>
      </c>
      <c r="F384" t="s">
        <v>0</v>
      </c>
      <c r="G384" t="str">
        <f>T("PAWHUSKA")</f>
        <v>PAWHUSKA</v>
      </c>
      <c r="H384" t="str">
        <f t="shared" si="82"/>
        <v>OK </v>
      </c>
      <c r="I384" s="1">
        <f>N(74056)</f>
        <v>74056</v>
      </c>
      <c r="J384" s="1">
        <f>N(9182871032)</f>
        <v>9182871032</v>
      </c>
      <c r="K384" s="1">
        <f>N(9182874320)</f>
        <v>9182874320</v>
      </c>
    </row>
    <row r="385" spans="1:11" ht="12.75">
      <c r="A385" s="1" t="s">
        <v>11</v>
      </c>
      <c r="B385" t="str">
        <f>T("REAL ESTATE SERVICES")</f>
        <v>REAL ESTATE SERVICES</v>
      </c>
      <c r="C385" t="str">
        <f>T("DOI/BIA/WEWOKA AGENCY")</f>
        <v>DOI/BIA/WEWOKA AGENCY</v>
      </c>
      <c r="D385" t="str">
        <f>T("P.O. BOX 1060")</f>
        <v>P.O. BOX 1060</v>
      </c>
      <c r="E385" s="1" t="s">
        <v>0</v>
      </c>
      <c r="F385" t="s">
        <v>0</v>
      </c>
      <c r="G385" t="str">
        <f>T("WEWOKA")</f>
        <v>WEWOKA</v>
      </c>
      <c r="H385" t="str">
        <f t="shared" si="82"/>
        <v>OK </v>
      </c>
      <c r="I385" s="1">
        <f>N(74884)</f>
        <v>74884</v>
      </c>
      <c r="J385" s="1">
        <f>N(4052576259)</f>
        <v>4052576259</v>
      </c>
      <c r="K385" s="1">
        <f>N(4052576748)</f>
        <v>4052576748</v>
      </c>
    </row>
    <row r="386" spans="1:11" ht="12.75">
      <c r="A386" s="1" t="s">
        <v>11</v>
      </c>
      <c r="B386" t="str">
        <f>T("BR OF SOCIAL SVCS")</f>
        <v>BR OF SOCIAL SVCS</v>
      </c>
      <c r="C386" t="str">
        <f>T("DOI/BIA/WEWOKA AGENCY")</f>
        <v>DOI/BIA/WEWOKA AGENCY</v>
      </c>
      <c r="D386" t="str">
        <f>T("P.O. BOX 1060")</f>
        <v>P.O. BOX 1060</v>
      </c>
      <c r="E386" s="1" t="s">
        <v>0</v>
      </c>
      <c r="F386" t="s">
        <v>0</v>
      </c>
      <c r="G386" t="str">
        <f>T("WEWOKA")</f>
        <v>WEWOKA</v>
      </c>
      <c r="H386" t="str">
        <f t="shared" si="82"/>
        <v>OK </v>
      </c>
      <c r="I386" s="1">
        <f>N(74884)</f>
        <v>74884</v>
      </c>
      <c r="J386" s="1">
        <f>N(4052576259)</f>
        <v>4052576259</v>
      </c>
      <c r="K386" s="1">
        <f>N(4052576748)</f>
        <v>4052576748</v>
      </c>
    </row>
    <row r="387" spans="1:11" ht="12.75">
      <c r="A387" s="1" t="s">
        <v>11</v>
      </c>
      <c r="B387" t="str">
        <f>T("REAL ESTATE MGMT SECTION")</f>
        <v>REAL ESTATE MGMT SECTION</v>
      </c>
      <c r="C387" t="str">
        <f>T("DOI/BIA/WESTERN REGIONAL OFFICE")</f>
        <v>DOI/BIA/WESTERN REGIONAL OFFICE</v>
      </c>
      <c r="D387" t="str">
        <f>T("P O BOX 10")</f>
        <v>P O BOX 10</v>
      </c>
      <c r="E387" s="1" t="s">
        <v>0</v>
      </c>
      <c r="F387" t="s">
        <v>0</v>
      </c>
      <c r="G387" t="str">
        <f>T("PHOENIX")</f>
        <v>PHOENIX</v>
      </c>
      <c r="H387" t="str">
        <f aca="true" t="shared" si="83" ref="H387:H411">T("AZ ")</f>
        <v>AZ </v>
      </c>
      <c r="I387" s="1" t="str">
        <f>T("85001 0010")</f>
        <v>85001 0010</v>
      </c>
      <c r="J387" s="1" t="str">
        <f>T("602 379 6781")</f>
        <v>602 379 6781</v>
      </c>
      <c r="K387" s="1" t="str">
        <f>T("602 379 6754")</f>
        <v>602 379 6754</v>
      </c>
    </row>
    <row r="388" spans="1:11" ht="12.75">
      <c r="A388" s="1" t="s">
        <v>11</v>
      </c>
      <c r="B388" t="str">
        <f>T("BR OF LAND OPS")</f>
        <v>BR OF LAND OPS</v>
      </c>
      <c r="C388" t="str">
        <f>T("DOI/BIA/WESTERN REGIONAL OFFICE")</f>
        <v>DOI/BIA/WESTERN REGIONAL OFFICE</v>
      </c>
      <c r="D388" t="str">
        <f>T("P O BOX 10")</f>
        <v>P O BOX 10</v>
      </c>
      <c r="E388" s="1" t="s">
        <v>0</v>
      </c>
      <c r="F388" t="s">
        <v>0</v>
      </c>
      <c r="G388" t="str">
        <f>T("PHOENIX")</f>
        <v>PHOENIX</v>
      </c>
      <c r="H388" t="str">
        <f t="shared" si="83"/>
        <v>AZ </v>
      </c>
      <c r="I388" s="1" t="str">
        <f>T("85001 0010")</f>
        <v>85001 0010</v>
      </c>
      <c r="J388" s="1" t="str">
        <f>T("602 379 6956")</f>
        <v>602 379 6956</v>
      </c>
      <c r="K388" s="1" t="str">
        <f>T("602 379 6835")</f>
        <v>602 379 6835</v>
      </c>
    </row>
    <row r="389" spans="1:11" ht="12.75">
      <c r="A389" s="1" t="s">
        <v>11</v>
      </c>
      <c r="B389" t="str">
        <f>T("ACQUISTN &amp; PROPTY MGMNT")</f>
        <v>ACQUISTN &amp; PROPTY MGMNT</v>
      </c>
      <c r="C389" t="str">
        <f>T("DOI/BIA/COLORADO RIVER AGENCY")</f>
        <v>DOI/BIA/COLORADO RIVER AGENCY</v>
      </c>
      <c r="D389" t="str">
        <f>T("ROUTE 1  BOX 9 C")</f>
        <v>ROUTE 1  BOX 9 C</v>
      </c>
      <c r="E389" s="1" t="s">
        <v>0</v>
      </c>
      <c r="F389" t="s">
        <v>0</v>
      </c>
      <c r="G389" t="str">
        <f>T("PARKER")</f>
        <v>PARKER</v>
      </c>
      <c r="H389" t="str">
        <f t="shared" si="83"/>
        <v>AZ </v>
      </c>
      <c r="I389" s="1">
        <f>N(85344)</f>
        <v>85344</v>
      </c>
      <c r="J389" s="1" t="str">
        <f>T("520 669 7105")</f>
        <v>520 669 7105</v>
      </c>
      <c r="K389" s="1">
        <f>N(5206697187)</f>
        <v>5206697187</v>
      </c>
    </row>
    <row r="390" spans="1:11" ht="12.75">
      <c r="A390" s="1" t="s">
        <v>11</v>
      </c>
      <c r="B390" t="str">
        <f>T("FACIL MGMT")</f>
        <v>FACIL MGMT</v>
      </c>
      <c r="C390" t="str">
        <f>T("DOI/BIA/COLORADO RIVER AGENCY")</f>
        <v>DOI/BIA/COLORADO RIVER AGENCY</v>
      </c>
      <c r="D390" t="str">
        <f>T("ROUTE 1  BOX 9 C")</f>
        <v>ROUTE 1  BOX 9 C</v>
      </c>
      <c r="E390" s="1" t="s">
        <v>0</v>
      </c>
      <c r="F390" t="s">
        <v>0</v>
      </c>
      <c r="G390" t="str">
        <f>T("PARKER")</f>
        <v>PARKER</v>
      </c>
      <c r="H390" t="str">
        <f t="shared" si="83"/>
        <v>AZ </v>
      </c>
      <c r="I390" s="1">
        <f>N(85344)</f>
        <v>85344</v>
      </c>
      <c r="J390" s="1" t="str">
        <f>T("520 669 7151")</f>
        <v>520 669 7151</v>
      </c>
      <c r="K390" s="1">
        <f>N(5206697187)</f>
        <v>5206697187</v>
      </c>
    </row>
    <row r="391" spans="1:11" ht="12.75">
      <c r="A391" s="1" t="s">
        <v>11</v>
      </c>
      <c r="B391" t="str">
        <f>T("TRIBAL OPERATIONS")</f>
        <v>TRIBAL OPERATIONS</v>
      </c>
      <c r="C391" t="str">
        <f>T("DOI/BIA/COLORADO RIVER AGENCY")</f>
        <v>DOI/BIA/COLORADO RIVER AGENCY</v>
      </c>
      <c r="D391" t="str">
        <f>T("ROUTE 1  BOX 9 C")</f>
        <v>ROUTE 1  BOX 9 C</v>
      </c>
      <c r="E391" s="1" t="s">
        <v>0</v>
      </c>
      <c r="F391" t="s">
        <v>0</v>
      </c>
      <c r="G391" t="str">
        <f>T("PARKER")</f>
        <v>PARKER</v>
      </c>
      <c r="H391" t="str">
        <f t="shared" si="83"/>
        <v>AZ </v>
      </c>
      <c r="I391" s="1">
        <f>N(85344)</f>
        <v>85344</v>
      </c>
      <c r="J391" s="1">
        <f>N(6023793318)</f>
        <v>6023793318</v>
      </c>
      <c r="K391" s="1">
        <f>N(5206697187)</f>
        <v>5206697187</v>
      </c>
    </row>
    <row r="392" spans="1:11" ht="12.75">
      <c r="A392" s="1" t="s">
        <v>11</v>
      </c>
      <c r="B392" t="str">
        <f>T("NATURAL RESOURCES")</f>
        <v>NATURAL RESOURCES</v>
      </c>
      <c r="C392" t="str">
        <f>T("DOI/BIA/COLORADO RIVER AGENCY")</f>
        <v>DOI/BIA/COLORADO RIVER AGENCY</v>
      </c>
      <c r="D392" t="str">
        <f>T("ROUTE 1  BOX 9 C")</f>
        <v>ROUTE 1  BOX 9 C</v>
      </c>
      <c r="E392" s="1" t="s">
        <v>0</v>
      </c>
      <c r="F392" t="s">
        <v>0</v>
      </c>
      <c r="G392" t="str">
        <f>T("PARKER")</f>
        <v>PARKER</v>
      </c>
      <c r="H392" t="str">
        <f t="shared" si="83"/>
        <v>AZ </v>
      </c>
      <c r="I392" s="1">
        <f>N(85344)</f>
        <v>85344</v>
      </c>
      <c r="J392" s="1" t="str">
        <f>T("520 669 7161")</f>
        <v>520 669 7161</v>
      </c>
      <c r="K392" s="1">
        <f>N(5206697187)</f>
        <v>5206697187</v>
      </c>
    </row>
    <row r="393" spans="1:11" ht="12.75">
      <c r="A393" s="1" t="s">
        <v>11</v>
      </c>
      <c r="B393" t="str">
        <f>T("FACIL MGMT")</f>
        <v>FACIL MGMT</v>
      </c>
      <c r="C393" t="str">
        <f>T("DOI/BIA/FORT APACHE AGENCY")</f>
        <v>DOI/BIA/FORT APACHE AGENCY</v>
      </c>
      <c r="D393" t="str">
        <f>T("P O BOX 560")</f>
        <v>P O BOX 560</v>
      </c>
      <c r="E393" s="1" t="s">
        <v>0</v>
      </c>
      <c r="F393" t="s">
        <v>0</v>
      </c>
      <c r="G393" t="str">
        <f>T("WHITERIVER")</f>
        <v>WHITERIVER</v>
      </c>
      <c r="H393" t="str">
        <f t="shared" si="83"/>
        <v>AZ </v>
      </c>
      <c r="I393" s="1" t="str">
        <f>T("85941 0560")</f>
        <v>85941 0560</v>
      </c>
      <c r="J393" s="1" t="str">
        <f>T("520 338 5405")</f>
        <v>520 338 5405</v>
      </c>
      <c r="K393" s="1" t="str">
        <f>T("520 338 5383")</f>
        <v>520 338 5383</v>
      </c>
    </row>
    <row r="394" spans="1:11" ht="12.75">
      <c r="A394" s="1" t="s">
        <v>11</v>
      </c>
      <c r="B394" t="str">
        <f>T("FORESTRY")</f>
        <v>FORESTRY</v>
      </c>
      <c r="C394" t="str">
        <f>T("DOI/BIA/FORT APACHE AGENCY")</f>
        <v>DOI/BIA/FORT APACHE AGENCY</v>
      </c>
      <c r="D394" t="str">
        <f>T("P O BOX 560")</f>
        <v>P O BOX 560</v>
      </c>
      <c r="E394" s="1" t="s">
        <v>0</v>
      </c>
      <c r="F394" t="s">
        <v>0</v>
      </c>
      <c r="G394" t="str">
        <f>T("WHITERIVER")</f>
        <v>WHITERIVER</v>
      </c>
      <c r="H394" t="str">
        <f t="shared" si="83"/>
        <v>AZ </v>
      </c>
      <c r="I394" s="1" t="str">
        <f>T("85941 0560")</f>
        <v>85941 0560</v>
      </c>
      <c r="J394" s="1" t="str">
        <f>T("520 338 5300")</f>
        <v>520 338 5300</v>
      </c>
      <c r="K394" s="1" t="str">
        <f>T("520 338 5385")</f>
        <v>520 338 5385</v>
      </c>
    </row>
    <row r="395" spans="1:11" ht="12.75">
      <c r="A395" s="1" t="s">
        <v>11</v>
      </c>
      <c r="B395" t="str">
        <f>T("ENVMTL QUALITY SVCS")</f>
        <v>ENVMTL QUALITY SVCS</v>
      </c>
      <c r="C395" t="str">
        <f>T("DOI/BIA/FORT APACHE AGENCY")</f>
        <v>DOI/BIA/FORT APACHE AGENCY</v>
      </c>
      <c r="D395" t="str">
        <f>T("P O BOX 560")</f>
        <v>P O BOX 560</v>
      </c>
      <c r="E395" s="1" t="s">
        <v>0</v>
      </c>
      <c r="F395" t="s">
        <v>0</v>
      </c>
      <c r="G395" t="str">
        <f>T("WHITERIVER")</f>
        <v>WHITERIVER</v>
      </c>
      <c r="H395" t="str">
        <f t="shared" si="83"/>
        <v>AZ </v>
      </c>
      <c r="I395" s="1" t="str">
        <f>T("85941 0560")</f>
        <v>85941 0560</v>
      </c>
      <c r="J395" s="1" t="str">
        <f>T("520 338 5456")</f>
        <v>520 338 5456</v>
      </c>
      <c r="K395" s="1" t="str">
        <f>T("520 338 5383")</f>
        <v>520 338 5383</v>
      </c>
    </row>
    <row r="396" spans="1:11" ht="12.75">
      <c r="A396" s="1" t="s">
        <v>11</v>
      </c>
      <c r="B396" t="str">
        <f>T("TRANSPORTATION")</f>
        <v>TRANSPORTATION</v>
      </c>
      <c r="C396" t="str">
        <f>T("DOI/BIA/FORT APACHE AGENCY")</f>
        <v>DOI/BIA/FORT APACHE AGENCY</v>
      </c>
      <c r="D396" t="str">
        <f>T("P O BOX 560")</f>
        <v>P O BOX 560</v>
      </c>
      <c r="E396" s="1" t="s">
        <v>0</v>
      </c>
      <c r="F396" t="s">
        <v>0</v>
      </c>
      <c r="G396" t="str">
        <f>T("WHITERIVER")</f>
        <v>WHITERIVER</v>
      </c>
      <c r="H396" t="str">
        <f t="shared" si="83"/>
        <v>AZ </v>
      </c>
      <c r="I396" s="1" t="str">
        <f>T("85941 0560")</f>
        <v>85941 0560</v>
      </c>
      <c r="J396" s="1" t="str">
        <f>T("520 338 5381")</f>
        <v>520 338 5381</v>
      </c>
      <c r="K396" s="1" t="str">
        <f>T("520 338 5484")</f>
        <v>520 338 5484</v>
      </c>
    </row>
    <row r="397" spans="1:11" ht="12.75">
      <c r="A397" s="1" t="s">
        <v>11</v>
      </c>
      <c r="B397" t="str">
        <f>T("ACQUISTN &amp; PROPTY MGMNT")</f>
        <v>ACQUISTN &amp; PROPTY MGMNT</v>
      </c>
      <c r="C397" t="str">
        <f>T("DOI/BIA/PAPAGO AGENCY")</f>
        <v>DOI/BIA/PAPAGO AGENCY</v>
      </c>
      <c r="D397" t="str">
        <f>T("P O BOX 578")</f>
        <v>P O BOX 578</v>
      </c>
      <c r="E397" s="1" t="s">
        <v>0</v>
      </c>
      <c r="F397" t="s">
        <v>0</v>
      </c>
      <c r="G397" t="str">
        <f>T("SELLS")</f>
        <v>SELLS</v>
      </c>
      <c r="H397" t="str">
        <f t="shared" si="83"/>
        <v>AZ </v>
      </c>
      <c r="I397" s="1" t="str">
        <f>T("85634 0578")</f>
        <v>85634 0578</v>
      </c>
      <c r="J397" s="1" t="str">
        <f>T("520 383 3288")</f>
        <v>520 383 3288</v>
      </c>
      <c r="K397" s="1" t="str">
        <f>T("520 383 2087")</f>
        <v>520 383 2087</v>
      </c>
    </row>
    <row r="398" spans="1:11" ht="12.75">
      <c r="A398" s="1" t="s">
        <v>11</v>
      </c>
      <c r="B398" t="str">
        <f>T("FACIL MGMT")</f>
        <v>FACIL MGMT</v>
      </c>
      <c r="C398" t="str">
        <f>T("DOI/BIA/PAPAGO AGENCY")</f>
        <v>DOI/BIA/PAPAGO AGENCY</v>
      </c>
      <c r="D398" t="str">
        <f>T("P O BOX 578")</f>
        <v>P O BOX 578</v>
      </c>
      <c r="E398" s="1" t="s">
        <v>0</v>
      </c>
      <c r="F398" t="s">
        <v>0</v>
      </c>
      <c r="G398" t="str">
        <f>T("SELLS")</f>
        <v>SELLS</v>
      </c>
      <c r="H398" t="str">
        <f t="shared" si="83"/>
        <v>AZ </v>
      </c>
      <c r="I398" s="1" t="str">
        <f>T("85634 0578")</f>
        <v>85634 0578</v>
      </c>
      <c r="J398" s="1" t="str">
        <f>T("520 383 3201")</f>
        <v>520 383 3201</v>
      </c>
      <c r="K398" s="1" t="str">
        <f>T("520 383 2087")</f>
        <v>520 383 2087</v>
      </c>
    </row>
    <row r="399" spans="1:11" ht="12.75">
      <c r="A399" s="1" t="s">
        <v>11</v>
      </c>
      <c r="B399" t="str">
        <f>T("ACQUISTN &amp; PROPTY MGMNT")</f>
        <v>ACQUISTN &amp; PROPTY MGMNT</v>
      </c>
      <c r="C399" t="str">
        <f>T("DOI/BIA/PIMA AGENCY")</f>
        <v>DOI/BIA/PIMA AGENCY</v>
      </c>
      <c r="D399" t="str">
        <f>T("P O BOX 8")</f>
        <v>P O BOX 8</v>
      </c>
      <c r="E399" s="1" t="s">
        <v>0</v>
      </c>
      <c r="F399" t="s">
        <v>0</v>
      </c>
      <c r="G399" t="str">
        <f>T("SACATON")</f>
        <v>SACATON</v>
      </c>
      <c r="H399" t="str">
        <f t="shared" si="83"/>
        <v>AZ </v>
      </c>
      <c r="I399" s="1" t="str">
        <f>T("85247 0008")</f>
        <v>85247 0008</v>
      </c>
      <c r="J399" s="1" t="str">
        <f>T("520 562 3326")</f>
        <v>520 562 3326</v>
      </c>
      <c r="K399" s="1" t="str">
        <f>T("520 562 3543")</f>
        <v>520 562 3543</v>
      </c>
    </row>
    <row r="400" spans="1:11" ht="12.75">
      <c r="A400" s="1" t="s">
        <v>11</v>
      </c>
      <c r="B400" t="str">
        <f>T("TRIBAL GOVT SVCS")</f>
        <v>TRIBAL GOVT SVCS</v>
      </c>
      <c r="C400" t="str">
        <f>T("DOI/BIA/PIMA AGENCY")</f>
        <v>DOI/BIA/PIMA AGENCY</v>
      </c>
      <c r="D400" t="str">
        <f>T("P O BOX 8")</f>
        <v>P O BOX 8</v>
      </c>
      <c r="E400" s="1" t="s">
        <v>0</v>
      </c>
      <c r="F400" t="s">
        <v>0</v>
      </c>
      <c r="G400" t="str">
        <f>T("SACATON")</f>
        <v>SACATON</v>
      </c>
      <c r="H400" t="str">
        <f t="shared" si="83"/>
        <v>AZ </v>
      </c>
      <c r="I400" s="1" t="str">
        <f>T("85247 0008")</f>
        <v>85247 0008</v>
      </c>
      <c r="J400" s="1" t="str">
        <f>T("520 562 3326")</f>
        <v>520 562 3326</v>
      </c>
      <c r="K400" s="1" t="str">
        <f>T("520 562 3543")</f>
        <v>520 562 3543</v>
      </c>
    </row>
    <row r="401" spans="1:11" ht="12.75">
      <c r="A401" s="1" t="s">
        <v>11</v>
      </c>
      <c r="B401" t="str">
        <f>T("LAND OPS")</f>
        <v>LAND OPS</v>
      </c>
      <c r="C401" t="str">
        <f>T("DOI/BIA/PIMA AGENCY")</f>
        <v>DOI/BIA/PIMA AGENCY</v>
      </c>
      <c r="D401" t="str">
        <f>T("P O BOX 8")</f>
        <v>P O BOX 8</v>
      </c>
      <c r="E401" s="1" t="s">
        <v>0</v>
      </c>
      <c r="F401" t="s">
        <v>0</v>
      </c>
      <c r="G401" t="str">
        <f>T("SACATON")</f>
        <v>SACATON</v>
      </c>
      <c r="H401" t="str">
        <f t="shared" si="83"/>
        <v>AZ </v>
      </c>
      <c r="I401" s="1" t="str">
        <f>T("85247 0008")</f>
        <v>85247 0008</v>
      </c>
      <c r="J401" s="1" t="str">
        <f>T("520 562 3372")</f>
        <v>520 562 3372</v>
      </c>
      <c r="K401" s="1" t="str">
        <f>T("520 562 3977")</f>
        <v>520 562 3977</v>
      </c>
    </row>
    <row r="402" spans="1:11" ht="12.75">
      <c r="A402" s="1" t="s">
        <v>11</v>
      </c>
      <c r="B402" t="str">
        <f>T("NATURAL RESOURCES")</f>
        <v>NATURAL RESOURCES</v>
      </c>
      <c r="C402" t="str">
        <f>T("DOI/BIA/PIMA AGENCY")</f>
        <v>DOI/BIA/PIMA AGENCY</v>
      </c>
      <c r="D402" t="str">
        <f>T("P O BOX 8")</f>
        <v>P O BOX 8</v>
      </c>
      <c r="E402" s="1" t="s">
        <v>0</v>
      </c>
      <c r="F402" t="s">
        <v>0</v>
      </c>
      <c r="G402" t="str">
        <f>T("SACATON")</f>
        <v>SACATON</v>
      </c>
      <c r="H402" t="str">
        <f t="shared" si="83"/>
        <v>AZ </v>
      </c>
      <c r="I402" s="1" t="str">
        <f>T("85247 0008")</f>
        <v>85247 0008</v>
      </c>
      <c r="J402" s="1" t="str">
        <f>T("520 562 3511")</f>
        <v>520 562 3511</v>
      </c>
      <c r="K402" s="1" t="str">
        <f>T("520 562 3236")</f>
        <v>520 562 3236</v>
      </c>
    </row>
    <row r="403" spans="1:11" ht="12.75">
      <c r="A403" s="1" t="s">
        <v>11</v>
      </c>
      <c r="B403" t="str">
        <f>T("FACIL MGMT")</f>
        <v>FACIL MGMT</v>
      </c>
      <c r="C403" t="str">
        <f>T("DOI/BIA/SAN CARLOS AGENCY")</f>
        <v>DOI/BIA/SAN CARLOS AGENCY</v>
      </c>
      <c r="D403" t="str">
        <f>T("P O BOX 209")</f>
        <v>P O BOX 209</v>
      </c>
      <c r="E403" s="1" t="s">
        <v>0</v>
      </c>
      <c r="F403" t="s">
        <v>0</v>
      </c>
      <c r="G403" t="str">
        <f>T("SAN CARLOS")</f>
        <v>SAN CARLOS</v>
      </c>
      <c r="H403" t="str">
        <f t="shared" si="83"/>
        <v>AZ </v>
      </c>
      <c r="I403" s="1" t="str">
        <f>T("85550 0209")</f>
        <v>85550 0209</v>
      </c>
      <c r="J403" s="1" t="str">
        <f>T("928 475 2309")</f>
        <v>928 475 2309</v>
      </c>
      <c r="K403" s="1" t="str">
        <f>T("928 475 2783")</f>
        <v>928 475 2783</v>
      </c>
    </row>
    <row r="404" spans="1:11" ht="12.75">
      <c r="A404" s="1" t="s">
        <v>11</v>
      </c>
      <c r="B404" t="str">
        <f>T("LAND OPS")</f>
        <v>LAND OPS</v>
      </c>
      <c r="C404" t="str">
        <f>T("DOI/BIA/SAN CARLOS AGENCY")</f>
        <v>DOI/BIA/SAN CARLOS AGENCY</v>
      </c>
      <c r="D404" t="str">
        <f>T("P O BOX 209")</f>
        <v>P O BOX 209</v>
      </c>
      <c r="E404" s="1" t="s">
        <v>0</v>
      </c>
      <c r="F404" t="s">
        <v>0</v>
      </c>
      <c r="G404" t="str">
        <f>T("SAN CARLOS")</f>
        <v>SAN CARLOS</v>
      </c>
      <c r="H404" t="str">
        <f t="shared" si="83"/>
        <v>AZ </v>
      </c>
      <c r="I404" s="1" t="str">
        <f>T("85550 0209")</f>
        <v>85550 0209</v>
      </c>
      <c r="J404" s="1" t="str">
        <f>T("928 475 2355")</f>
        <v>928 475 2355</v>
      </c>
      <c r="K404" s="1" t="str">
        <f>T("928 475 2356")</f>
        <v>928 475 2356</v>
      </c>
    </row>
    <row r="405" spans="1:11" ht="12.75">
      <c r="A405" s="1" t="s">
        <v>11</v>
      </c>
      <c r="B405" t="str">
        <f>T("FORESTRY")</f>
        <v>FORESTRY</v>
      </c>
      <c r="C405" t="str">
        <f>T("DOI/BIA/SAN CARLOS AGENCY")</f>
        <v>DOI/BIA/SAN CARLOS AGENCY</v>
      </c>
      <c r="D405" t="str">
        <f>T("P O BOX 209")</f>
        <v>P O BOX 209</v>
      </c>
      <c r="E405" s="1" t="s">
        <v>0</v>
      </c>
      <c r="F405" t="s">
        <v>0</v>
      </c>
      <c r="G405" t="str">
        <f>T("SAN CARLOS")</f>
        <v>SAN CARLOS</v>
      </c>
      <c r="H405" t="str">
        <f t="shared" si="83"/>
        <v>AZ </v>
      </c>
      <c r="I405" s="1" t="str">
        <f>T("85550 0209")</f>
        <v>85550 0209</v>
      </c>
      <c r="J405" s="1" t="str">
        <f>T("928 475 2326")</f>
        <v>928 475 2326</v>
      </c>
      <c r="K405" s="1" t="str">
        <f>T("928 475 2484")</f>
        <v>928 475 2484</v>
      </c>
    </row>
    <row r="406" spans="1:11" ht="12.75">
      <c r="A406" s="1" t="s">
        <v>11</v>
      </c>
      <c r="B406" t="str">
        <f>T("TRANSPORTATION")</f>
        <v>TRANSPORTATION</v>
      </c>
      <c r="C406" t="str">
        <f>T("DOI/BIA/SAN CARLOS AGENCY")</f>
        <v>DOI/BIA/SAN CARLOS AGENCY</v>
      </c>
      <c r="D406" t="str">
        <f>T("P O BOX 209")</f>
        <v>P O BOX 209</v>
      </c>
      <c r="E406" s="1" t="s">
        <v>0</v>
      </c>
      <c r="F406" t="s">
        <v>0</v>
      </c>
      <c r="G406" t="str">
        <f>T("SAN CARLOS")</f>
        <v>SAN CARLOS</v>
      </c>
      <c r="H406" t="str">
        <f t="shared" si="83"/>
        <v>AZ </v>
      </c>
      <c r="I406" s="1" t="str">
        <f>T("85550 0209")</f>
        <v>85550 0209</v>
      </c>
      <c r="J406" s="1" t="str">
        <f>T("928 475 2323")</f>
        <v>928 475 2323</v>
      </c>
      <c r="K406" s="1" t="str">
        <f>T("928 475 2783")</f>
        <v>928 475 2783</v>
      </c>
    </row>
    <row r="407" spans="1:11" ht="12.75">
      <c r="A407" s="1" t="s">
        <v>11</v>
      </c>
      <c r="B407" t="str">
        <f>T("ACCOUNTING DIVISION")</f>
        <v>ACCOUNTING DIVISION</v>
      </c>
      <c r="C407" t="str">
        <f>T("DOI/BIA/SAN CARLOS IRRIGATION PROJECT")</f>
        <v>DOI/BIA/SAN CARLOS IRRIGATION PROJECT</v>
      </c>
      <c r="D407" t="str">
        <f>T("P O BOX 250")</f>
        <v>P O BOX 250</v>
      </c>
      <c r="E407" s="1" t="s">
        <v>0</v>
      </c>
      <c r="F407" t="s">
        <v>0</v>
      </c>
      <c r="G407" t="str">
        <f>T("COOLIDGE")</f>
        <v>COOLIDGE</v>
      </c>
      <c r="H407" t="str">
        <f t="shared" si="83"/>
        <v>AZ </v>
      </c>
      <c r="I407" s="1">
        <f>N(852280250)</f>
        <v>852280250</v>
      </c>
      <c r="J407" s="1">
        <f>N(6023793318)</f>
        <v>6023793318</v>
      </c>
      <c r="K407" s="1" t="str">
        <f>T("520 723 5770")</f>
        <v>520 723 5770</v>
      </c>
    </row>
    <row r="408" spans="1:11" ht="12.75">
      <c r="A408" s="1" t="s">
        <v>11</v>
      </c>
      <c r="B408" t="str">
        <f>T("EQUIPMENT SECTION")</f>
        <v>EQUIPMENT SECTION</v>
      </c>
      <c r="C408" t="str">
        <f>T("DOI/BIA/SAN CARLOS IRRIGATION PROJECT")</f>
        <v>DOI/BIA/SAN CARLOS IRRIGATION PROJECT</v>
      </c>
      <c r="D408" t="str">
        <f>T("P O BOX 250")</f>
        <v>P O BOX 250</v>
      </c>
      <c r="E408" s="1" t="s">
        <v>0</v>
      </c>
      <c r="F408" t="s">
        <v>0</v>
      </c>
      <c r="G408" t="str">
        <f>T("COOLIDGE")</f>
        <v>COOLIDGE</v>
      </c>
      <c r="H408" t="str">
        <f t="shared" si="83"/>
        <v>AZ </v>
      </c>
      <c r="I408" s="1" t="str">
        <f>T("85228 0250")</f>
        <v>85228 0250</v>
      </c>
      <c r="J408" s="1" t="str">
        <f>T("520 723 7829")</f>
        <v>520 723 7829</v>
      </c>
      <c r="K408" s="1" t="str">
        <f>T("520 723 5770")</f>
        <v>520 723 5770</v>
      </c>
    </row>
    <row r="409" spans="1:11" ht="12.75">
      <c r="A409" s="1" t="s">
        <v>11</v>
      </c>
      <c r="B409" t="str">
        <f>T("INFRASTRUCTURE SECTION")</f>
        <v>INFRASTRUCTURE SECTION</v>
      </c>
      <c r="C409" t="str">
        <f>T("DOI/BIA/SAN CARLOS IRRIGATION PROJECT")</f>
        <v>DOI/BIA/SAN CARLOS IRRIGATION PROJECT</v>
      </c>
      <c r="D409" t="str">
        <f>T("P O BOX 250")</f>
        <v>P O BOX 250</v>
      </c>
      <c r="E409" s="1" t="s">
        <v>0</v>
      </c>
      <c r="F409" t="s">
        <v>0</v>
      </c>
      <c r="G409" t="str">
        <f>T("COOLIDGE")</f>
        <v>COOLIDGE</v>
      </c>
      <c r="H409" t="str">
        <f t="shared" si="83"/>
        <v>AZ </v>
      </c>
      <c r="I409" s="1" t="str">
        <f>T("85228 0250")</f>
        <v>85228 0250</v>
      </c>
      <c r="J409" s="1" t="str">
        <f>T("520 723 7829")</f>
        <v>520 723 7829</v>
      </c>
      <c r="K409" s="1" t="str">
        <f>T("520 723 5770")</f>
        <v>520 723 5770</v>
      </c>
    </row>
    <row r="410" spans="1:11" ht="12.75">
      <c r="A410" s="1" t="s">
        <v>11</v>
      </c>
      <c r="B410" t="str">
        <f>T("OPS SECTION")</f>
        <v>OPS SECTION</v>
      </c>
      <c r="C410" t="str">
        <f>T("DOI/BIA/SAN CARLOS IRRIGATION PROJECT")</f>
        <v>DOI/BIA/SAN CARLOS IRRIGATION PROJECT</v>
      </c>
      <c r="D410" t="str">
        <f>T("P O BOX 250")</f>
        <v>P O BOX 250</v>
      </c>
      <c r="E410" s="1" t="s">
        <v>0</v>
      </c>
      <c r="F410" t="s">
        <v>0</v>
      </c>
      <c r="G410" t="str">
        <f>T("COOLIDGE")</f>
        <v>COOLIDGE</v>
      </c>
      <c r="H410" t="str">
        <f t="shared" si="83"/>
        <v>AZ </v>
      </c>
      <c r="I410" s="1" t="str">
        <f>T("85228 0250")</f>
        <v>85228 0250</v>
      </c>
      <c r="J410" s="1" t="str">
        <f>T("520 723 7829")</f>
        <v>520 723 7829</v>
      </c>
      <c r="K410" s="1" t="str">
        <f>T("520 723 5770")</f>
        <v>520 723 5770</v>
      </c>
    </row>
    <row r="411" spans="1:11" ht="12.75">
      <c r="A411" s="1" t="s">
        <v>11</v>
      </c>
      <c r="B411" t="str">
        <f>T("WATER CONTROL SECTION")</f>
        <v>WATER CONTROL SECTION</v>
      </c>
      <c r="C411" t="str">
        <f>T("DOI/BIA/SAN CARLOS IRRIGATION PROJECT")</f>
        <v>DOI/BIA/SAN CARLOS IRRIGATION PROJECT</v>
      </c>
      <c r="D411" t="str">
        <f>T("P O BOX 250")</f>
        <v>P O BOX 250</v>
      </c>
      <c r="E411" s="1" t="s">
        <v>0</v>
      </c>
      <c r="F411" t="s">
        <v>0</v>
      </c>
      <c r="G411" t="str">
        <f>T("COOLIDGE")</f>
        <v>COOLIDGE</v>
      </c>
      <c r="H411" t="str">
        <f t="shared" si="83"/>
        <v>AZ </v>
      </c>
      <c r="I411" s="1" t="str">
        <f>T("85228 0250")</f>
        <v>85228 0250</v>
      </c>
      <c r="J411" s="1" t="str">
        <f>T("520 723 7829")</f>
        <v>520 723 7829</v>
      </c>
      <c r="K411" s="1" t="str">
        <f>T("520 723 5770")</f>
        <v>520 723 5770</v>
      </c>
    </row>
    <row r="412" spans="1:11" ht="12.75">
      <c r="A412" s="1" t="s">
        <v>11</v>
      </c>
      <c r="B412" t="str">
        <f>T("HUMAN SERVICES")</f>
        <v>HUMAN SERVICES</v>
      </c>
      <c r="C412" t="str">
        <f>T("WESTERN NEVADA AGENCY")</f>
        <v>WESTERN NEVADA AGENCY</v>
      </c>
      <c r="D412" t="str">
        <f>T("311 W WASHINGTON ST")</f>
        <v>311 W WASHINGTON ST</v>
      </c>
      <c r="E412" s="1" t="s">
        <v>0</v>
      </c>
      <c r="F412" t="s">
        <v>0</v>
      </c>
      <c r="G412" t="str">
        <f>T("CARSON CITY")</f>
        <v>CARSON CITY</v>
      </c>
      <c r="H412" t="str">
        <f>T("NV ")</f>
        <v>NV </v>
      </c>
      <c r="I412" s="1">
        <f>N(89801)</f>
        <v>89801</v>
      </c>
      <c r="J412" s="1">
        <f>N(6023793318)</f>
        <v>6023793318</v>
      </c>
      <c r="K412" s="1" t="str">
        <f>T("775 887 3531")</f>
        <v>775 887 3531</v>
      </c>
    </row>
    <row r="413" spans="1:11" ht="12.75">
      <c r="A413" s="1" t="s">
        <v>11</v>
      </c>
      <c r="B413" t="str">
        <f>T("TRIBAL OPERATIONS")</f>
        <v>TRIBAL OPERATIONS</v>
      </c>
      <c r="C413" t="str">
        <f>T("WESTERN NEVADA AGENCY")</f>
        <v>WESTERN NEVADA AGENCY</v>
      </c>
      <c r="D413" t="str">
        <f>T("311 E WASHINGTON ST")</f>
        <v>311 E WASHINGTON ST</v>
      </c>
      <c r="E413" s="1" t="s">
        <v>0</v>
      </c>
      <c r="F413" t="s">
        <v>0</v>
      </c>
      <c r="G413" t="str">
        <f>T("CARSON CITY")</f>
        <v>CARSON CITY</v>
      </c>
      <c r="H413" t="str">
        <f>T("NV ")</f>
        <v>NV </v>
      </c>
      <c r="I413" s="1">
        <f>N(89801)</f>
        <v>89801</v>
      </c>
      <c r="J413" s="1">
        <f>N(6023793318)</f>
        <v>6023793318</v>
      </c>
      <c r="K413" s="1" t="str">
        <f>T("775 887 3531")</f>
        <v>775 887 3531</v>
      </c>
    </row>
    <row r="414" spans="1:11" ht="12.75">
      <c r="A414" s="1" t="s">
        <v>11</v>
      </c>
      <c r="B414" t="str">
        <f>T("REAL ESTATE SERVICES")</f>
        <v>REAL ESTATE SERVICES</v>
      </c>
      <c r="C414" t="str">
        <f>T("DOI/BIA/WESTERN NEVADA AGENCY")</f>
        <v>DOI/BIA/WESTERN NEVADA AGENCY</v>
      </c>
      <c r="D414" t="str">
        <f>T("1677 HOT SPRINGS RD")</f>
        <v>1677 HOT SPRINGS RD</v>
      </c>
      <c r="E414" s="1" t="s">
        <v>0</v>
      </c>
      <c r="F414" t="s">
        <v>0</v>
      </c>
      <c r="G414" t="str">
        <f>T("CARSON CITY")</f>
        <v>CARSON CITY</v>
      </c>
      <c r="H414" t="str">
        <f>T("NV ")</f>
        <v>NV </v>
      </c>
      <c r="I414" s="1">
        <f>N(89706)</f>
        <v>89706</v>
      </c>
      <c r="J414" s="1" t="str">
        <f>T("775 887 3571")</f>
        <v>775 887 3571</v>
      </c>
      <c r="K414" s="1" t="str">
        <f>T("775 887 3531")</f>
        <v>775 887 3531</v>
      </c>
    </row>
    <row r="415" spans="1:11" ht="12.75">
      <c r="A415" s="1" t="s">
        <v>11</v>
      </c>
      <c r="B415" t="str">
        <f>T("FORESTRY")</f>
        <v>FORESTRY</v>
      </c>
      <c r="C415" t="str">
        <f>T("DOI/BIA/WESTERN NEVADA AGENCY")</f>
        <v>DOI/BIA/WESTERN NEVADA AGENCY</v>
      </c>
      <c r="D415" t="str">
        <f>T("1677 HOT SPRINGS RD")</f>
        <v>1677 HOT SPRINGS RD</v>
      </c>
      <c r="E415" s="1" t="s">
        <v>0</v>
      </c>
      <c r="F415" t="s">
        <v>0</v>
      </c>
      <c r="G415" t="str">
        <f>T("CARSON CITY")</f>
        <v>CARSON CITY</v>
      </c>
      <c r="H415" t="str">
        <f>T("NV ")</f>
        <v>NV </v>
      </c>
      <c r="I415" s="1">
        <f>N(89706)</f>
        <v>89706</v>
      </c>
      <c r="J415" s="1" t="str">
        <f>T("775 887 3521")</f>
        <v>775 887 3521</v>
      </c>
      <c r="K415" s="1" t="str">
        <f>T("775 887 3531")</f>
        <v>775 887 3531</v>
      </c>
    </row>
    <row r="416" spans="1:11" ht="12.75">
      <c r="A416" s="1" t="s">
        <v>11</v>
      </c>
      <c r="B416" t="str">
        <f>T("TRANSPORTATION")</f>
        <v>TRANSPORTATION</v>
      </c>
      <c r="C416" t="str">
        <f>T("DOI/BIA/WESTERN NEVADA AGENCY")</f>
        <v>DOI/BIA/WESTERN NEVADA AGENCY</v>
      </c>
      <c r="D416" t="str">
        <f>T("1677 HOT SPRINGS RD")</f>
        <v>1677 HOT SPRINGS RD</v>
      </c>
      <c r="E416" s="1" t="s">
        <v>0</v>
      </c>
      <c r="F416" t="s">
        <v>0</v>
      </c>
      <c r="G416" t="str">
        <f>T("CARSON CITY")</f>
        <v>CARSON CITY</v>
      </c>
      <c r="H416" t="str">
        <f>T("NV ")</f>
        <v>NV </v>
      </c>
      <c r="I416" s="1">
        <f>N(89706)</f>
        <v>89706</v>
      </c>
      <c r="J416" s="1" t="str">
        <f>T("775 887 3576")</f>
        <v>775 887 3576</v>
      </c>
      <c r="K416" s="1" t="str">
        <f>T("775 887 3531")</f>
        <v>775 887 3531</v>
      </c>
    </row>
    <row r="417" spans="1:11" ht="12.75">
      <c r="A417" s="1" t="s">
        <v>11</v>
      </c>
      <c r="B417" t="str">
        <f>T("FACIL MGMT")</f>
        <v>FACIL MGMT</v>
      </c>
      <c r="C417" t="str">
        <f>T("DOI/BIA/UINTAH &amp; OURAY AGENCY")</f>
        <v>DOI/BIA/UINTAH &amp; OURAY AGENCY</v>
      </c>
      <c r="D417" t="str">
        <f>T("P O BOX 130")</f>
        <v>P O BOX 130</v>
      </c>
      <c r="E417" s="1" t="s">
        <v>0</v>
      </c>
      <c r="F417" t="s">
        <v>0</v>
      </c>
      <c r="G417" t="str">
        <f>T("FORT DUCHESNE")</f>
        <v>FORT DUCHESNE</v>
      </c>
      <c r="H417" t="str">
        <f>T("UT ")</f>
        <v>UT </v>
      </c>
      <c r="I417" s="1" t="str">
        <f>T("84026 0130")</f>
        <v>84026 0130</v>
      </c>
      <c r="J417" s="1" t="str">
        <f>T("435 722 4375")</f>
        <v>435 722 4375</v>
      </c>
      <c r="K417" s="1" t="str">
        <f>T("435 722 2323")</f>
        <v>435 722 2323</v>
      </c>
    </row>
    <row r="418" spans="1:11" ht="12.75">
      <c r="A418" s="1" t="s">
        <v>11</v>
      </c>
      <c r="B418" t="str">
        <f>T("LAND OPS")</f>
        <v>LAND OPS</v>
      </c>
      <c r="C418" t="str">
        <f>T("DOI/BIA/UINTAH &amp; OURAY AGENCY")</f>
        <v>DOI/BIA/UINTAH &amp; OURAY AGENCY</v>
      </c>
      <c r="D418" t="str">
        <f>T("P O BOX 130")</f>
        <v>P O BOX 130</v>
      </c>
      <c r="E418" s="1" t="s">
        <v>0</v>
      </c>
      <c r="F418" t="s">
        <v>0</v>
      </c>
      <c r="G418" t="str">
        <f>T("FORT DUCHESNE")</f>
        <v>FORT DUCHESNE</v>
      </c>
      <c r="H418" t="str">
        <f>T("UT ")</f>
        <v>UT </v>
      </c>
      <c r="I418" s="1" t="str">
        <f>T("84026 0130")</f>
        <v>84026 0130</v>
      </c>
      <c r="J418" s="1" t="str">
        <f>T("435 722 4320")</f>
        <v>435 722 4320</v>
      </c>
      <c r="K418" s="1" t="str">
        <f>T("435 722 2323")</f>
        <v>435 722 2323</v>
      </c>
    </row>
    <row r="419" spans="1:11" ht="12.75">
      <c r="A419" s="1" t="s">
        <v>11</v>
      </c>
      <c r="B419" t="str">
        <f>T("FORESTRY")</f>
        <v>FORESTRY</v>
      </c>
      <c r="C419" t="str">
        <f>T("DOI/BIA/UINTAH &amp; OURAY AGENCY")</f>
        <v>DOI/BIA/UINTAH &amp; OURAY AGENCY</v>
      </c>
      <c r="D419" t="str">
        <f>T("P O BOX 130")</f>
        <v>P O BOX 130</v>
      </c>
      <c r="E419" s="1" t="s">
        <v>0</v>
      </c>
      <c r="F419" t="s">
        <v>0</v>
      </c>
      <c r="G419" t="str">
        <f>T("FORT DUCHESNE")</f>
        <v>FORT DUCHESNE</v>
      </c>
      <c r="H419" t="str">
        <f>T("UT ")</f>
        <v>UT </v>
      </c>
      <c r="I419" s="1" t="str">
        <f>T("84026 0130")</f>
        <v>84026 0130</v>
      </c>
      <c r="J419" s="1" t="str">
        <f>T("435 722 2487")</f>
        <v>435 722 2487</v>
      </c>
      <c r="K419" s="1" t="str">
        <f>T("435 722 2323")</f>
        <v>435 722 2323</v>
      </c>
    </row>
    <row r="420" spans="1:11" ht="12.75">
      <c r="A420" s="1" t="s">
        <v>11</v>
      </c>
      <c r="B420" t="str">
        <f>T("REAL ESTATE SERVICES")</f>
        <v>REAL ESTATE SERVICES</v>
      </c>
      <c r="C420" t="str">
        <f>T("DOI/BIA/FORT YUMA FIELD OFFICE")</f>
        <v>DOI/BIA/FORT YUMA FIELD OFFICE</v>
      </c>
      <c r="D420" t="str">
        <f>T("P O BOX 11000")</f>
        <v>P O BOX 11000</v>
      </c>
      <c r="E420" s="1" t="s">
        <v>0</v>
      </c>
      <c r="F420" t="s">
        <v>0</v>
      </c>
      <c r="G420" t="str">
        <f>T("YUMA")</f>
        <v>YUMA</v>
      </c>
      <c r="H420" t="str">
        <f>T("AZ ")</f>
        <v>AZ </v>
      </c>
      <c r="I420" s="1" t="str">
        <f>T("85366 1000")</f>
        <v>85366 1000</v>
      </c>
      <c r="J420" s="1" t="str">
        <f>T("928 782 1202")</f>
        <v>928 782 1202</v>
      </c>
      <c r="K420" s="1" t="str">
        <f>T("928 782 1266")</f>
        <v>928 782 1266</v>
      </c>
    </row>
    <row r="421" spans="1:11" ht="12.75">
      <c r="A421" s="1" t="s">
        <v>11</v>
      </c>
      <c r="B421" t="str">
        <f>T("FORESTRY AND FIRE")</f>
        <v>FORESTRY AND FIRE</v>
      </c>
      <c r="C421" t="str">
        <f>T("DOI/BIA/FORT YUMA FIELD OFFICE")</f>
        <v>DOI/BIA/FORT YUMA FIELD OFFICE</v>
      </c>
      <c r="D421" t="str">
        <f>T("P O BOX 11000")</f>
        <v>P O BOX 11000</v>
      </c>
      <c r="E421" s="1" t="s">
        <v>0</v>
      </c>
      <c r="F421" t="s">
        <v>0</v>
      </c>
      <c r="G421" t="str">
        <f>T("YUMA")</f>
        <v>YUMA</v>
      </c>
      <c r="H421" t="str">
        <f>T("AZ ")</f>
        <v>AZ </v>
      </c>
      <c r="I421" s="1">
        <f>N(853661000)</f>
        <v>853661000</v>
      </c>
      <c r="J421" s="1">
        <f>N(6023793318)</f>
        <v>6023793318</v>
      </c>
      <c r="K421" s="1" t="str">
        <f>T("928 782 1266")</f>
        <v>928 782 1266</v>
      </c>
    </row>
    <row r="422" spans="1:11" ht="12.75">
      <c r="A422" s="1" t="s">
        <v>11</v>
      </c>
      <c r="B422" t="str">
        <f>T("FACIL MGMT")</f>
        <v>FACIL MGMT</v>
      </c>
      <c r="C422" t="str">
        <f>T("DOI/BIA/EASTERN NEVADA FIELD OFFICE")</f>
        <v>DOI/BIA/EASTERN NEVADA FIELD OFFICE</v>
      </c>
      <c r="D422" t="str">
        <f>T("1555 SHOSHONE CIRCLE")</f>
        <v>1555 SHOSHONE CIRCLE</v>
      </c>
      <c r="E422" s="1" t="s">
        <v>0</v>
      </c>
      <c r="F422" t="s">
        <v>0</v>
      </c>
      <c r="G422" t="str">
        <f>T("ELKO")</f>
        <v>ELKO</v>
      </c>
      <c r="H422" t="str">
        <f>T("NV ")</f>
        <v>NV </v>
      </c>
      <c r="I422" s="1">
        <f>N(89801)</f>
        <v>89801</v>
      </c>
      <c r="J422" s="1" t="str">
        <f>T("775 757 3188")</f>
        <v>775 757 3188</v>
      </c>
      <c r="K422" s="1" t="str">
        <f>T("775 757 2678")</f>
        <v>775 757 2678</v>
      </c>
    </row>
    <row r="423" spans="1:11" ht="12.75">
      <c r="A423" s="1" t="s">
        <v>11</v>
      </c>
      <c r="B423" t="str">
        <f>T("FORESTRY")</f>
        <v>FORESTRY</v>
      </c>
      <c r="C423" t="str">
        <f>T("DOI/BIA/HOPI AGENCY")</f>
        <v>DOI/BIA/HOPI AGENCY</v>
      </c>
      <c r="D423" t="str">
        <f>T("P O BOX 158")</f>
        <v>P O BOX 158</v>
      </c>
      <c r="E423" s="1" t="s">
        <v>0</v>
      </c>
      <c r="F423" t="s">
        <v>0</v>
      </c>
      <c r="G423" t="str">
        <f>T("KEAMS CANYON")</f>
        <v>KEAMS CANYON</v>
      </c>
      <c r="H423" t="str">
        <f>T("AZ ")</f>
        <v>AZ </v>
      </c>
      <c r="I423" s="1" t="str">
        <f>T("86034 0158")</f>
        <v>86034 0158</v>
      </c>
      <c r="J423" s="1" t="str">
        <f>T("928 738 2225")</f>
        <v>928 738 2225</v>
      </c>
      <c r="K423" s="1" t="str">
        <f>T("928 738 5187")</f>
        <v>928 738 5187</v>
      </c>
    </row>
    <row r="424" spans="1:11" ht="12.75">
      <c r="A424" s="1" t="s">
        <v>11</v>
      </c>
      <c r="B424" t="str">
        <f>T("LAND OPS")</f>
        <v>LAND OPS</v>
      </c>
      <c r="C424" t="str">
        <f>T("DOI/BIA/TRUXTON CANON FIELD OFFICE")</f>
        <v>DOI/BIA/TRUXTON CANON FIELD OFFICE</v>
      </c>
      <c r="D424" t="str">
        <f>T("P O BOX 37")</f>
        <v>P O BOX 37</v>
      </c>
      <c r="E424" s="1" t="s">
        <v>0</v>
      </c>
      <c r="F424" t="s">
        <v>0</v>
      </c>
      <c r="G424" t="str">
        <f>T("VALENTINE")</f>
        <v>VALENTINE</v>
      </c>
      <c r="H424" t="str">
        <f>T("AZ ")</f>
        <v>AZ </v>
      </c>
      <c r="I424" s="1" t="str">
        <f>T("86437 0037")</f>
        <v>86437 0037</v>
      </c>
      <c r="J424" s="1" t="str">
        <f>T("928 769 2270")</f>
        <v>928 769 2270</v>
      </c>
      <c r="K424" s="1" t="str">
        <f>T("928 769 2326")</f>
        <v>928 769 2326</v>
      </c>
    </row>
    <row r="425" spans="1:11" ht="12.75">
      <c r="A425" s="1" t="s">
        <v>11</v>
      </c>
      <c r="B425" t="str">
        <f>T("FORESTRY")</f>
        <v>FORESTRY</v>
      </c>
      <c r="C425" t="str">
        <f>T("DOI/BIA/TRUXTON CANON FIELD OFFICE")</f>
        <v>DOI/BIA/TRUXTON CANON FIELD OFFICE</v>
      </c>
      <c r="D425" t="str">
        <f>T("P O BOX 37")</f>
        <v>P O BOX 37</v>
      </c>
      <c r="E425" s="1" t="s">
        <v>0</v>
      </c>
      <c r="F425" t="s">
        <v>0</v>
      </c>
      <c r="G425" t="str">
        <f>T("VALENTINE")</f>
        <v>VALENTINE</v>
      </c>
      <c r="H425" t="str">
        <f>T("AZ ")</f>
        <v>AZ </v>
      </c>
      <c r="I425" s="1" t="str">
        <f>T("86437 0037")</f>
        <v>86437 0037</v>
      </c>
      <c r="J425" s="1" t="str">
        <f>T("928 769 2270")</f>
        <v>928 769 2270</v>
      </c>
      <c r="K425" s="1" t="str">
        <f>T("928 769 2326")</f>
        <v>928 769 2326</v>
      </c>
    </row>
    <row r="426" spans="1:11" ht="12.75">
      <c r="A426" s="1" t="s">
        <v>11</v>
      </c>
      <c r="B426" t="str">
        <f>T("BR OF ADMIN")</f>
        <v>BR OF ADMIN</v>
      </c>
      <c r="C426" t="str">
        <f>T("DOI/BIA/CENTRAL CALIFORNIA AGENCY")</f>
        <v>DOI/BIA/CENTRAL CALIFORNIA AGENCY</v>
      </c>
      <c r="D426" t="str">
        <f>T("650 CAPITOL MALL  SUITE 8 500 ")</f>
        <v>650 CAPITOL MALL  SUITE 8 500 </v>
      </c>
      <c r="E426" s="1" t="s">
        <v>0</v>
      </c>
      <c r="F426" t="s">
        <v>0</v>
      </c>
      <c r="G426" t="str">
        <f>T("SACRAMENTO")</f>
        <v>SACRAMENTO</v>
      </c>
      <c r="H426" t="str">
        <f aca="true" t="shared" si="84" ref="H426:H438">T("CA ")</f>
        <v>CA </v>
      </c>
      <c r="I426" s="1">
        <f>N(95814)</f>
        <v>95814</v>
      </c>
      <c r="J426" s="1" t="str">
        <f>T("916 930 3680")</f>
        <v>916 930 3680</v>
      </c>
      <c r="K426" s="1" t="str">
        <f>T("916 930 3780")</f>
        <v>916 930 3780</v>
      </c>
    </row>
    <row r="427" spans="1:11" ht="12.75">
      <c r="A427" s="1" t="s">
        <v>11</v>
      </c>
      <c r="B427" t="str">
        <f>T("REAL ESTATE SERVICES")</f>
        <v>REAL ESTATE SERVICES</v>
      </c>
      <c r="C427" t="str">
        <f>T("DOI/BIA/CENTRAL CALIFORNIA AGENCY")</f>
        <v>DOI/BIA/CENTRAL CALIFORNIA AGENCY</v>
      </c>
      <c r="D427" t="str">
        <f>T("650 CAPITOL MALL  SUITE 8 500 ")</f>
        <v>650 CAPITOL MALL  SUITE 8 500 </v>
      </c>
      <c r="E427" s="1" t="s">
        <v>0</v>
      </c>
      <c r="F427" t="s">
        <v>0</v>
      </c>
      <c r="G427" t="str">
        <f>T("SACRAMENTO")</f>
        <v>SACRAMENTO</v>
      </c>
      <c r="H427" t="str">
        <f t="shared" si="84"/>
        <v>CA </v>
      </c>
      <c r="I427" s="1">
        <f>N(95814)</f>
        <v>95814</v>
      </c>
      <c r="J427" s="1" t="str">
        <f>T("916 930 3680")</f>
        <v>916 930 3680</v>
      </c>
      <c r="K427" s="1" t="str">
        <f>T("916 930 3780")</f>
        <v>916 930 3780</v>
      </c>
    </row>
    <row r="428" spans="1:11" ht="12.75">
      <c r="A428" s="1" t="s">
        <v>11</v>
      </c>
      <c r="B428" t="str">
        <f>T("BR OF SELF-DETERMINATION")</f>
        <v>BR OF SELF-DETERMINATION</v>
      </c>
      <c r="C428" t="str">
        <f>T("DOI/BIA/CENTRAL CALIFORNIA AGENCY")</f>
        <v>DOI/BIA/CENTRAL CALIFORNIA AGENCY</v>
      </c>
      <c r="D428" t="str">
        <f>T("650 CAPITOL MALL  SUITE 8 500 ")</f>
        <v>650 CAPITOL MALL  SUITE 8 500 </v>
      </c>
      <c r="E428" s="1" t="s">
        <v>0</v>
      </c>
      <c r="F428" t="s">
        <v>0</v>
      </c>
      <c r="G428" t="str">
        <f>T("SACRAMENTO")</f>
        <v>SACRAMENTO</v>
      </c>
      <c r="H428" t="str">
        <f t="shared" si="84"/>
        <v>CA </v>
      </c>
      <c r="I428" s="1">
        <f>N(95814)</f>
        <v>95814</v>
      </c>
      <c r="J428" s="1" t="str">
        <f>T("916 930 3680")</f>
        <v>916 930 3680</v>
      </c>
      <c r="K428" s="1" t="str">
        <f>T("916 930 3780")</f>
        <v>916 930 3780</v>
      </c>
    </row>
    <row r="429" spans="1:11" ht="12.75">
      <c r="A429" s="1" t="s">
        <v>11</v>
      </c>
      <c r="B429" t="str">
        <f>T("NATURAL RESOURCES")</f>
        <v>NATURAL RESOURCES</v>
      </c>
      <c r="C429" t="str">
        <f>T("DOI/BIA/CENTRAL CALIFORNIA AGENCY")</f>
        <v>DOI/BIA/CENTRAL CALIFORNIA AGENCY</v>
      </c>
      <c r="D429" t="str">
        <f>T("650 CAPITOL MALL  SUITE 8 500 ")</f>
        <v>650 CAPITOL MALL  SUITE 8 500 </v>
      </c>
      <c r="E429" s="1" t="s">
        <v>0</v>
      </c>
      <c r="F429" t="s">
        <v>0</v>
      </c>
      <c r="G429" t="str">
        <f>T("SACRAMENTO")</f>
        <v>SACRAMENTO</v>
      </c>
      <c r="H429" t="str">
        <f t="shared" si="84"/>
        <v>CA </v>
      </c>
      <c r="I429" s="1">
        <f>N(95814)</f>
        <v>95814</v>
      </c>
      <c r="J429" s="1" t="str">
        <f>T("916 930 3680")</f>
        <v>916 930 3680</v>
      </c>
      <c r="K429" s="1" t="str">
        <f>T("916 930 3780")</f>
        <v>916 930 3780</v>
      </c>
    </row>
    <row r="430" spans="1:11" ht="12.75">
      <c r="A430" s="1" t="s">
        <v>11</v>
      </c>
      <c r="B430" t="str">
        <f>T("BR OF ADMIN")</f>
        <v>BR OF ADMIN</v>
      </c>
      <c r="C430" t="str">
        <f>T("DOI/BIA/NORTHERN CALIFORNIA AGENCY")</f>
        <v>DOI/BIA/NORTHERN CALIFORNIA AGENCY</v>
      </c>
      <c r="D430" t="str">
        <f>T("1900 CHURN CREEK ROAD  SUITE 300 ")</f>
        <v>1900 CHURN CREEK ROAD  SUITE 300 </v>
      </c>
      <c r="E430" s="1" t="s">
        <v>0</v>
      </c>
      <c r="F430" t="s">
        <v>0</v>
      </c>
      <c r="G430" t="str">
        <f>T("REDDING")</f>
        <v>REDDING</v>
      </c>
      <c r="H430" t="str">
        <f t="shared" si="84"/>
        <v>CA </v>
      </c>
      <c r="I430" s="1" t="str">
        <f>T("96002 0292")</f>
        <v>96002 0292</v>
      </c>
      <c r="J430" s="1" t="str">
        <f>T("530 246 5141")</f>
        <v>530 246 5141</v>
      </c>
      <c r="K430" s="1" t="str">
        <f>T("530 246 5167")</f>
        <v>530 246 5167</v>
      </c>
    </row>
    <row r="431" spans="1:11" ht="12.75">
      <c r="A431" s="1" t="s">
        <v>11</v>
      </c>
      <c r="B431" t="str">
        <f>T("REAL ESTATE SERVICES")</f>
        <v>REAL ESTATE SERVICES</v>
      </c>
      <c r="C431" t="str">
        <f>T("DOI/BIA/NORTHERN CALIFORNIA AGENCY")</f>
        <v>DOI/BIA/NORTHERN CALIFORNIA AGENCY</v>
      </c>
      <c r="D431" t="str">
        <f>T("1900 CHURN CREEK ROAD  SUITE 300 ")</f>
        <v>1900 CHURN CREEK ROAD  SUITE 300 </v>
      </c>
      <c r="E431" s="1" t="s">
        <v>0</v>
      </c>
      <c r="F431" t="s">
        <v>0</v>
      </c>
      <c r="G431" t="str">
        <f>T("REDDING")</f>
        <v>REDDING</v>
      </c>
      <c r="H431" t="str">
        <f t="shared" si="84"/>
        <v>CA </v>
      </c>
      <c r="I431" s="1" t="str">
        <f>T("96002 0292")</f>
        <v>96002 0292</v>
      </c>
      <c r="J431" s="1" t="str">
        <f>T("530 246 5141")</f>
        <v>530 246 5141</v>
      </c>
      <c r="K431" s="1" t="str">
        <f>T("530 246 5167")</f>
        <v>530 246 5167</v>
      </c>
    </row>
    <row r="432" spans="1:11" ht="12.75">
      <c r="A432" s="1" t="s">
        <v>11</v>
      </c>
      <c r="B432" t="str">
        <f>T("BR OF ADMIN")</f>
        <v>BR OF ADMIN</v>
      </c>
      <c r="C432" t="str">
        <f>T("DOI/BIA/PALM SPRINGS FIELD OFFICE")</f>
        <v>DOI/BIA/PALM SPRINGS FIELD OFFICE</v>
      </c>
      <c r="D432" t="str">
        <f>T("650 TAHQUITZ CANYON WAY  SUITE A ")</f>
        <v>650 TAHQUITZ CANYON WAY  SUITE A </v>
      </c>
      <c r="E432" s="1" t="s">
        <v>0</v>
      </c>
      <c r="F432" t="s">
        <v>0</v>
      </c>
      <c r="G432" t="str">
        <f>T("PALM SPRINGS")</f>
        <v>PALM SPRINGS</v>
      </c>
      <c r="H432" t="str">
        <f t="shared" si="84"/>
        <v>CA </v>
      </c>
      <c r="I432" s="1">
        <f>N(92263)</f>
        <v>92263</v>
      </c>
      <c r="J432" s="1" t="str">
        <f>T("760 416 2133")</f>
        <v>760 416 2133</v>
      </c>
      <c r="K432" s="1" t="str">
        <f>T("760 416 2687")</f>
        <v>760 416 2687</v>
      </c>
    </row>
    <row r="433" spans="1:11" ht="12.75">
      <c r="A433" s="1" t="s">
        <v>11</v>
      </c>
      <c r="B433" t="str">
        <f>T("REAL ESTATE SERVICES")</f>
        <v>REAL ESTATE SERVICES</v>
      </c>
      <c r="C433" t="str">
        <f>T("DOI/BIA/PALM SPRINGS FIELD OFFICE")</f>
        <v>DOI/BIA/PALM SPRINGS FIELD OFFICE</v>
      </c>
      <c r="D433" t="str">
        <f>T("650 TAHQUITZ CANYON WAY  SUITE A ")</f>
        <v>650 TAHQUITZ CANYON WAY  SUITE A </v>
      </c>
      <c r="E433" s="1" t="s">
        <v>0</v>
      </c>
      <c r="F433" t="s">
        <v>0</v>
      </c>
      <c r="G433" t="str">
        <f>T("PALM SPRINGS")</f>
        <v>PALM SPRINGS</v>
      </c>
      <c r="H433" t="str">
        <f t="shared" si="84"/>
        <v>CA </v>
      </c>
      <c r="I433" s="1">
        <f>N(92263)</f>
        <v>92263</v>
      </c>
      <c r="J433" s="1" t="str">
        <f>T("760 416 2133")</f>
        <v>760 416 2133</v>
      </c>
      <c r="K433" s="1" t="str">
        <f>T("760 416 2687")</f>
        <v>760 416 2687</v>
      </c>
    </row>
    <row r="434" spans="1:11" ht="12.75">
      <c r="A434" s="1" t="s">
        <v>11</v>
      </c>
      <c r="B434" t="str">
        <f>T("BR OF ADMIN")</f>
        <v>BR OF ADMIN</v>
      </c>
      <c r="C434" t="str">
        <f>T("DOI/BIA/SOUTHERN CALIFORNIA AGENCY")</f>
        <v>DOI/BIA/SOUTHERN CALIFORNIA AGENCY</v>
      </c>
      <c r="D434" t="str">
        <f>T("2038 IOWA AVENUE  SUITE 101 ")</f>
        <v>2038 IOWA AVENUE  SUITE 101 </v>
      </c>
      <c r="E434" s="1" t="s">
        <v>0</v>
      </c>
      <c r="F434" t="s">
        <v>0</v>
      </c>
      <c r="G434" t="str">
        <f>T("RIVERSIDE")</f>
        <v>RIVERSIDE</v>
      </c>
      <c r="H434" t="str">
        <f t="shared" si="84"/>
        <v>CA </v>
      </c>
      <c r="I434" s="1" t="str">
        <f>T("92507 2471")</f>
        <v>92507 2471</v>
      </c>
      <c r="J434" s="1" t="str">
        <f>T("760 276 6624")</f>
        <v>760 276 6624</v>
      </c>
      <c r="K434" s="1" t="str">
        <f>T("760 276 6641")</f>
        <v>760 276 6641</v>
      </c>
    </row>
    <row r="435" spans="1:11" ht="12.75">
      <c r="A435" s="1" t="s">
        <v>11</v>
      </c>
      <c r="B435" t="str">
        <f>T("BR OF HOUSING")</f>
        <v>BR OF HOUSING</v>
      </c>
      <c r="C435" t="str">
        <f>T("DOI/BIA/SOUTHERN CALIFORNIA AGENCY")</f>
        <v>DOI/BIA/SOUTHERN CALIFORNIA AGENCY</v>
      </c>
      <c r="D435" t="str">
        <f>T("2038 IOWA AVENUE  SUITE 101 ")</f>
        <v>2038 IOWA AVENUE  SUITE 101 </v>
      </c>
      <c r="E435" s="1" t="s">
        <v>0</v>
      </c>
      <c r="F435" t="s">
        <v>0</v>
      </c>
      <c r="G435" t="str">
        <f>T("RIVERSIDE")</f>
        <v>RIVERSIDE</v>
      </c>
      <c r="H435" t="str">
        <f t="shared" si="84"/>
        <v>CA </v>
      </c>
      <c r="I435" s="1" t="str">
        <f>T("92507 2471")</f>
        <v>92507 2471</v>
      </c>
      <c r="J435" s="1" t="str">
        <f>T("760 276 6624")</f>
        <v>760 276 6624</v>
      </c>
      <c r="K435" s="1" t="str">
        <f>T("760 276 6641")</f>
        <v>760 276 6641</v>
      </c>
    </row>
    <row r="436" spans="1:11" ht="12.75">
      <c r="A436" s="1" t="s">
        <v>11</v>
      </c>
      <c r="B436" t="str">
        <f>T("TRIBAL OPERATIONS")</f>
        <v>TRIBAL OPERATIONS</v>
      </c>
      <c r="C436" t="str">
        <f>T("DOI/BIA/SOUTHERN CALIFORNIA AGENCY")</f>
        <v>DOI/BIA/SOUTHERN CALIFORNIA AGENCY</v>
      </c>
      <c r="D436" t="str">
        <f>T("2038 IOWA AVENUE  SUITE 101 ")</f>
        <v>2038 IOWA AVENUE  SUITE 101 </v>
      </c>
      <c r="E436" s="1" t="s">
        <v>0</v>
      </c>
      <c r="F436" t="s">
        <v>0</v>
      </c>
      <c r="G436" t="str">
        <f>T("RIVERSIDE")</f>
        <v>RIVERSIDE</v>
      </c>
      <c r="H436" t="str">
        <f t="shared" si="84"/>
        <v>CA </v>
      </c>
      <c r="I436" s="1" t="str">
        <f>T("92507 2471")</f>
        <v>92507 2471</v>
      </c>
      <c r="J436" s="1" t="str">
        <f>T("760 276 6624")</f>
        <v>760 276 6624</v>
      </c>
      <c r="K436" s="1" t="str">
        <f>T("760 276 6641")</f>
        <v>760 276 6641</v>
      </c>
    </row>
    <row r="437" spans="1:11" ht="12.75">
      <c r="A437" s="1" t="s">
        <v>11</v>
      </c>
      <c r="B437" t="str">
        <f>T("BR OF SELF-DETERMINATION")</f>
        <v>BR OF SELF-DETERMINATION</v>
      </c>
      <c r="C437" t="str">
        <f>T("DOI/BIA/SOUTHERN CALIFORNIA AGENCY")</f>
        <v>DOI/BIA/SOUTHERN CALIFORNIA AGENCY</v>
      </c>
      <c r="D437" t="str">
        <f>T("2038 IOWA AVENUE  SUITE 101 ")</f>
        <v>2038 IOWA AVENUE  SUITE 101 </v>
      </c>
      <c r="E437" s="1" t="s">
        <v>0</v>
      </c>
      <c r="F437" t="s">
        <v>0</v>
      </c>
      <c r="G437" t="str">
        <f>T("RIVERSIDE")</f>
        <v>RIVERSIDE</v>
      </c>
      <c r="H437" t="str">
        <f t="shared" si="84"/>
        <v>CA </v>
      </c>
      <c r="I437" s="1" t="str">
        <f>T("92507 2471")</f>
        <v>92507 2471</v>
      </c>
      <c r="J437" s="1" t="str">
        <f>T("760 276 6624")</f>
        <v>760 276 6624</v>
      </c>
      <c r="K437" s="1" t="str">
        <f>T("760 276 6641")</f>
        <v>760 276 6641</v>
      </c>
    </row>
    <row r="438" spans="1:11" ht="12.75">
      <c r="A438" s="1" t="s">
        <v>11</v>
      </c>
      <c r="B438" t="str">
        <f>T("NATURAL RESOURCES")</f>
        <v>NATURAL RESOURCES</v>
      </c>
      <c r="C438" t="str">
        <f>T("DOI/BIA/SOUTHERN CALIFORNIA AGENCY")</f>
        <v>DOI/BIA/SOUTHERN CALIFORNIA AGENCY</v>
      </c>
      <c r="D438" t="str">
        <f>T("2038 IOWA AVENUE  SUITE 101 ")</f>
        <v>2038 IOWA AVENUE  SUITE 101 </v>
      </c>
      <c r="E438" s="1" t="s">
        <v>0</v>
      </c>
      <c r="F438" t="s">
        <v>0</v>
      </c>
      <c r="G438" t="str">
        <f>T("RIVERSIDE")</f>
        <v>RIVERSIDE</v>
      </c>
      <c r="H438" t="str">
        <f t="shared" si="84"/>
        <v>CA </v>
      </c>
      <c r="I438" s="1" t="str">
        <f>T("92507 2471")</f>
        <v>92507 2471</v>
      </c>
      <c r="J438" s="1" t="str">
        <f>T("760 276 6624")</f>
        <v>760 276 6624</v>
      </c>
      <c r="K438" s="1" t="str">
        <f>T("760 276 6641")</f>
        <v>760 276 6641</v>
      </c>
    </row>
    <row r="439" spans="1:11" ht="12.75">
      <c r="A439" s="1" t="s">
        <v>11</v>
      </c>
      <c r="B439" t="str">
        <f>T("TRUST SVS NIFC")</f>
        <v>TRUST SVS NIFC</v>
      </c>
      <c r="C439" t="str">
        <f>T("DOI BUREAU OF INDIAN AFFAIRS")</f>
        <v>DOI BUREAU OF INDIAN AFFAIRS</v>
      </c>
      <c r="D439" t="str">
        <f>T("3833 SOUTH DEVELOPMENT AVE")</f>
        <v>3833 SOUTH DEVELOPMENT AVE</v>
      </c>
      <c r="E439" s="1" t="s">
        <v>0</v>
      </c>
      <c r="F439" t="s">
        <v>0</v>
      </c>
      <c r="G439" t="str">
        <f>T("BOISE")</f>
        <v>BOISE</v>
      </c>
      <c r="H439" t="str">
        <f>T("ID ")</f>
        <v>ID </v>
      </c>
      <c r="I439" s="1">
        <f>N(83705)</f>
        <v>83705</v>
      </c>
      <c r="J439" s="1">
        <f>N(2083875696)</f>
        <v>2083875696</v>
      </c>
      <c r="K439" s="1" t="s">
        <v>0</v>
      </c>
    </row>
    <row r="440" spans="1:11" ht="12.75">
      <c r="A440" s="1" t="s">
        <v>11</v>
      </c>
      <c r="B440" t="str">
        <f>T("TRUST SVS FORESTY RESC PLN")</f>
        <v>TRUST SVS FORESTY RESC PLN</v>
      </c>
      <c r="C440" t="str">
        <f>T("DOI BUREAU OF INDIAN AFFAIRS")</f>
        <v>DOI BUREAU OF INDIAN AFFAIRS</v>
      </c>
      <c r="D440" t="str">
        <f>T("12136 WEST BAYAUD AVE")</f>
        <v>12136 WEST BAYAUD AVE</v>
      </c>
      <c r="E440" s="1" t="str">
        <f>T("STE 300")</f>
        <v>STE 300</v>
      </c>
      <c r="F440" t="s">
        <v>0</v>
      </c>
      <c r="G440" t="str">
        <f>T("LAKEWOOD")</f>
        <v>LAKEWOOD</v>
      </c>
      <c r="H440" t="str">
        <f>T("CO ")</f>
        <v>CO </v>
      </c>
      <c r="I440" s="1">
        <f>N(80228)</f>
        <v>80228</v>
      </c>
      <c r="J440" s="1" t="s">
        <v>0</v>
      </c>
      <c r="K440" s="1" t="s">
        <v>0</v>
      </c>
    </row>
    <row r="441" spans="1:11" ht="12.75">
      <c r="A441" s="1" t="s">
        <v>11</v>
      </c>
      <c r="B441" t="str">
        <f>T("BR OF IRRIGATION")</f>
        <v>BR OF IRRIGATION</v>
      </c>
      <c r="C441" t="str">
        <f>T("DOI BUREAU OF INDIAN AFFAIRS")</f>
        <v>DOI BUREAU OF INDIAN AFFAIRS</v>
      </c>
      <c r="D441" t="str">
        <f>T("1849 C STREET  NW  MS 4512 MIB")</f>
        <v>1849 C STREET  NW  MS 4512 MIB</v>
      </c>
      <c r="E441" s="1" t="s">
        <v>0</v>
      </c>
      <c r="F441" t="s">
        <v>0</v>
      </c>
      <c r="G441" t="str">
        <f>T("WASHINGTON")</f>
        <v>WASHINGTON</v>
      </c>
      <c r="H441" t="str">
        <f>T("DC ")</f>
        <v>DC </v>
      </c>
      <c r="I441" s="1">
        <f>N(20240)</f>
        <v>20240</v>
      </c>
      <c r="J441" s="1" t="s">
        <v>0</v>
      </c>
      <c r="K441" s="1" t="s">
        <v>0</v>
      </c>
    </row>
    <row r="442" spans="1:11" ht="12.75">
      <c r="A442" s="1" t="s">
        <v>11</v>
      </c>
      <c r="B442" t="str">
        <f>T("TRIBAL OPERATIONS")</f>
        <v>TRIBAL OPERATIONS</v>
      </c>
      <c r="C442" t="str">
        <f>T("BRANCH OF SOCIAL SER")</f>
        <v>BRANCH OF SOCIAL SER</v>
      </c>
      <c r="D442" t="str">
        <f>T("BIA/SWR/SOUTHERN PUEBLOS AGENCY")</f>
        <v>BIA/SWR/SOUTHERN PUEBLOS AGENCY</v>
      </c>
      <c r="E442" s="1" t="str">
        <f>T("P.O. BOX 1667")</f>
        <v>P.O. BOX 1667</v>
      </c>
      <c r="F442" t="s">
        <v>0</v>
      </c>
      <c r="G442" t="str">
        <f>T("ALBUQUERQUE")</f>
        <v>ALBUQUERQUE</v>
      </c>
      <c r="H442" t="str">
        <f aca="true" t="shared" si="85" ref="H442:H449">T("NM ")</f>
        <v>NM </v>
      </c>
      <c r="I442" s="1">
        <f>N(87103)</f>
        <v>87103</v>
      </c>
      <c r="J442" s="1" t="str">
        <f>T("505 346 2425")</f>
        <v>505 346 2425</v>
      </c>
      <c r="K442" s="1" t="str">
        <f>T("505 346 2426")</f>
        <v>505 346 2426</v>
      </c>
    </row>
    <row r="443" spans="1:11" ht="12.75">
      <c r="A443" s="1" t="s">
        <v>11</v>
      </c>
      <c r="B443" t="str">
        <f>T("NATURAL RESOURCES")</f>
        <v>NATURAL RESOURCES</v>
      </c>
      <c r="C443" t="str">
        <f>T("BRANCH OF NATURAL RE")</f>
        <v>BRANCH OF NATURAL RE</v>
      </c>
      <c r="D443" t="str">
        <f>T("BIA/SWR/SOUTHERN PUEBLOS AGENCY")</f>
        <v>BIA/SWR/SOUTHERN PUEBLOS AGENCY</v>
      </c>
      <c r="E443" s="1" t="str">
        <f>T("P.O. BOX 1667")</f>
        <v>P.O. BOX 1667</v>
      </c>
      <c r="F443" t="s">
        <v>0</v>
      </c>
      <c r="G443" t="str">
        <f>T("ALBUQUERQUE")</f>
        <v>ALBUQUERQUE</v>
      </c>
      <c r="H443" t="str">
        <f t="shared" si="85"/>
        <v>NM </v>
      </c>
      <c r="I443" s="1">
        <f>N(87103)</f>
        <v>87103</v>
      </c>
      <c r="J443" s="1" t="str">
        <f>T("505 346 2425")</f>
        <v>505 346 2425</v>
      </c>
      <c r="K443" s="1" t="str">
        <f>T("505 346 2426")</f>
        <v>505 346 2426</v>
      </c>
    </row>
    <row r="444" spans="1:11" ht="12.75">
      <c r="A444" s="1" t="s">
        <v>11</v>
      </c>
      <c r="B444" t="str">
        <f>T("REAL ESTATE SERVICES")</f>
        <v>REAL ESTATE SERVICES</v>
      </c>
      <c r="C444" t="str">
        <f>T("BRANCH OF REAL ESTAT")</f>
        <v>BRANCH OF REAL ESTAT</v>
      </c>
      <c r="D444" t="str">
        <f>T("BIA/SWR/SOUTHERN PUEBLOS AGENCY")</f>
        <v>BIA/SWR/SOUTHERN PUEBLOS AGENCY</v>
      </c>
      <c r="E444" s="1" t="str">
        <f>T("P.O. BOX 1667")</f>
        <v>P.O. BOX 1667</v>
      </c>
      <c r="F444" t="s">
        <v>0</v>
      </c>
      <c r="G444" t="str">
        <f>T("ALBUQUERQUE")</f>
        <v>ALBUQUERQUE</v>
      </c>
      <c r="H444" t="str">
        <f t="shared" si="85"/>
        <v>NM </v>
      </c>
      <c r="I444" s="1">
        <f>N(87103)</f>
        <v>87103</v>
      </c>
      <c r="J444" s="1" t="str">
        <f>T("505 346 2425")</f>
        <v>505 346 2425</v>
      </c>
      <c r="K444" s="1" t="str">
        <f>T("505 346 2426")</f>
        <v>505 346 2426</v>
      </c>
    </row>
    <row r="445" spans="1:11" ht="12.75">
      <c r="A445" s="1" t="s">
        <v>11</v>
      </c>
      <c r="B445" t="str">
        <f>T("TRANSPORTATION")</f>
        <v>TRANSPORTATION</v>
      </c>
      <c r="C445" t="str">
        <f>T("BRANCH OF ROADS")</f>
        <v>BRANCH OF ROADS</v>
      </c>
      <c r="D445" t="str">
        <f>T("BIA/SWR/SOUTHERN PUEBLOS AGENCY")</f>
        <v>BIA/SWR/SOUTHERN PUEBLOS AGENCY</v>
      </c>
      <c r="E445" s="1" t="str">
        <f>T("P.O. BOX 1667")</f>
        <v>P.O. BOX 1667</v>
      </c>
      <c r="F445" t="s">
        <v>0</v>
      </c>
      <c r="G445" t="str">
        <f>T("ALBUQUERQUE")</f>
        <v>ALBUQUERQUE</v>
      </c>
      <c r="H445" t="str">
        <f t="shared" si="85"/>
        <v>NM </v>
      </c>
      <c r="I445" s="1">
        <f>N(87103)</f>
        <v>87103</v>
      </c>
      <c r="J445" s="1" t="str">
        <f>T("505 346 2425")</f>
        <v>505 346 2425</v>
      </c>
      <c r="K445" s="1" t="str">
        <f>T("505 346 2426")</f>
        <v>505 346 2426</v>
      </c>
    </row>
    <row r="446" spans="1:11" ht="12.75">
      <c r="A446" s="1" t="s">
        <v>11</v>
      </c>
      <c r="B446" t="str">
        <f>T("DEPUTY AGENCY SUPT-TRUST SRVS")</f>
        <v>DEPUTY AGENCY SUPT-TRUST SRVS</v>
      </c>
      <c r="C446" t="str">
        <f>T("BRANCH OF EMPLOYMNT")</f>
        <v>BRANCH OF EMPLOYMNT</v>
      </c>
      <c r="D446" t="str">
        <f>T("BIA/SWR/SOUTHERN PUEBLOS AGENCY")</f>
        <v>BIA/SWR/SOUTHERN PUEBLOS AGENCY</v>
      </c>
      <c r="E446" s="1" t="str">
        <f>T("P.O. BOX 1667")</f>
        <v>P.O. BOX 1667</v>
      </c>
      <c r="F446" t="s">
        <v>0</v>
      </c>
      <c r="G446" t="str">
        <f>T("ALBUQUERQUE")</f>
        <v>ALBUQUERQUE</v>
      </c>
      <c r="H446" t="str">
        <f t="shared" si="85"/>
        <v>NM </v>
      </c>
      <c r="I446" s="1">
        <f>N(87103)</f>
        <v>87103</v>
      </c>
      <c r="J446" s="1" t="str">
        <f>T("505 346 2425")</f>
        <v>505 346 2425</v>
      </c>
      <c r="K446" s="1" t="str">
        <f>T("505 346 2426")</f>
        <v>505 346 2426</v>
      </c>
    </row>
    <row r="447" spans="1:11" ht="12.75">
      <c r="A447" s="1" t="s">
        <v>11</v>
      </c>
      <c r="B447" t="str">
        <f>T("TRANSPORTATION")</f>
        <v>TRANSPORTATION</v>
      </c>
      <c r="C447" t="str">
        <f>T("BRANCH OF ROADS")</f>
        <v>BRANCH OF ROADS</v>
      </c>
      <c r="D447" t="str">
        <f>T("BIA/SWR/LAGUNA AGENCY")</f>
        <v>BIA/SWR/LAGUNA AGENCY</v>
      </c>
      <c r="E447" s="1" t="str">
        <f>T("P.O. BOX 1448")</f>
        <v>P.O. BOX 1448</v>
      </c>
      <c r="F447" t="s">
        <v>0</v>
      </c>
      <c r="G447" t="str">
        <f>T("LAGUNA")</f>
        <v>LAGUNA</v>
      </c>
      <c r="H447" t="str">
        <f t="shared" si="85"/>
        <v>NM </v>
      </c>
      <c r="I447" s="1">
        <f>N(87026)</f>
        <v>87026</v>
      </c>
      <c r="J447" s="1" t="str">
        <f>T("505 552 6001")</f>
        <v>505 552 6001</v>
      </c>
      <c r="K447" s="1" t="str">
        <f>T("505 552 7497")</f>
        <v>505 552 7497</v>
      </c>
    </row>
    <row r="448" spans="1:11" ht="12.75">
      <c r="A448" s="1" t="s">
        <v>11</v>
      </c>
      <c r="B448" t="str">
        <f>T("FORESTRY")</f>
        <v>FORESTRY</v>
      </c>
      <c r="C448" t="str">
        <f>T("BRANCH OF FORESTRY")</f>
        <v>BRANCH OF FORESTRY</v>
      </c>
      <c r="D448" t="str">
        <f>T("BIA/SWR/NORTHERN PUEBLOS AGENCY")</f>
        <v>BIA/SWR/NORTHERN PUEBLOS AGENCY</v>
      </c>
      <c r="E448" s="1" t="str">
        <f>T("P.O. BOX 4269   FAIRVIEW STATION")</f>
        <v>P.O. BOX 4269   FAIRVIEW STATION</v>
      </c>
      <c r="F448" t="s">
        <v>0</v>
      </c>
      <c r="G448" t="str">
        <f>T("ESPANOLA")</f>
        <v>ESPANOLA</v>
      </c>
      <c r="H448" t="str">
        <f t="shared" si="85"/>
        <v>NM </v>
      </c>
      <c r="I448" s="1">
        <f>N(87533)</f>
        <v>87533</v>
      </c>
      <c r="J448" s="1" t="str">
        <f>T("505 753 1400")</f>
        <v>505 753 1400</v>
      </c>
      <c r="K448" s="1" t="str">
        <f>T("505 753 1404")</f>
        <v>505 753 1404</v>
      </c>
    </row>
    <row r="449" spans="1:11" ht="12.75">
      <c r="A449" s="1" t="s">
        <v>11</v>
      </c>
      <c r="B449" t="str">
        <f>T("NATURAL RESOURCES")</f>
        <v>NATURAL RESOURCES</v>
      </c>
      <c r="C449" t="str">
        <f>T("BRANCH OF NATURAL RE")</f>
        <v>BRANCH OF NATURAL RE</v>
      </c>
      <c r="D449" t="str">
        <f>T("BIA/SWR/NORTHERN PUEBLOS AGENCY")</f>
        <v>BIA/SWR/NORTHERN PUEBLOS AGENCY</v>
      </c>
      <c r="E449" s="1" t="str">
        <f>T("P.O. BOX 4269   FAIRVIEW STATION")</f>
        <v>P.O. BOX 4269   FAIRVIEW STATION</v>
      </c>
      <c r="F449" t="s">
        <v>0</v>
      </c>
      <c r="G449" t="str">
        <f>T("ESPANOLA")</f>
        <v>ESPANOLA</v>
      </c>
      <c r="H449" t="str">
        <f t="shared" si="85"/>
        <v>NM </v>
      </c>
      <c r="I449" s="1">
        <f>N(87533)</f>
        <v>87533</v>
      </c>
      <c r="J449" s="1" t="str">
        <f>T("505 753 1400")</f>
        <v>505 753 1400</v>
      </c>
      <c r="K449" s="1" t="str">
        <f>T("505 753 1404")</f>
        <v>505 753 1404</v>
      </c>
    </row>
    <row r="450" spans="1:11" ht="12.75">
      <c r="A450" s="1" t="s">
        <v>11</v>
      </c>
      <c r="B450" t="str">
        <f>T("FORESTRY")</f>
        <v>FORESTRY</v>
      </c>
      <c r="C450" t="str">
        <f>T("BRANCH OF FORESTRY")</f>
        <v>BRANCH OF FORESTRY</v>
      </c>
      <c r="D450" t="str">
        <f>T("BIA/SWR/SOUTHERN UTE AGENCY")</f>
        <v>BIA/SWR/SOUTHERN UTE AGENCY</v>
      </c>
      <c r="E450" s="1" t="str">
        <f>T("P.O. BOX 315")</f>
        <v>P.O. BOX 315</v>
      </c>
      <c r="F450" t="s">
        <v>0</v>
      </c>
      <c r="G450" t="str">
        <f>T("IGNACIO")</f>
        <v>IGNACIO</v>
      </c>
      <c r="H450" t="str">
        <f>T("CO ")</f>
        <v>CO </v>
      </c>
      <c r="I450" s="1">
        <f>N(81137)</f>
        <v>81137</v>
      </c>
      <c r="J450" s="1" t="str">
        <f>T("970 563 4511")</f>
        <v>970 563 4511</v>
      </c>
      <c r="K450" s="1" t="str">
        <f>T("970 563 9321")</f>
        <v>970 563 9321</v>
      </c>
    </row>
    <row r="451" spans="1:11" ht="12.75">
      <c r="A451" s="1" t="s">
        <v>11</v>
      </c>
      <c r="B451" t="str">
        <f>T("REAL ESTATE SERVICES")</f>
        <v>REAL ESTATE SERVICES</v>
      </c>
      <c r="C451" t="str">
        <f>T("BRANCH OF REAL ESTAT")</f>
        <v>BRANCH OF REAL ESTAT</v>
      </c>
      <c r="D451" t="str">
        <f>T("BIA/SWR/SOUTHERN UTE AGENCY")</f>
        <v>BIA/SWR/SOUTHERN UTE AGENCY</v>
      </c>
      <c r="E451" s="1" t="str">
        <f>T("P.O. BOX 315")</f>
        <v>P.O. BOX 315</v>
      </c>
      <c r="F451" t="s">
        <v>0</v>
      </c>
      <c r="G451" t="str">
        <f>T("IGNACIO")</f>
        <v>IGNACIO</v>
      </c>
      <c r="H451" t="str">
        <f>T("CO ")</f>
        <v>CO </v>
      </c>
      <c r="I451" s="1">
        <f>N(81137)</f>
        <v>81137</v>
      </c>
      <c r="J451" s="1" t="str">
        <f>T("970 563 4511")</f>
        <v>970 563 4511</v>
      </c>
      <c r="K451" s="1" t="str">
        <f>T("970 563 9321")</f>
        <v>970 563 9321</v>
      </c>
    </row>
    <row r="452" spans="1:11" ht="12.75">
      <c r="A452" s="1" t="s">
        <v>11</v>
      </c>
      <c r="B452" t="str">
        <f>T("TRANSPORTATION")</f>
        <v>TRANSPORTATION</v>
      </c>
      <c r="C452" t="str">
        <f>T("BRANCH OF ROADS")</f>
        <v>BRANCH OF ROADS</v>
      </c>
      <c r="D452" t="str">
        <f>T("BIA/SWR/SOUTHERN UTE AGENCY")</f>
        <v>BIA/SWR/SOUTHERN UTE AGENCY</v>
      </c>
      <c r="E452" s="1" t="str">
        <f>T("P.O. BOX 315")</f>
        <v>P.O. BOX 315</v>
      </c>
      <c r="F452" t="s">
        <v>0</v>
      </c>
      <c r="G452" t="str">
        <f>T("IGNACIO")</f>
        <v>IGNACIO</v>
      </c>
      <c r="H452" t="str">
        <f>T("CO ")</f>
        <v>CO </v>
      </c>
      <c r="I452" s="1">
        <f>N(81137)</f>
        <v>81137</v>
      </c>
      <c r="J452" s="1" t="str">
        <f>T("970 563 4511")</f>
        <v>970 563 4511</v>
      </c>
      <c r="K452" s="1" t="str">
        <f>T("970 563 9321")</f>
        <v>970 563 9321</v>
      </c>
    </row>
    <row r="453" spans="1:11" ht="12.75">
      <c r="A453" s="1" t="s">
        <v>11</v>
      </c>
      <c r="B453" t="str">
        <f>T("NATURAL RESOURCES")</f>
        <v>NATURAL RESOURCES</v>
      </c>
      <c r="C453" t="str">
        <f>T("BRANCH OF NATURAL RE")</f>
        <v>BRANCH OF NATURAL RE</v>
      </c>
      <c r="D453" t="str">
        <f>T("BIA/SWR/JICARILLA AGENCY")</f>
        <v>BIA/SWR/JICARILLA AGENCY</v>
      </c>
      <c r="E453" s="1" t="str">
        <f>T("P.O. BOX 167")</f>
        <v>P.O. BOX 167</v>
      </c>
      <c r="F453" t="s">
        <v>0</v>
      </c>
      <c r="G453" t="str">
        <f>T("DULCE")</f>
        <v>DULCE</v>
      </c>
      <c r="H453" t="str">
        <f aca="true" t="shared" si="86" ref="H453:H463">T("NM ")</f>
        <v>NM </v>
      </c>
      <c r="I453" s="1">
        <f>N(87528)</f>
        <v>87528</v>
      </c>
      <c r="J453" s="1" t="str">
        <f>T("505 759 3952")</f>
        <v>505 759 3952</v>
      </c>
      <c r="K453" s="1" t="str">
        <f>T("505 759 3948")</f>
        <v>505 759 3948</v>
      </c>
    </row>
    <row r="454" spans="1:11" ht="12.75">
      <c r="A454" s="1" t="s">
        <v>11</v>
      </c>
      <c r="B454" t="str">
        <f>T("BR OF FACIL M'GMT")</f>
        <v>BR OF FACIL M'GMT</v>
      </c>
      <c r="C454" t="str">
        <f>T("BRANCH OF FACILITIES")</f>
        <v>BRANCH OF FACILITIES</v>
      </c>
      <c r="D454" t="str">
        <f>T("BIA/SWR/MESCALERO AGENCY")</f>
        <v>BIA/SWR/MESCALERO AGENCY</v>
      </c>
      <c r="E454" s="1" t="str">
        <f>T("P.O. BOX 189")</f>
        <v>P.O. BOX 189</v>
      </c>
      <c r="F454" t="s">
        <v>0</v>
      </c>
      <c r="G454" t="str">
        <f>T("MESCALERO")</f>
        <v>MESCALERO</v>
      </c>
      <c r="H454" t="str">
        <f t="shared" si="86"/>
        <v>NM </v>
      </c>
      <c r="I454" s="1">
        <f>N(88340)</f>
        <v>88340</v>
      </c>
      <c r="J454" s="1" t="str">
        <f>T("505 464 4421")</f>
        <v>505 464 4421</v>
      </c>
      <c r="K454" s="1" t="str">
        <f>T("505 464 4215")</f>
        <v>505 464 4215</v>
      </c>
    </row>
    <row r="455" spans="1:11" ht="12.75">
      <c r="A455" s="1" t="s">
        <v>11</v>
      </c>
      <c r="B455" t="str">
        <f>T("BR OF TRIBAL GOV'T")</f>
        <v>BR OF TRIBAL GOV'T</v>
      </c>
      <c r="C455" t="str">
        <f>T("BRANCH OF TRIBAL GOV")</f>
        <v>BRANCH OF TRIBAL GOV</v>
      </c>
      <c r="D455" t="str">
        <f>T("BIA/SWR/MESCALERO AGENCY")</f>
        <v>BIA/SWR/MESCALERO AGENCY</v>
      </c>
      <c r="E455" s="1" t="str">
        <f>T("P.O. BOX 189")</f>
        <v>P.O. BOX 189</v>
      </c>
      <c r="F455" t="s">
        <v>0</v>
      </c>
      <c r="G455" t="str">
        <f>T("MESCALERO")</f>
        <v>MESCALERO</v>
      </c>
      <c r="H455" t="str">
        <f t="shared" si="86"/>
        <v>NM </v>
      </c>
      <c r="I455" s="1">
        <f>N(88340)</f>
        <v>88340</v>
      </c>
      <c r="J455" s="1" t="str">
        <f>T("505 464 4421")</f>
        <v>505 464 4421</v>
      </c>
      <c r="K455" s="1" t="str">
        <f>T("505 464 4215")</f>
        <v>505 464 4215</v>
      </c>
    </row>
    <row r="456" spans="1:11" ht="12.75">
      <c r="A456" s="1" t="s">
        <v>11</v>
      </c>
      <c r="B456" t="str">
        <f>T("BR OF SOCIAL SVCS")</f>
        <v>BR OF SOCIAL SVCS</v>
      </c>
      <c r="C456" t="str">
        <f>T("BRANCH OF SOCIAL SER")</f>
        <v>BRANCH OF SOCIAL SER</v>
      </c>
      <c r="D456" t="str">
        <f>T("BIA/SWR/MESCALERO AGENCY")</f>
        <v>BIA/SWR/MESCALERO AGENCY</v>
      </c>
      <c r="E456" s="1" t="str">
        <f>T("P.O. BOX 189")</f>
        <v>P.O. BOX 189</v>
      </c>
      <c r="F456" t="s">
        <v>0</v>
      </c>
      <c r="G456" t="str">
        <f>T("MESCALERO")</f>
        <v>MESCALERO</v>
      </c>
      <c r="H456" t="str">
        <f t="shared" si="86"/>
        <v>NM </v>
      </c>
      <c r="I456" s="1">
        <f>N(88340)</f>
        <v>88340</v>
      </c>
      <c r="J456" s="1" t="str">
        <f>T("505 464 4421")</f>
        <v>505 464 4421</v>
      </c>
      <c r="K456" s="1" t="str">
        <f>T("505 464 4215")</f>
        <v>505 464 4215</v>
      </c>
    </row>
    <row r="457" spans="1:11" ht="12.75">
      <c r="A457" s="1" t="s">
        <v>11</v>
      </c>
      <c r="B457" t="str">
        <f>T("FORESTRY")</f>
        <v>FORESTRY</v>
      </c>
      <c r="C457" t="str">
        <f>T("BRANCH OF FORESTRY")</f>
        <v>BRANCH OF FORESTRY</v>
      </c>
      <c r="D457" t="str">
        <f>T("BIA/SWR/MESCALERO AGENCY")</f>
        <v>BIA/SWR/MESCALERO AGENCY</v>
      </c>
      <c r="E457" s="1" t="str">
        <f>T("P.O. BOX 189")</f>
        <v>P.O. BOX 189</v>
      </c>
      <c r="F457" t="s">
        <v>0</v>
      </c>
      <c r="G457" t="str">
        <f>T("MESCALERO")</f>
        <v>MESCALERO</v>
      </c>
      <c r="H457" t="str">
        <f t="shared" si="86"/>
        <v>NM </v>
      </c>
      <c r="I457" s="1">
        <f>N(88340)</f>
        <v>88340</v>
      </c>
      <c r="J457" s="1" t="str">
        <f>T("505 464 4421")</f>
        <v>505 464 4421</v>
      </c>
      <c r="K457" s="1" t="str">
        <f>T("505 464 4215")</f>
        <v>505 464 4215</v>
      </c>
    </row>
    <row r="458" spans="1:11" ht="12.75">
      <c r="A458" s="1" t="s">
        <v>11</v>
      </c>
      <c r="B458" t="str">
        <f>T("NATURAL RESOURCES")</f>
        <v>NATURAL RESOURCES</v>
      </c>
      <c r="C458" t="str">
        <f>T("BRANCH OF NATURAL RE")</f>
        <v>BRANCH OF NATURAL RE</v>
      </c>
      <c r="D458" t="str">
        <f>T("BIA/SWR/MESCALERO AGENCY")</f>
        <v>BIA/SWR/MESCALERO AGENCY</v>
      </c>
      <c r="E458" s="1" t="str">
        <f>T("P.O. BOX 189")</f>
        <v>P.O. BOX 189</v>
      </c>
      <c r="F458" t="s">
        <v>0</v>
      </c>
      <c r="G458" t="str">
        <f>T("MESCALERO")</f>
        <v>MESCALERO</v>
      </c>
      <c r="H458" t="str">
        <f t="shared" si="86"/>
        <v>NM </v>
      </c>
      <c r="I458" s="1">
        <f>N(88340)</f>
        <v>88340</v>
      </c>
      <c r="J458" s="1" t="str">
        <f>T("505 464 4421")</f>
        <v>505 464 4421</v>
      </c>
      <c r="K458" s="1" t="str">
        <f>T("505 464 4215")</f>
        <v>505 464 4215</v>
      </c>
    </row>
    <row r="459" spans="1:11" ht="12.75">
      <c r="A459" s="1" t="s">
        <v>11</v>
      </c>
      <c r="B459" t="str">
        <f>T("NATURAL RESOURCES")</f>
        <v>NATURAL RESOURCES</v>
      </c>
      <c r="C459" t="str">
        <f>T("BRANCH OF NATURAL RE")</f>
        <v>BRANCH OF NATURAL RE</v>
      </c>
      <c r="D459" t="str">
        <f>T("BIA/SWR/ZUNI AGENCY")</f>
        <v>BIA/SWR/ZUNI AGENCY</v>
      </c>
      <c r="E459" s="1" t="str">
        <f>T("P.O. BOX 369")</f>
        <v>P.O. BOX 369</v>
      </c>
      <c r="F459" t="s">
        <v>0</v>
      </c>
      <c r="G459" t="str">
        <f>T("ZUNI")</f>
        <v>ZUNI</v>
      </c>
      <c r="H459" t="str">
        <f t="shared" si="86"/>
        <v>NM </v>
      </c>
      <c r="I459" s="1">
        <f>N(87327)</f>
        <v>87327</v>
      </c>
      <c r="J459" s="1" t="str">
        <f>T("505 782 7271")</f>
        <v>505 782 7271</v>
      </c>
      <c r="K459" s="1" t="str">
        <f>T("505 782 7229")</f>
        <v>505 782 7229</v>
      </c>
    </row>
    <row r="460" spans="1:11" ht="12.75">
      <c r="A460" s="1" t="s">
        <v>11</v>
      </c>
      <c r="B460" t="str">
        <f>T("TRANSPORTATION")</f>
        <v>TRANSPORTATION</v>
      </c>
      <c r="C460" t="str">
        <f>T("BRANCH OF ROADS")</f>
        <v>BRANCH OF ROADS</v>
      </c>
      <c r="D460" t="str">
        <f>T("BIA/SWR/ZUNI AGENCY")</f>
        <v>BIA/SWR/ZUNI AGENCY</v>
      </c>
      <c r="E460" s="1" t="str">
        <f>T("P.O. BOX 369")</f>
        <v>P.O. BOX 369</v>
      </c>
      <c r="F460" t="s">
        <v>0</v>
      </c>
      <c r="G460" t="str">
        <f>T("ZUNI")</f>
        <v>ZUNI</v>
      </c>
      <c r="H460" t="str">
        <f t="shared" si="86"/>
        <v>NM </v>
      </c>
      <c r="I460" s="1">
        <f>N(87327)</f>
        <v>87327</v>
      </c>
      <c r="J460" s="1" t="str">
        <f>T("505 782 7271")</f>
        <v>505 782 7271</v>
      </c>
      <c r="K460" s="1" t="str">
        <f>T("505 782 7229")</f>
        <v>505 782 7229</v>
      </c>
    </row>
    <row r="461" spans="1:11" ht="12.75">
      <c r="A461" s="1" t="s">
        <v>11</v>
      </c>
      <c r="B461" t="str">
        <f>T("FORESTRY")</f>
        <v>FORESTRY</v>
      </c>
      <c r="C461" t="str">
        <f>T("BRANCH OF FORESTRY")</f>
        <v>BRANCH OF FORESTRY</v>
      </c>
      <c r="D461" t="str">
        <f>T("BIA/SWR/RAMAH NAVAJO AGENCY")</f>
        <v>BIA/SWR/RAMAH NAVAJO AGENCY</v>
      </c>
      <c r="E461" s="1" t="str">
        <f>T("ROUTE 2  BOX 14 ")</f>
        <v>ROUTE 2  BOX 14 </v>
      </c>
      <c r="F461" t="s">
        <v>0</v>
      </c>
      <c r="G461" t="str">
        <f>T("RAMAH")</f>
        <v>RAMAH</v>
      </c>
      <c r="H461" t="str">
        <f t="shared" si="86"/>
        <v>NM </v>
      </c>
      <c r="I461" s="1">
        <f>N(87321)</f>
        <v>87321</v>
      </c>
      <c r="J461" s="1" t="str">
        <f>T("505 775 3235")</f>
        <v>505 775 3235</v>
      </c>
      <c r="K461" s="1" t="str">
        <f>T("505 775 3387")</f>
        <v>505 775 3387</v>
      </c>
    </row>
    <row r="462" spans="1:11" ht="12.75">
      <c r="A462" s="1" t="s">
        <v>11</v>
      </c>
      <c r="B462" t="str">
        <f>T("TRANSPORTATION")</f>
        <v>TRANSPORTATION</v>
      </c>
      <c r="C462" t="str">
        <f>T("BRANCH OF ROADS")</f>
        <v>BRANCH OF ROADS</v>
      </c>
      <c r="D462" t="str">
        <f>T("BIA/SWR/RAMAH NAVAJO AGENCY")</f>
        <v>BIA/SWR/RAMAH NAVAJO AGENCY</v>
      </c>
      <c r="E462" s="1" t="str">
        <f>T("ROUTE 2  BOX 14 ")</f>
        <v>ROUTE 2  BOX 14 </v>
      </c>
      <c r="F462" t="s">
        <v>0</v>
      </c>
      <c r="G462" t="str">
        <f>T("RAMAH")</f>
        <v>RAMAH</v>
      </c>
      <c r="H462" t="str">
        <f t="shared" si="86"/>
        <v>NM </v>
      </c>
      <c r="I462" s="1">
        <f>N(87321)</f>
        <v>87321</v>
      </c>
      <c r="J462" s="1" t="str">
        <f>T("505 775 3235")</f>
        <v>505 775 3235</v>
      </c>
      <c r="K462" s="1" t="str">
        <f>T("505 775 3387")</f>
        <v>505 775 3387</v>
      </c>
    </row>
    <row r="463" spans="1:11" ht="12.75">
      <c r="A463" s="1" t="s">
        <v>11</v>
      </c>
      <c r="B463" t="str">
        <f>T("TRANSPORTATION SHIPROCK")</f>
        <v>TRANSPORTATION SHIPROCK</v>
      </c>
      <c r="C463" t="str">
        <f>T("DOI BUREAU OF INDIAN AFFAIRS")</f>
        <v>DOI BUREAU OF INDIAN AFFAIRS</v>
      </c>
      <c r="D463" t="str">
        <f>T("PO BOX 3538")</f>
        <v>PO BOX 3538</v>
      </c>
      <c r="E463" s="1" t="s">
        <v>0</v>
      </c>
      <c r="F463" t="s">
        <v>0</v>
      </c>
      <c r="G463" t="str">
        <f>T("SHIPROCK")</f>
        <v>SHIPROCK</v>
      </c>
      <c r="H463" t="str">
        <f t="shared" si="86"/>
        <v>NM </v>
      </c>
      <c r="I463" s="1">
        <f>N(87420)</f>
        <v>87420</v>
      </c>
      <c r="J463" s="1">
        <f>N(5053683341)</f>
        <v>5053683341</v>
      </c>
      <c r="K463" s="1">
        <f>N(5053683348)</f>
        <v>5053683348</v>
      </c>
    </row>
    <row r="464" spans="1:11" ht="12.75">
      <c r="A464" s="1" t="s">
        <v>11</v>
      </c>
      <c r="B464" t="str">
        <f>T("TRANSPORTATION WNA")</f>
        <v>TRANSPORTATION WNA</v>
      </c>
      <c r="C464" t="str">
        <f>T("DOI BUREAU OF INDIAN AFFAIRS")</f>
        <v>DOI BUREAU OF INDIAN AFFAIRS</v>
      </c>
      <c r="D464" t="str">
        <f>T("PO BOX 127")</f>
        <v>PO BOX 127</v>
      </c>
      <c r="E464" s="1" t="s">
        <v>0</v>
      </c>
      <c r="F464" t="s">
        <v>0</v>
      </c>
      <c r="G464" t="str">
        <f>T("TUBA CITY")</f>
        <v>TUBA CITY</v>
      </c>
      <c r="H464" t="str">
        <f>T("AZ ")</f>
        <v>AZ </v>
      </c>
      <c r="I464" s="1">
        <f>N(86045)</f>
        <v>86045</v>
      </c>
      <c r="J464" s="1">
        <f>N(9282832297)</f>
        <v>9282832297</v>
      </c>
      <c r="K464" s="1">
        <f>N(9282832227)</f>
        <v>9282832227</v>
      </c>
    </row>
    <row r="465" spans="1:11" ht="12.75">
      <c r="A465" s="1" t="s">
        <v>11</v>
      </c>
      <c r="B465" t="str">
        <f>T("TRANSPORTATION CHINLE")</f>
        <v>TRANSPORTATION CHINLE</v>
      </c>
      <c r="C465" t="str">
        <f>T("DOI BUREAU OF INDIAN AFFAIRS")</f>
        <v>DOI BUREAU OF INDIAN AFFAIRS</v>
      </c>
      <c r="D465" t="str">
        <f>T("PO BOX 7H")</f>
        <v>PO BOX 7H</v>
      </c>
      <c r="E465" s="1" t="s">
        <v>0</v>
      </c>
      <c r="F465" t="s">
        <v>0</v>
      </c>
      <c r="G465" t="str">
        <f>T("CHINLE")</f>
        <v>CHINLE</v>
      </c>
      <c r="H465" t="str">
        <f>T("AZ ")</f>
        <v>AZ </v>
      </c>
      <c r="I465" s="1">
        <f>N(86503)</f>
        <v>86503</v>
      </c>
      <c r="J465" s="1">
        <f>N(9286745175)</f>
        <v>9286745175</v>
      </c>
      <c r="K465" s="1">
        <f>N(9286745184)</f>
        <v>9286745184</v>
      </c>
    </row>
    <row r="466" spans="1:11" ht="12.75">
      <c r="A466" s="1" t="s">
        <v>11</v>
      </c>
      <c r="B466" t="str">
        <f>T("FORESTRY")</f>
        <v>FORESTRY</v>
      </c>
      <c r="C466" t="str">
        <f>T("PO BOX 1060")</f>
        <v>PO BOX 1060</v>
      </c>
      <c r="D466" t="s">
        <v>0</v>
      </c>
      <c r="E466" s="1" t="s">
        <v>0</v>
      </c>
      <c r="F466" t="s">
        <v>0</v>
      </c>
      <c r="G466" t="str">
        <f>T("GALLUP")</f>
        <v>GALLUP</v>
      </c>
      <c r="H466" t="str">
        <f>T("NM ")</f>
        <v>NM </v>
      </c>
      <c r="I466" s="1">
        <f>N(87305)</f>
        <v>87305</v>
      </c>
      <c r="J466" s="1">
        <f>N(5058638525)</f>
        <v>5058638525</v>
      </c>
      <c r="K466" s="1" t="s">
        <v>0</v>
      </c>
    </row>
    <row r="467" spans="1:11" ht="12.75">
      <c r="A467" s="1" t="s">
        <v>11</v>
      </c>
      <c r="B467" t="str">
        <f>T("FIRE")</f>
        <v>FIRE</v>
      </c>
      <c r="C467" t="str">
        <f>T("PO BOX 1060")</f>
        <v>PO BOX 1060</v>
      </c>
      <c r="D467" t="s">
        <v>0</v>
      </c>
      <c r="E467" s="1" t="s">
        <v>0</v>
      </c>
      <c r="F467" t="s">
        <v>0</v>
      </c>
      <c r="G467" t="str">
        <f>T("GALLUP")</f>
        <v>GALLUP</v>
      </c>
      <c r="H467" t="str">
        <f>T("NM ")</f>
        <v>NM </v>
      </c>
      <c r="I467" s="1">
        <f>N(87305)</f>
        <v>87305</v>
      </c>
      <c r="J467" s="1">
        <f>N(5058638525)</f>
        <v>5058638525</v>
      </c>
      <c r="K467" s="1" t="s">
        <v>0</v>
      </c>
    </row>
    <row r="468" spans="1:11" ht="12.75">
      <c r="A468" s="1" t="s">
        <v>11</v>
      </c>
      <c r="B468" t="str">
        <f>T("AGRICULTURE (FARM AND RANGE)")</f>
        <v>AGRICULTURE (FARM AND RANGE)</v>
      </c>
      <c r="C468" t="str">
        <f>T("PO BOX 1060")</f>
        <v>PO BOX 1060</v>
      </c>
      <c r="D468" t="s">
        <v>0</v>
      </c>
      <c r="E468" s="1" t="s">
        <v>0</v>
      </c>
      <c r="F468" t="s">
        <v>0</v>
      </c>
      <c r="G468" t="str">
        <f>T("GALLUP")</f>
        <v>GALLUP</v>
      </c>
      <c r="H468" t="str">
        <f>T("NM ")</f>
        <v>NM </v>
      </c>
      <c r="I468" s="1">
        <f>N(87305)</f>
        <v>87305</v>
      </c>
      <c r="J468" s="1">
        <f>N(5058638525)</f>
        <v>5058638525</v>
      </c>
      <c r="K468" s="1" t="s">
        <v>0</v>
      </c>
    </row>
    <row r="469" spans="1:11" ht="12.75">
      <c r="A469" s="1" t="s">
        <v>11</v>
      </c>
      <c r="B469" t="str">
        <f>T("LAND INVENTORY &amp; CLASSIFICATIO")</f>
        <v>LAND INVENTORY &amp; CLASSIFICATIO</v>
      </c>
      <c r="C469" t="str">
        <f>T("PO BOX 1060")</f>
        <v>PO BOX 1060</v>
      </c>
      <c r="D469" t="s">
        <v>0</v>
      </c>
      <c r="E469" s="1" t="s">
        <v>0</v>
      </c>
      <c r="F469" t="s">
        <v>0</v>
      </c>
      <c r="G469" t="str">
        <f>T("GALLUP")</f>
        <v>GALLUP</v>
      </c>
      <c r="H469" t="str">
        <f>T("NM ")</f>
        <v>NM </v>
      </c>
      <c r="I469" s="1">
        <f>N(87305)</f>
        <v>87305</v>
      </c>
      <c r="J469" s="1">
        <f>N(5058638525)</f>
        <v>5058638525</v>
      </c>
      <c r="K469" s="1" t="s">
        <v>0</v>
      </c>
    </row>
    <row r="470" spans="1:11" ht="12.75">
      <c r="A470" s="1" t="s">
        <v>11</v>
      </c>
      <c r="B470" t="str">
        <f>T("NAVAJO PARTITIONED LANDS")</f>
        <v>NAVAJO PARTITIONED LANDS</v>
      </c>
      <c r="C470" t="str">
        <f>T("DOI BUREAU OF INDIAN AFFAIRS")</f>
        <v>DOI BUREAU OF INDIAN AFFAIRS</v>
      </c>
      <c r="D470" t="s">
        <v>0</v>
      </c>
      <c r="E470" s="1" t="s">
        <v>0</v>
      </c>
      <c r="F470" t="str">
        <f>T("ATTN: AUDREY SESSIONS")</f>
        <v>ATTN: AUDREY SESSIONS</v>
      </c>
      <c r="G470" t="str">
        <f>T("WASHINGTON")</f>
        <v>WASHINGTON</v>
      </c>
      <c r="H470" t="str">
        <f>T("DC ")</f>
        <v>DC </v>
      </c>
      <c r="I470" s="1">
        <f>N(20240)</f>
        <v>20240</v>
      </c>
      <c r="J470" s="1" t="s">
        <v>0</v>
      </c>
      <c r="K470" s="1" t="s">
        <v>0</v>
      </c>
    </row>
    <row r="471" spans="1:11" ht="12.75">
      <c r="A471" s="1" t="s">
        <v>11</v>
      </c>
      <c r="B471" t="str">
        <f>T("NATURAL RESOURCES SHIPROCK")</f>
        <v>NATURAL RESOURCES SHIPROCK</v>
      </c>
      <c r="C471" t="str">
        <f>T("DOI BUREAU OF INDIAN AFFAIRS")</f>
        <v>DOI BUREAU OF INDIAN AFFAIRS</v>
      </c>
      <c r="D471" t="s">
        <v>0</v>
      </c>
      <c r="E471" s="1" t="s">
        <v>0</v>
      </c>
      <c r="F471" t="str">
        <f>T("ATTN: AUDREY SESSIONS")</f>
        <v>ATTN: AUDREY SESSIONS</v>
      </c>
      <c r="G471" t="str">
        <f>T("WASHINGTON")</f>
        <v>WASHINGTON</v>
      </c>
      <c r="H471" t="str">
        <f>T("DC ")</f>
        <v>DC </v>
      </c>
      <c r="I471" s="1">
        <f>N(20240)</f>
        <v>20240</v>
      </c>
      <c r="J471" s="1" t="s">
        <v>0</v>
      </c>
      <c r="K471" s="1" t="s">
        <v>0</v>
      </c>
    </row>
    <row r="472" spans="1:11" ht="12.75">
      <c r="A472" s="1" t="s">
        <v>11</v>
      </c>
      <c r="B472" t="str">
        <f>T("REAL ESTATE SERVICES WNA")</f>
        <v>REAL ESTATE SERVICES WNA</v>
      </c>
      <c r="C472" t="str">
        <f>T("DOI BUREAU OF INDIAN AFFAIRS")</f>
        <v>DOI BUREAU OF INDIAN AFFAIRS</v>
      </c>
      <c r="D472" t="str">
        <f>T("PO BOX 127")</f>
        <v>PO BOX 127</v>
      </c>
      <c r="E472" s="1" t="s">
        <v>0</v>
      </c>
      <c r="F472" t="s">
        <v>0</v>
      </c>
      <c r="G472" t="str">
        <f>T("TUBA CITY")</f>
        <v>TUBA CITY</v>
      </c>
      <c r="H472" t="str">
        <f>T("AZ ")</f>
        <v>AZ </v>
      </c>
      <c r="I472" s="1">
        <f>N(86045)</f>
        <v>86045</v>
      </c>
      <c r="J472" s="1">
        <f>N(9282832229)</f>
        <v>9282832229</v>
      </c>
      <c r="K472" s="1">
        <f>N(9282832215)</f>
        <v>9282832215</v>
      </c>
    </row>
    <row r="473" spans="1:11" ht="12.75">
      <c r="A473" s="1" t="s">
        <v>11</v>
      </c>
      <c r="B473" t="str">
        <f>T("REAL ESTATE SERVICES CHINLE")</f>
        <v>REAL ESTATE SERVICES CHINLE</v>
      </c>
      <c r="C473" t="str">
        <f>T("DOI BUREAU OF INDIAN AFFAIRS")</f>
        <v>DOI BUREAU OF INDIAN AFFAIRS</v>
      </c>
      <c r="D473" t="str">
        <f>T("PO BOX 7H")</f>
        <v>PO BOX 7H</v>
      </c>
      <c r="E473" s="1" t="s">
        <v>0</v>
      </c>
      <c r="F473" t="s">
        <v>0</v>
      </c>
      <c r="G473" t="str">
        <f>T("CHINLE")</f>
        <v>CHINLE</v>
      </c>
      <c r="H473" t="str">
        <f>T("AZ ")</f>
        <v>AZ </v>
      </c>
      <c r="I473" s="1">
        <f>N(86503)</f>
        <v>86503</v>
      </c>
      <c r="J473" s="1">
        <f>N(9286745150)</f>
        <v>9286745150</v>
      </c>
      <c r="K473" s="1">
        <f>N(9286745158)</f>
        <v>9286745158</v>
      </c>
    </row>
    <row r="474" spans="1:11" ht="12.75">
      <c r="A474" s="1" t="s">
        <v>11</v>
      </c>
      <c r="B474" t="str">
        <f>T("BR OF CONTRACTS &amp; GRANTS")</f>
        <v>BR OF CONTRACTS &amp; GRANTS</v>
      </c>
      <c r="C474" t="str">
        <f>T("DOI/BIA/ SILETZ AGENCY")</f>
        <v>DOI/BIA/ SILETZ AGENCY</v>
      </c>
      <c r="D474" t="str">
        <f>T("P.O. BOX 569")</f>
        <v>P.O. BOX 569</v>
      </c>
      <c r="E474" s="1" t="s">
        <v>0</v>
      </c>
      <c r="F474" t="s">
        <v>0</v>
      </c>
      <c r="G474" t="str">
        <f>T("SILETZ")</f>
        <v>SILETZ</v>
      </c>
      <c r="H474" t="str">
        <f>T("OR ")</f>
        <v>OR </v>
      </c>
      <c r="I474" s="1">
        <f>N(97380)</f>
        <v>97380</v>
      </c>
      <c r="J474" s="1" t="s">
        <v>0</v>
      </c>
      <c r="K474" s="1" t="s">
        <v>0</v>
      </c>
    </row>
    <row r="475" spans="1:11" ht="12.75">
      <c r="A475" s="1" t="s">
        <v>11</v>
      </c>
      <c r="B475" t="str">
        <f>T("BR OF FACIL M'GMT")</f>
        <v>BR OF FACIL M'GMT</v>
      </c>
      <c r="C475" t="str">
        <f>T("DOI/BIA/FORT HALL AGENCY")</f>
        <v>DOI/BIA/FORT HALL AGENCY</v>
      </c>
      <c r="D475" t="str">
        <f>T("P.O. BOX 220")</f>
        <v>P.O. BOX 220</v>
      </c>
      <c r="E475" s="1" t="s">
        <v>0</v>
      </c>
      <c r="F475" t="s">
        <v>0</v>
      </c>
      <c r="G475" t="str">
        <f>T("FORT HALL")</f>
        <v>FORT HALL</v>
      </c>
      <c r="H475" t="str">
        <f aca="true" t="shared" si="87" ref="H475:H482">T("ID ")</f>
        <v>ID </v>
      </c>
      <c r="I475" s="1">
        <f>N(83203)</f>
        <v>83203</v>
      </c>
      <c r="J475" s="1" t="s">
        <v>0</v>
      </c>
      <c r="K475" s="1" t="s">
        <v>0</v>
      </c>
    </row>
    <row r="476" spans="1:11" ht="12.75">
      <c r="A476" s="1" t="s">
        <v>11</v>
      </c>
      <c r="B476" t="str">
        <f>T("FORESTRY")</f>
        <v>FORESTRY</v>
      </c>
      <c r="C476" t="str">
        <f>T("DOI/BIA/FORT HALL AGENCY")</f>
        <v>DOI/BIA/FORT HALL AGENCY</v>
      </c>
      <c r="D476" t="str">
        <f>T("P.O. BOX 220")</f>
        <v>P.O. BOX 220</v>
      </c>
      <c r="E476" s="1" t="s">
        <v>0</v>
      </c>
      <c r="F476" t="s">
        <v>0</v>
      </c>
      <c r="G476" t="str">
        <f>T("FORT HALL")</f>
        <v>FORT HALL</v>
      </c>
      <c r="H476" t="str">
        <f t="shared" si="87"/>
        <v>ID </v>
      </c>
      <c r="I476" s="1">
        <f>N(83203)</f>
        <v>83203</v>
      </c>
      <c r="J476" s="1" t="s">
        <v>0</v>
      </c>
      <c r="K476" s="1" t="s">
        <v>0</v>
      </c>
    </row>
    <row r="477" spans="1:11" ht="12.75">
      <c r="A477" s="1" t="s">
        <v>11</v>
      </c>
      <c r="B477" t="str">
        <f>T("BR OF LAND SVCS")</f>
        <v>BR OF LAND SVCS</v>
      </c>
      <c r="C477" t="str">
        <f>T("DOI/BIA/FORT HALL AGENCY")</f>
        <v>DOI/BIA/FORT HALL AGENCY</v>
      </c>
      <c r="D477" t="str">
        <f>T("P.O. BOX 220")</f>
        <v>P.O. BOX 220</v>
      </c>
      <c r="E477" s="1" t="s">
        <v>0</v>
      </c>
      <c r="F477" t="s">
        <v>0</v>
      </c>
      <c r="G477" t="str">
        <f>T("FORT HALL")</f>
        <v>FORT HALL</v>
      </c>
      <c r="H477" t="str">
        <f t="shared" si="87"/>
        <v>ID </v>
      </c>
      <c r="I477" s="1">
        <f>N(83203)</f>
        <v>83203</v>
      </c>
      <c r="J477" s="1" t="s">
        <v>0</v>
      </c>
      <c r="K477" s="1" t="s">
        <v>0</v>
      </c>
    </row>
    <row r="478" spans="1:11" ht="12.75">
      <c r="A478" s="1" t="s">
        <v>11</v>
      </c>
      <c r="B478" t="str">
        <f>T("REAL ESTATE SERVICES")</f>
        <v>REAL ESTATE SERVICES</v>
      </c>
      <c r="C478" t="str">
        <f>T("DOI/BIA/FORT HALL AGENCY")</f>
        <v>DOI/BIA/FORT HALL AGENCY</v>
      </c>
      <c r="D478" t="str">
        <f>T("P.O. BOX 220")</f>
        <v>P.O. BOX 220</v>
      </c>
      <c r="E478" s="1" t="s">
        <v>0</v>
      </c>
      <c r="F478" t="s">
        <v>0</v>
      </c>
      <c r="G478" t="str">
        <f>T("FORT HALL")</f>
        <v>FORT HALL</v>
      </c>
      <c r="H478" t="str">
        <f t="shared" si="87"/>
        <v>ID </v>
      </c>
      <c r="I478" s="1">
        <f>N(83203)</f>
        <v>83203</v>
      </c>
      <c r="J478" s="1" t="s">
        <v>0</v>
      </c>
      <c r="K478" s="1" t="s">
        <v>0</v>
      </c>
    </row>
    <row r="479" spans="1:11" ht="12.75">
      <c r="A479" s="1" t="s">
        <v>11</v>
      </c>
      <c r="B479" t="str">
        <f>T("BR OF ROADS")</f>
        <v>BR OF ROADS</v>
      </c>
      <c r="C479" t="str">
        <f>T("DOI/BIA/FORT HALL AGENCY")</f>
        <v>DOI/BIA/FORT HALL AGENCY</v>
      </c>
      <c r="D479" t="str">
        <f>T("P.O. BOX 220")</f>
        <v>P.O. BOX 220</v>
      </c>
      <c r="E479" s="1" t="s">
        <v>0</v>
      </c>
      <c r="F479" t="s">
        <v>0</v>
      </c>
      <c r="G479" t="str">
        <f>T("FORT HALL")</f>
        <v>FORT HALL</v>
      </c>
      <c r="H479" t="str">
        <f t="shared" si="87"/>
        <v>ID </v>
      </c>
      <c r="I479" s="1">
        <f>N(83203)</f>
        <v>83203</v>
      </c>
      <c r="J479" s="1" t="s">
        <v>0</v>
      </c>
      <c r="K479" s="1" t="s">
        <v>0</v>
      </c>
    </row>
    <row r="480" spans="1:11" ht="12.75">
      <c r="A480" s="1" t="s">
        <v>11</v>
      </c>
      <c r="B480" t="str">
        <f>T("REAL ESTATE SERVICES")</f>
        <v>REAL ESTATE SERVICES</v>
      </c>
      <c r="C480" t="str">
        <f>T("DOI/BIA/NORTHERN IDAHO AG.")</f>
        <v>DOI/BIA/NORTHERN IDAHO AG.</v>
      </c>
      <c r="D480" t="str">
        <f>T("P.O. DRAWER 277")</f>
        <v>P.O. DRAWER 277</v>
      </c>
      <c r="E480" s="1" t="s">
        <v>0</v>
      </c>
      <c r="F480" t="s">
        <v>0</v>
      </c>
      <c r="G480" t="str">
        <f>T("LAPWAI")</f>
        <v>LAPWAI</v>
      </c>
      <c r="H480" t="str">
        <f t="shared" si="87"/>
        <v>ID </v>
      </c>
      <c r="I480" s="1">
        <f>N(83540)</f>
        <v>83540</v>
      </c>
      <c r="J480" s="1" t="s">
        <v>0</v>
      </c>
      <c r="K480" s="1" t="s">
        <v>0</v>
      </c>
    </row>
    <row r="481" spans="1:11" ht="12.75">
      <c r="A481" s="1" t="s">
        <v>11</v>
      </c>
      <c r="B481" t="str">
        <f>T("BR OF TRIBAL GOVT")</f>
        <v>BR OF TRIBAL GOVT</v>
      </c>
      <c r="C481" t="str">
        <f>T("DOI/BIA/NORTHERN IDAHO AG.")</f>
        <v>DOI/BIA/NORTHERN IDAHO AG.</v>
      </c>
      <c r="D481" t="str">
        <f>T("P.O. DRAWER 277")</f>
        <v>P.O. DRAWER 277</v>
      </c>
      <c r="E481" s="1" t="s">
        <v>0</v>
      </c>
      <c r="F481" t="s">
        <v>0</v>
      </c>
      <c r="G481" t="str">
        <f>T("LAPWAI")</f>
        <v>LAPWAI</v>
      </c>
      <c r="H481" t="str">
        <f t="shared" si="87"/>
        <v>ID </v>
      </c>
      <c r="I481" s="1">
        <f>N(83540)</f>
        <v>83540</v>
      </c>
      <c r="J481" s="1" t="s">
        <v>0</v>
      </c>
      <c r="K481" s="1" t="s">
        <v>0</v>
      </c>
    </row>
    <row r="482" spans="1:11" ht="12.75">
      <c r="A482" s="1" t="s">
        <v>11</v>
      </c>
      <c r="B482" t="str">
        <f>T("SUPT  COEUR D'ALENE AGENCY")</f>
        <v>SUPT  COEUR D'ALENE AGENCY</v>
      </c>
      <c r="C482" t="str">
        <f>T("DOI/BIA/COEUR D'ALENE SUBAG.")</f>
        <v>DOI/BIA/COEUR D'ALENE SUBAG.</v>
      </c>
      <c r="D482" t="str">
        <f>T("850 A. STREET")</f>
        <v>850 A. STREET</v>
      </c>
      <c r="E482" s="1" t="s">
        <v>0</v>
      </c>
      <c r="F482" t="s">
        <v>0</v>
      </c>
      <c r="G482" t="str">
        <f>T("PLUMMER")</f>
        <v>PLUMMER</v>
      </c>
      <c r="H482" t="str">
        <f t="shared" si="87"/>
        <v>ID </v>
      </c>
      <c r="I482" s="1">
        <f>N(83851)</f>
        <v>83851</v>
      </c>
      <c r="J482" s="1" t="s">
        <v>0</v>
      </c>
      <c r="K482" s="1" t="s">
        <v>0</v>
      </c>
    </row>
    <row r="483" spans="1:11" ht="12.75">
      <c r="A483" s="1" t="s">
        <v>11</v>
      </c>
      <c r="B483" t="str">
        <f>T("BR OF FINANCE SVCS")</f>
        <v>BR OF FINANCE SVCS</v>
      </c>
      <c r="C483" t="str">
        <f>T("DOI/BIA/UMATILLA AGENCY")</f>
        <v>DOI/BIA/UMATILLA AGENCY</v>
      </c>
      <c r="D483" t="str">
        <f>T("P.O. BOX 520")</f>
        <v>P.O. BOX 520</v>
      </c>
      <c r="E483" s="1" t="s">
        <v>0</v>
      </c>
      <c r="F483" t="s">
        <v>0</v>
      </c>
      <c r="G483" t="str">
        <f>T("PENDLETON")</f>
        <v>PENDLETON</v>
      </c>
      <c r="H483" t="str">
        <f aca="true" t="shared" si="88" ref="H483:H490">T("OR ")</f>
        <v>OR </v>
      </c>
      <c r="I483" s="1">
        <f>N(97801)</f>
        <v>97801</v>
      </c>
      <c r="J483" s="1" t="s">
        <v>0</v>
      </c>
      <c r="K483" s="1" t="s">
        <v>0</v>
      </c>
    </row>
    <row r="484" spans="1:11" ht="12.75">
      <c r="A484" s="1" t="s">
        <v>11</v>
      </c>
      <c r="B484" t="str">
        <f>T("BR OF FACIL M'GMT")</f>
        <v>BR OF FACIL M'GMT</v>
      </c>
      <c r="C484" t="str">
        <f>T("DOI/BIA/UMATILLA AGENCY")</f>
        <v>DOI/BIA/UMATILLA AGENCY</v>
      </c>
      <c r="D484" t="str">
        <f>T("P.O. BOX 520")</f>
        <v>P.O. BOX 520</v>
      </c>
      <c r="E484" s="1" t="s">
        <v>0</v>
      </c>
      <c r="F484" t="s">
        <v>0</v>
      </c>
      <c r="G484" t="str">
        <f>T("PENDLETON")</f>
        <v>PENDLETON</v>
      </c>
      <c r="H484" t="str">
        <f t="shared" si="88"/>
        <v>OR </v>
      </c>
      <c r="I484" s="1">
        <f>N(97801)</f>
        <v>97801</v>
      </c>
      <c r="J484" s="1" t="s">
        <v>0</v>
      </c>
      <c r="K484" s="1" t="s">
        <v>0</v>
      </c>
    </row>
    <row r="485" spans="1:11" ht="12.75">
      <c r="A485" s="1" t="s">
        <v>11</v>
      </c>
      <c r="B485" t="str">
        <f>T("BR OF FISHERIES")</f>
        <v>BR OF FISHERIES</v>
      </c>
      <c r="C485" t="str">
        <f>T("DOI/BIA/UMATILLA AGENCY")</f>
        <v>DOI/BIA/UMATILLA AGENCY</v>
      </c>
      <c r="D485" t="str">
        <f>T("P.O. BOX 520")</f>
        <v>P.O. BOX 520</v>
      </c>
      <c r="E485" s="1" t="s">
        <v>0</v>
      </c>
      <c r="F485" t="s">
        <v>0</v>
      </c>
      <c r="G485" t="str">
        <f>T("PENDLETON")</f>
        <v>PENDLETON</v>
      </c>
      <c r="H485" t="str">
        <f t="shared" si="88"/>
        <v>OR </v>
      </c>
      <c r="I485" s="1">
        <f>N(97801)</f>
        <v>97801</v>
      </c>
      <c r="J485" s="1" t="s">
        <v>0</v>
      </c>
      <c r="K485" s="1" t="s">
        <v>0</v>
      </c>
    </row>
    <row r="486" spans="1:11" ht="12.75">
      <c r="A486" s="1" t="s">
        <v>11</v>
      </c>
      <c r="B486" t="str">
        <f>T("FORESTRY")</f>
        <v>FORESTRY</v>
      </c>
      <c r="C486" t="str">
        <f>T("DOI/BIA/UMATILLA AGENCY")</f>
        <v>DOI/BIA/UMATILLA AGENCY</v>
      </c>
      <c r="D486" t="str">
        <f>T("P.O. BOX 520")</f>
        <v>P.O. BOX 520</v>
      </c>
      <c r="E486" s="1" t="s">
        <v>0</v>
      </c>
      <c r="F486" t="s">
        <v>0</v>
      </c>
      <c r="G486" t="str">
        <f>T("PENDLETON")</f>
        <v>PENDLETON</v>
      </c>
      <c r="H486" t="str">
        <f t="shared" si="88"/>
        <v>OR </v>
      </c>
      <c r="I486" s="1">
        <f>N(97801)</f>
        <v>97801</v>
      </c>
      <c r="J486" s="1" t="s">
        <v>0</v>
      </c>
      <c r="K486" s="1" t="s">
        <v>0</v>
      </c>
    </row>
    <row r="487" spans="1:11" ht="12.75">
      <c r="A487" s="1" t="s">
        <v>11</v>
      </c>
      <c r="B487" t="str">
        <f>T("BR OF CONTRACTS &amp; GRANTS")</f>
        <v>BR OF CONTRACTS &amp; GRANTS</v>
      </c>
      <c r="C487" t="str">
        <f>T("DOI/BIA/WARM SPRINGS AGENCY")</f>
        <v>DOI/BIA/WARM SPRINGS AGENCY</v>
      </c>
      <c r="D487" t="str">
        <f>T("P.O. BOX 1239")</f>
        <v>P.O. BOX 1239</v>
      </c>
      <c r="E487" s="1" t="s">
        <v>0</v>
      </c>
      <c r="F487" t="s">
        <v>0</v>
      </c>
      <c r="G487" t="str">
        <f>T("WARM SPRINGS")</f>
        <v>WARM SPRINGS</v>
      </c>
      <c r="H487" t="str">
        <f t="shared" si="88"/>
        <v>OR </v>
      </c>
      <c r="I487" s="1">
        <f>N(97761)</f>
        <v>97761</v>
      </c>
      <c r="J487" s="1" t="s">
        <v>0</v>
      </c>
      <c r="K487" s="1" t="s">
        <v>0</v>
      </c>
    </row>
    <row r="488" spans="1:11" ht="12.75">
      <c r="A488" s="1" t="s">
        <v>11</v>
      </c>
      <c r="B488" t="str">
        <f>T("FORESTRY")</f>
        <v>FORESTRY</v>
      </c>
      <c r="C488" t="str">
        <f>T("DOI/BIA/WARM SPRINGS AGENCY")</f>
        <v>DOI/BIA/WARM SPRINGS AGENCY</v>
      </c>
      <c r="D488" t="str">
        <f>T("P.O. BOX 1239")</f>
        <v>P.O. BOX 1239</v>
      </c>
      <c r="E488" s="1" t="s">
        <v>0</v>
      </c>
      <c r="F488" t="s">
        <v>0</v>
      </c>
      <c r="G488" t="str">
        <f>T("WARM SPRINGS")</f>
        <v>WARM SPRINGS</v>
      </c>
      <c r="H488" t="str">
        <f t="shared" si="88"/>
        <v>OR </v>
      </c>
      <c r="I488" s="1">
        <f>N(97761)</f>
        <v>97761</v>
      </c>
      <c r="J488" s="1" t="s">
        <v>0</v>
      </c>
      <c r="K488" s="1" t="s">
        <v>0</v>
      </c>
    </row>
    <row r="489" spans="1:11" ht="12.75">
      <c r="A489" s="1" t="s">
        <v>11</v>
      </c>
      <c r="B489" t="str">
        <f>T("BR OF LAND SVCS")</f>
        <v>BR OF LAND SVCS</v>
      </c>
      <c r="C489" t="str">
        <f>T("DOI/BIA/WARM SPRINGS AGENCY")</f>
        <v>DOI/BIA/WARM SPRINGS AGENCY</v>
      </c>
      <c r="D489" t="str">
        <f>T("P.O. BOX 1239")</f>
        <v>P.O. BOX 1239</v>
      </c>
      <c r="E489" s="1" t="s">
        <v>0</v>
      </c>
      <c r="F489" t="s">
        <v>0</v>
      </c>
      <c r="G489" t="str">
        <f>T("WARM SPRINGS")</f>
        <v>WARM SPRINGS</v>
      </c>
      <c r="H489" t="str">
        <f t="shared" si="88"/>
        <v>OR </v>
      </c>
      <c r="I489" s="1">
        <f>N(97761)</f>
        <v>97761</v>
      </c>
      <c r="J489" s="1" t="s">
        <v>0</v>
      </c>
      <c r="K489" s="1" t="s">
        <v>0</v>
      </c>
    </row>
    <row r="490" spans="1:11" ht="12.75">
      <c r="A490" s="1" t="s">
        <v>11</v>
      </c>
      <c r="B490" t="str">
        <f>T("TRANSPORTATION")</f>
        <v>TRANSPORTATION</v>
      </c>
      <c r="C490" t="str">
        <f>T("DOI/BIA/WARM SPRINGS AGENCY")</f>
        <v>DOI/BIA/WARM SPRINGS AGENCY</v>
      </c>
      <c r="D490" t="str">
        <f>T("P.O. BOX 1239")</f>
        <v>P.O. BOX 1239</v>
      </c>
      <c r="E490" s="1" t="s">
        <v>0</v>
      </c>
      <c r="F490" t="s">
        <v>0</v>
      </c>
      <c r="G490" t="str">
        <f>T("WARM SPRINGS")</f>
        <v>WARM SPRINGS</v>
      </c>
      <c r="H490" t="str">
        <f t="shared" si="88"/>
        <v>OR </v>
      </c>
      <c r="I490" s="1">
        <f>N(97761)</f>
        <v>97761</v>
      </c>
      <c r="J490" s="1" t="s">
        <v>0</v>
      </c>
      <c r="K490" s="1" t="s">
        <v>0</v>
      </c>
    </row>
    <row r="491" spans="1:11" ht="12.75">
      <c r="A491" s="1" t="s">
        <v>11</v>
      </c>
      <c r="B491" t="str">
        <f>T("FORESTRY")</f>
        <v>FORESTRY</v>
      </c>
      <c r="C491" t="str">
        <f>T("DOI/BIA/PUGET SOUND AGENCY")</f>
        <v>DOI/BIA/PUGET SOUND AGENCY</v>
      </c>
      <c r="D491" t="str">
        <f>T("2707 COLBY AVE. SUITE 1101")</f>
        <v>2707 COLBY AVE. SUITE 1101</v>
      </c>
      <c r="E491" s="1" t="s">
        <v>0</v>
      </c>
      <c r="F491" t="s">
        <v>0</v>
      </c>
      <c r="G491" t="str">
        <f>T("EVERETT")</f>
        <v>EVERETT</v>
      </c>
      <c r="H491" t="str">
        <f aca="true" t="shared" si="89" ref="H491:H498">T("WA ")</f>
        <v>WA </v>
      </c>
      <c r="I491" s="1">
        <f>N(98201)</f>
        <v>98201</v>
      </c>
      <c r="J491" s="1" t="s">
        <v>0</v>
      </c>
      <c r="K491" s="1" t="s">
        <v>0</v>
      </c>
    </row>
    <row r="492" spans="1:11" ht="12.75">
      <c r="A492" s="1" t="s">
        <v>11</v>
      </c>
      <c r="B492" t="str">
        <f>T("BR OF SOCIAL SVCS")</f>
        <v>BR OF SOCIAL SVCS</v>
      </c>
      <c r="C492" t="str">
        <f>T("DOI/BIA/PUGET SOUND AGENCY")</f>
        <v>DOI/BIA/PUGET SOUND AGENCY</v>
      </c>
      <c r="D492" t="str">
        <f>T("2707 COLBY AVE. SUITE 1101")</f>
        <v>2707 COLBY AVE. SUITE 1101</v>
      </c>
      <c r="E492" s="1" t="s">
        <v>0</v>
      </c>
      <c r="F492" t="s">
        <v>0</v>
      </c>
      <c r="G492" t="str">
        <f>T("EVERETT")</f>
        <v>EVERETT</v>
      </c>
      <c r="H492" t="str">
        <f t="shared" si="89"/>
        <v>WA </v>
      </c>
      <c r="I492" s="1">
        <f>N(98201)</f>
        <v>98201</v>
      </c>
      <c r="J492" s="1" t="s">
        <v>0</v>
      </c>
      <c r="K492" s="1" t="s">
        <v>0</v>
      </c>
    </row>
    <row r="493" spans="1:11" ht="12.75">
      <c r="A493" s="1" t="s">
        <v>11</v>
      </c>
      <c r="B493" t="str">
        <f>T("BR OF TRIBAL GOVT")</f>
        <v>BR OF TRIBAL GOVT</v>
      </c>
      <c r="C493" t="str">
        <f>T("DOI/BIA/PUGET SOUND AGENCY")</f>
        <v>DOI/BIA/PUGET SOUND AGENCY</v>
      </c>
      <c r="D493" t="str">
        <f>T("2707 COLBY AVE. SUITE 1101")</f>
        <v>2707 COLBY AVE. SUITE 1101</v>
      </c>
      <c r="E493" s="1" t="s">
        <v>0</v>
      </c>
      <c r="F493" t="s">
        <v>0</v>
      </c>
      <c r="G493" t="str">
        <f>T("EVERETT")</f>
        <v>EVERETT</v>
      </c>
      <c r="H493" t="str">
        <f t="shared" si="89"/>
        <v>WA </v>
      </c>
      <c r="I493" s="1">
        <f>N(98201)</f>
        <v>98201</v>
      </c>
      <c r="J493" s="1" t="s">
        <v>0</v>
      </c>
      <c r="K493" s="1" t="s">
        <v>0</v>
      </c>
    </row>
    <row r="494" spans="1:11" ht="12.75">
      <c r="A494" s="1" t="s">
        <v>11</v>
      </c>
      <c r="B494" t="str">
        <f>T("BR OF PROPTY MGMT")</f>
        <v>BR OF PROPTY MGMT</v>
      </c>
      <c r="C494" t="str">
        <f>T("DOI/BIA/YAKIMA AGENCY")</f>
        <v>DOI/BIA/YAKIMA AGENCY</v>
      </c>
      <c r="D494" t="str">
        <f>T("P.O. BOX 632")</f>
        <v>P.O. BOX 632</v>
      </c>
      <c r="E494" s="1" t="s">
        <v>0</v>
      </c>
      <c r="F494" t="s">
        <v>0</v>
      </c>
      <c r="G494" t="str">
        <f>T("TOPPENISH")</f>
        <v>TOPPENISH</v>
      </c>
      <c r="H494" t="str">
        <f t="shared" si="89"/>
        <v>WA </v>
      </c>
      <c r="I494" s="1">
        <f>N(98948)</f>
        <v>98948</v>
      </c>
      <c r="J494" s="1" t="s">
        <v>0</v>
      </c>
      <c r="K494" s="1" t="s">
        <v>0</v>
      </c>
    </row>
    <row r="495" spans="1:11" ht="12.75">
      <c r="A495" s="1" t="s">
        <v>11</v>
      </c>
      <c r="B495" t="str">
        <f>T("BR OF FORESTRY")</f>
        <v>BR OF FORESTRY</v>
      </c>
      <c r="C495" t="str">
        <f>T("DOI/BIA/YAKIMA AGENCY")</f>
        <v>DOI/BIA/YAKIMA AGENCY</v>
      </c>
      <c r="D495" t="str">
        <f>T("P.O. BOX 632")</f>
        <v>P.O. BOX 632</v>
      </c>
      <c r="E495" s="1" t="s">
        <v>0</v>
      </c>
      <c r="F495" t="s">
        <v>0</v>
      </c>
      <c r="G495" t="str">
        <f>T("TOPPENISH")</f>
        <v>TOPPENISH</v>
      </c>
      <c r="H495" t="str">
        <f t="shared" si="89"/>
        <v>WA </v>
      </c>
      <c r="I495" s="1">
        <f>N(98948)</f>
        <v>98948</v>
      </c>
      <c r="J495" s="1" t="s">
        <v>0</v>
      </c>
      <c r="K495" s="1" t="s">
        <v>0</v>
      </c>
    </row>
    <row r="496" spans="1:11" ht="12.75">
      <c r="A496" s="1" t="s">
        <v>11</v>
      </c>
      <c r="B496" t="str">
        <f>T("TRANSPORTATION")</f>
        <v>TRANSPORTATION</v>
      </c>
      <c r="C496" t="str">
        <f>T("DOI/BIA/YAKIMA AGENCY")</f>
        <v>DOI/BIA/YAKIMA AGENCY</v>
      </c>
      <c r="D496" t="str">
        <f>T("P.O. BOX 632")</f>
        <v>P.O. BOX 632</v>
      </c>
      <c r="E496" s="1" t="s">
        <v>0</v>
      </c>
      <c r="F496" t="s">
        <v>0</v>
      </c>
      <c r="G496" t="str">
        <f>T("TOPPENISH")</f>
        <v>TOPPENISH</v>
      </c>
      <c r="H496" t="str">
        <f t="shared" si="89"/>
        <v>WA </v>
      </c>
      <c r="I496" s="1">
        <f>N(98948)</f>
        <v>98948</v>
      </c>
      <c r="J496" s="1" t="s">
        <v>0</v>
      </c>
      <c r="K496" s="1" t="s">
        <v>0</v>
      </c>
    </row>
    <row r="497" spans="1:11" ht="12.75">
      <c r="A497" s="1" t="s">
        <v>11</v>
      </c>
      <c r="B497" t="str">
        <f>T("BR OF SOCIAL SVCS")</f>
        <v>BR OF SOCIAL SVCS</v>
      </c>
      <c r="C497" t="str">
        <f>T("DOI/BIA/YAKIMA AGENCY")</f>
        <v>DOI/BIA/YAKIMA AGENCY</v>
      </c>
      <c r="D497" t="str">
        <f>T("P.O. BOX 632")</f>
        <v>P.O. BOX 632</v>
      </c>
      <c r="E497" s="1" t="s">
        <v>0</v>
      </c>
      <c r="F497" t="s">
        <v>0</v>
      </c>
      <c r="G497" t="str">
        <f>T("TOPPENISH")</f>
        <v>TOPPENISH</v>
      </c>
      <c r="H497" t="str">
        <f t="shared" si="89"/>
        <v>WA </v>
      </c>
      <c r="I497" s="1">
        <f>N(98948)</f>
        <v>98948</v>
      </c>
      <c r="J497" s="1" t="s">
        <v>0</v>
      </c>
      <c r="K497" s="1" t="s">
        <v>0</v>
      </c>
    </row>
    <row r="498" spans="1:11" ht="12.75">
      <c r="A498" s="1" t="s">
        <v>11</v>
      </c>
      <c r="B498" t="str">
        <f>T("TRANSPORTATION")</f>
        <v>TRANSPORTATION</v>
      </c>
      <c r="C498" t="str">
        <f>T("DOI/BIA/SPOKANE AGENCY")</f>
        <v>DOI/BIA/SPOKANE AGENCY</v>
      </c>
      <c r="D498" t="str">
        <f>T("P.O. BOX 389")</f>
        <v>P.O. BOX 389</v>
      </c>
      <c r="E498" s="1" t="s">
        <v>0</v>
      </c>
      <c r="F498" t="s">
        <v>0</v>
      </c>
      <c r="G498" t="str">
        <f>T("WELLPINIT")</f>
        <v>WELLPINIT</v>
      </c>
      <c r="H498" t="str">
        <f t="shared" si="89"/>
        <v>WA </v>
      </c>
      <c r="I498" s="1">
        <f>N(99040)</f>
        <v>99040</v>
      </c>
      <c r="J498" s="1" t="s">
        <v>0</v>
      </c>
      <c r="K498" s="1" t="s">
        <v>0</v>
      </c>
    </row>
    <row r="499" spans="1:11" ht="12.75">
      <c r="A499" s="1" t="s">
        <v>11</v>
      </c>
      <c r="B499" t="str">
        <f>T("IRRIGATION")</f>
        <v>IRRIGATION</v>
      </c>
      <c r="C499" t="str">
        <f>T("DOI/BIA/FLATHEAD IRRIG. PROJ.")</f>
        <v>DOI/BIA/FLATHEAD IRRIG. PROJ.</v>
      </c>
      <c r="D499" t="str">
        <f>T("P.O. BOX 666")</f>
        <v>P.O. BOX 666</v>
      </c>
      <c r="E499" s="1" t="s">
        <v>0</v>
      </c>
      <c r="F499" t="s">
        <v>0</v>
      </c>
      <c r="G499" t="str">
        <f>T("ST.IGNATIUS")</f>
        <v>ST.IGNATIUS</v>
      </c>
      <c r="H499" t="str">
        <f>T("MT ")</f>
        <v>MT </v>
      </c>
      <c r="I499" s="1">
        <f>N(59865)</f>
        <v>59865</v>
      </c>
      <c r="J499" s="1" t="s">
        <v>0</v>
      </c>
      <c r="K499" s="1" t="s">
        <v>0</v>
      </c>
    </row>
    <row r="500" spans="1:11" ht="12.75">
      <c r="A500" s="1" t="s">
        <v>11</v>
      </c>
      <c r="B500" t="str">
        <f>T("BR OF ENGNRG")</f>
        <v>BR OF ENGNRG</v>
      </c>
      <c r="C500" t="str">
        <f>T("DOI BUREAU OF INDIAN AFFAIRS")</f>
        <v>DOI BUREAU OF INDIAN AFFAIRS</v>
      </c>
      <c r="D500" t="s">
        <v>0</v>
      </c>
      <c r="E500" s="1" t="s">
        <v>0</v>
      </c>
      <c r="F500" t="str">
        <f>T("ATTN: AUDREY SESSIONS")</f>
        <v>ATTN: AUDREY SESSIONS</v>
      </c>
      <c r="G500" t="str">
        <f>T("WASHINGTON")</f>
        <v>WASHINGTON</v>
      </c>
      <c r="H500" t="str">
        <f>T("DC ")</f>
        <v>DC </v>
      </c>
      <c r="I500" s="1">
        <f>N(20240)</f>
        <v>20240</v>
      </c>
      <c r="J500" s="1" t="s">
        <v>0</v>
      </c>
      <c r="K500" s="1" t="s">
        <v>0</v>
      </c>
    </row>
    <row r="501" spans="1:11" ht="12.75">
      <c r="A501" s="1" t="s">
        <v>11</v>
      </c>
      <c r="B501" t="str">
        <f>T("REAL ESTATE APPRAISALS")</f>
        <v>REAL ESTATE APPRAISALS</v>
      </c>
      <c r="C501" t="str">
        <f>T("DOI/BIA/CONCHO FIELD OFFICE")</f>
        <v>DOI/BIA/CONCHO FIELD OFFICE</v>
      </c>
      <c r="D501" t="str">
        <f>T("PO BOX 68")</f>
        <v>PO BOX 68</v>
      </c>
      <c r="E501" s="1" t="s">
        <v>0</v>
      </c>
      <c r="F501" t="s">
        <v>0</v>
      </c>
      <c r="G501" t="str">
        <f>T("EL RENO")</f>
        <v>EL RENO</v>
      </c>
      <c r="H501" t="str">
        <f>T("OK ")</f>
        <v>OK </v>
      </c>
      <c r="I501" s="1">
        <f>N(73036)</f>
        <v>73036</v>
      </c>
      <c r="J501" s="1" t="s">
        <v>0</v>
      </c>
      <c r="K501" s="1">
        <f>N(4052623140)</f>
        <v>4052623140</v>
      </c>
    </row>
    <row r="502" spans="1:11" ht="12.75">
      <c r="A502" s="1" t="s">
        <v>11</v>
      </c>
      <c r="B502" t="str">
        <f>T("IRRIGATION &amp; POWER")</f>
        <v>IRRIGATION &amp; POWER</v>
      </c>
      <c r="C502" t="str">
        <f>T("DOI/BIA/COLORADO RIVER AGENCY")</f>
        <v>DOI/BIA/COLORADO RIVER AGENCY</v>
      </c>
      <c r="D502" t="str">
        <f>T("ROUTE 1  BOX 9 C")</f>
        <v>ROUTE 1  BOX 9 C</v>
      </c>
      <c r="E502" s="1" t="s">
        <v>0</v>
      </c>
      <c r="F502" t="s">
        <v>0</v>
      </c>
      <c r="G502" t="str">
        <f>T("PARKER")</f>
        <v>PARKER</v>
      </c>
      <c r="H502" t="str">
        <f>T("AZ ")</f>
        <v>AZ </v>
      </c>
      <c r="I502" s="1">
        <f>N(85344)</f>
        <v>85344</v>
      </c>
      <c r="J502" s="1" t="str">
        <f>T("520 669 7126")</f>
        <v>520 669 7126</v>
      </c>
      <c r="K502" s="1">
        <f>N(5206697187)</f>
        <v>5206697187</v>
      </c>
    </row>
    <row r="503" spans="1:11" ht="12.75">
      <c r="A503" s="1" t="s">
        <v>11</v>
      </c>
      <c r="B503" t="str">
        <f>T("POWER SECTION")</f>
        <v>POWER SECTION</v>
      </c>
      <c r="C503" t="str">
        <f>T("DOI/BIA/COLORADO RIVER AGENCY")</f>
        <v>DOI/BIA/COLORADO RIVER AGENCY</v>
      </c>
      <c r="D503" t="str">
        <f>T("ROUTE 1  BOX 9 C")</f>
        <v>ROUTE 1  BOX 9 C</v>
      </c>
      <c r="E503" s="1" t="s">
        <v>0</v>
      </c>
      <c r="F503" t="s">
        <v>0</v>
      </c>
      <c r="G503" t="str">
        <f>T("PARKER")</f>
        <v>PARKER</v>
      </c>
      <c r="H503" t="str">
        <f>T("AZ ")</f>
        <v>AZ </v>
      </c>
      <c r="I503" s="1">
        <f>N(85344)</f>
        <v>85344</v>
      </c>
      <c r="J503" s="1" t="str">
        <f>T("520 669 7126")</f>
        <v>520 669 7126</v>
      </c>
      <c r="K503" s="1">
        <f>N(5206697187)</f>
        <v>5206697187</v>
      </c>
    </row>
    <row r="504" spans="1:11" ht="12.75">
      <c r="A504" s="1" t="s">
        <v>11</v>
      </c>
      <c r="B504" t="str">
        <f>T("LAND OPS")</f>
        <v>LAND OPS</v>
      </c>
      <c r="C504" t="str">
        <f>T("DOI/BIA/WESTERN NEVADA AGENCY")</f>
        <v>DOI/BIA/WESTERN NEVADA AGENCY</v>
      </c>
      <c r="D504" t="str">
        <f>T("1677 HOT SPRINGS RD")</f>
        <v>1677 HOT SPRINGS RD</v>
      </c>
      <c r="E504" s="1" t="s">
        <v>0</v>
      </c>
      <c r="F504" t="s">
        <v>0</v>
      </c>
      <c r="G504" t="str">
        <f>T("CARSON CITY")</f>
        <v>CARSON CITY</v>
      </c>
      <c r="H504" t="str">
        <f>T("NV ")</f>
        <v>NV </v>
      </c>
      <c r="I504" s="1">
        <f>N(89706)</f>
        <v>89706</v>
      </c>
      <c r="J504" s="1" t="str">
        <f>T("775 887 3550")</f>
        <v>775 887 3550</v>
      </c>
      <c r="K504" s="1" t="str">
        <f>T("775 887 3531")</f>
        <v>775 887 3531</v>
      </c>
    </row>
    <row r="505" spans="1:11" ht="12.75">
      <c r="A505" s="1" t="s">
        <v>11</v>
      </c>
      <c r="B505" t="str">
        <f>T("BR OF HOUSING")</f>
        <v>BR OF HOUSING</v>
      </c>
      <c r="C505" t="str">
        <f>T("DOI/BIA/CENTRAL CALIFORNIA AGENCY")</f>
        <v>DOI/BIA/CENTRAL CALIFORNIA AGENCY</v>
      </c>
      <c r="D505" t="str">
        <f>T("650 CAPITOL MALL  SUITE 8 500 ")</f>
        <v>650 CAPITOL MALL  SUITE 8 500 </v>
      </c>
      <c r="E505" s="1" t="s">
        <v>0</v>
      </c>
      <c r="F505" t="s">
        <v>0</v>
      </c>
      <c r="G505" t="str">
        <f>T("SACRAMENTO")</f>
        <v>SACRAMENTO</v>
      </c>
      <c r="H505" t="str">
        <f>T("CA ")</f>
        <v>CA </v>
      </c>
      <c r="I505" s="1">
        <f>N(95814)</f>
        <v>95814</v>
      </c>
      <c r="J505" s="1" t="str">
        <f>T("916 930 3680")</f>
        <v>916 930 3680</v>
      </c>
      <c r="K505" s="1" t="str">
        <f>T("916 930 3780")</f>
        <v>916 930 3780</v>
      </c>
    </row>
    <row r="506" spans="1:11" ht="12.75">
      <c r="A506" s="1" t="s">
        <v>11</v>
      </c>
      <c r="B506" t="str">
        <f>T("REAL ESTATE SERVICES")</f>
        <v>REAL ESTATE SERVICES</v>
      </c>
      <c r="C506" t="str">
        <f>T("DOI/BIA/SOUTHERN CALIFORNIA AGENCY")</f>
        <v>DOI/BIA/SOUTHERN CALIFORNIA AGENCY</v>
      </c>
      <c r="D506" t="str">
        <f>T("2038 IOWA AVENUE  SUITE 101 ")</f>
        <v>2038 IOWA AVENUE  SUITE 101 </v>
      </c>
      <c r="E506" s="1" t="s">
        <v>0</v>
      </c>
      <c r="F506" t="s">
        <v>0</v>
      </c>
      <c r="G506" t="str">
        <f>T("RIVERSIDE")</f>
        <v>RIVERSIDE</v>
      </c>
      <c r="H506" t="str">
        <f>T("CA ")</f>
        <v>CA </v>
      </c>
      <c r="I506" s="1" t="str">
        <f>T("92507 2471")</f>
        <v>92507 2471</v>
      </c>
      <c r="J506" s="1" t="str">
        <f>T("760 276 6624")</f>
        <v>760 276 6624</v>
      </c>
      <c r="K506" s="1" t="str">
        <f>T("760 276 6641")</f>
        <v>760 276 6641</v>
      </c>
    </row>
    <row r="507" spans="1:11" ht="12.75">
      <c r="A507" s="1" t="s">
        <v>11</v>
      </c>
      <c r="B507" t="str">
        <f>T("BR OF SOCIAL SVCS")</f>
        <v>BR OF SOCIAL SVCS</v>
      </c>
      <c r="C507" t="str">
        <f>T("BRANCH OF SOCIAL SER")</f>
        <v>BRANCH OF SOCIAL SER</v>
      </c>
      <c r="D507" t="str">
        <f>T("BIA/SWR/NORTHERN PUEBLOS AGENCY")</f>
        <v>BIA/SWR/NORTHERN PUEBLOS AGENCY</v>
      </c>
      <c r="E507" s="1" t="str">
        <f>T("P.O. BOX 4269   FAIRVIEW STATION")</f>
        <v>P.O. BOX 4269   FAIRVIEW STATION</v>
      </c>
      <c r="F507" t="s">
        <v>0</v>
      </c>
      <c r="G507" t="str">
        <f>T("ESPANOLA")</f>
        <v>ESPANOLA</v>
      </c>
      <c r="H507" t="str">
        <f>T("NM ")</f>
        <v>NM </v>
      </c>
      <c r="I507" s="1">
        <f>N(87533)</f>
        <v>87533</v>
      </c>
      <c r="J507" s="1" t="str">
        <f>T("505 753 1400")</f>
        <v>505 753 1400</v>
      </c>
      <c r="K507" s="1" t="str">
        <f>T("505 753 1404")</f>
        <v>505 753 1404</v>
      </c>
    </row>
    <row r="508" spans="1:11" ht="12.75">
      <c r="A508" s="1" t="s">
        <v>11</v>
      </c>
      <c r="B508" t="str">
        <f>T("FORESTRY")</f>
        <v>FORESTRY</v>
      </c>
      <c r="C508" t="str">
        <f>T("BRANCH OF FORESTRY")</f>
        <v>BRANCH OF FORESTRY</v>
      </c>
      <c r="D508" t="str">
        <f>T("BIA/SWR/JICARILLA AGENCY")</f>
        <v>BIA/SWR/JICARILLA AGENCY</v>
      </c>
      <c r="E508" s="1" t="str">
        <f>T("P.O. BOX 167")</f>
        <v>P.O. BOX 167</v>
      </c>
      <c r="F508" t="s">
        <v>0</v>
      </c>
      <c r="G508" t="str">
        <f>T("DULCE")</f>
        <v>DULCE</v>
      </c>
      <c r="H508" t="str">
        <f>T("NM ")</f>
        <v>NM </v>
      </c>
      <c r="I508" s="1">
        <f>N(87528)</f>
        <v>87528</v>
      </c>
      <c r="J508" s="1" t="str">
        <f>T("505 759 3952")</f>
        <v>505 759 3952</v>
      </c>
      <c r="K508" s="1" t="str">
        <f>T("505 759 3948")</f>
        <v>505 759 3948</v>
      </c>
    </row>
    <row r="509" spans="1:11" ht="12.75">
      <c r="A509" s="1" t="s">
        <v>11</v>
      </c>
      <c r="B509" t="str">
        <f>T("FORESTRY")</f>
        <v>FORESTRY</v>
      </c>
      <c r="C509" t="str">
        <f>T("BRANCH OF FORESTRY")</f>
        <v>BRANCH OF FORESTRY</v>
      </c>
      <c r="D509" t="str">
        <f>T("BIA/SWR/ZUNI AGENCY")</f>
        <v>BIA/SWR/ZUNI AGENCY</v>
      </c>
      <c r="E509" s="1" t="str">
        <f>T("P.O. BOX 369")</f>
        <v>P.O. BOX 369</v>
      </c>
      <c r="F509" t="s">
        <v>0</v>
      </c>
      <c r="G509" t="str">
        <f>T("ZUNI")</f>
        <v>ZUNI</v>
      </c>
      <c r="H509" t="str">
        <f>T("NM ")</f>
        <v>NM </v>
      </c>
      <c r="I509" s="1">
        <f>N(87327)</f>
        <v>87327</v>
      </c>
      <c r="J509" s="1" t="str">
        <f>T("505 782 7271")</f>
        <v>505 782 7271</v>
      </c>
      <c r="K509" s="1" t="str">
        <f>T("505 782 7229")</f>
        <v>505 782 7229</v>
      </c>
    </row>
    <row r="510" spans="1:11" ht="12.75">
      <c r="A510" s="1" t="s">
        <v>11</v>
      </c>
      <c r="B510" t="str">
        <f>T("TRANSPORTATION FT DEFIANCE")</f>
        <v>TRANSPORTATION FT DEFIANCE</v>
      </c>
      <c r="C510" t="str">
        <f>T("DOI BUREAU OF INDIAN AFFAIRS")</f>
        <v>DOI BUREAU OF INDIAN AFFAIRS</v>
      </c>
      <c r="D510" t="str">
        <f>T("PO BOX 619")</f>
        <v>PO BOX 619</v>
      </c>
      <c r="E510" s="1" t="s">
        <v>0</v>
      </c>
      <c r="F510" t="s">
        <v>0</v>
      </c>
      <c r="G510" t="str">
        <f>T("FT DEFIANCE")</f>
        <v>FT DEFIANCE</v>
      </c>
      <c r="H510" t="str">
        <f>T("AZ ")</f>
        <v>AZ </v>
      </c>
      <c r="I510" s="1">
        <f>N(86504)</f>
        <v>86504</v>
      </c>
      <c r="J510" s="1">
        <f>N(9287297221)</f>
        <v>9287297221</v>
      </c>
      <c r="K510" s="1">
        <f>N(9287297225)</f>
        <v>9287297225</v>
      </c>
    </row>
    <row r="511" spans="1:11" ht="12.75">
      <c r="A511" s="1" t="s">
        <v>11</v>
      </c>
      <c r="B511" t="str">
        <f>T("REAL ESTATE SERVICES FT DEFIAN")</f>
        <v>REAL ESTATE SERVICES FT DEFIAN</v>
      </c>
      <c r="C511" t="str">
        <f>T("DOI BUREAU OF INDIAN AFFAIRS")</f>
        <v>DOI BUREAU OF INDIAN AFFAIRS</v>
      </c>
      <c r="D511" t="str">
        <f>T("PO BOX 619")</f>
        <v>PO BOX 619</v>
      </c>
      <c r="E511" s="1" t="s">
        <v>0</v>
      </c>
      <c r="F511" t="s">
        <v>0</v>
      </c>
      <c r="G511" t="str">
        <f>T("FT DEFIANCE")</f>
        <v>FT DEFIANCE</v>
      </c>
      <c r="H511" t="str">
        <f>T("AZ ")</f>
        <v>AZ </v>
      </c>
      <c r="I511" s="1">
        <f>N(86504)</f>
        <v>86504</v>
      </c>
      <c r="J511" s="1">
        <f>N(9287297211)</f>
        <v>9287297211</v>
      </c>
      <c r="K511" s="1">
        <f>N(9287297225)</f>
        <v>9287297225</v>
      </c>
    </row>
    <row r="512" spans="1:11" ht="12.75">
      <c r="A512" s="1" t="s">
        <v>11</v>
      </c>
      <c r="B512" t="str">
        <f>T("BR OF IRRIGATION OPERATNS")</f>
        <v>BR OF IRRIGATION OPERATNS</v>
      </c>
      <c r="C512" t="str">
        <f>T("DOI BUREAU OF INDIAN AFFAIRS")</f>
        <v>DOI BUREAU OF INDIAN AFFAIRS</v>
      </c>
      <c r="D512" t="s">
        <v>0</v>
      </c>
      <c r="E512" s="1" t="s">
        <v>0</v>
      </c>
      <c r="F512" t="str">
        <f>T("ATTN: AUDREY SESSIONS")</f>
        <v>ATTN: AUDREY SESSIONS</v>
      </c>
      <c r="G512" t="str">
        <f>T("WASHINGTON")</f>
        <v>WASHINGTON</v>
      </c>
      <c r="H512" t="str">
        <f>T("DC ")</f>
        <v>DC </v>
      </c>
      <c r="I512" s="1">
        <f>N(20240)</f>
        <v>20240</v>
      </c>
      <c r="J512" s="1" t="s">
        <v>0</v>
      </c>
      <c r="K512" s="1" t="s">
        <v>0</v>
      </c>
    </row>
    <row r="513" spans="1:11" ht="12.75">
      <c r="A513" s="1" t="s">
        <v>11</v>
      </c>
      <c r="B513" t="str">
        <f>T("BR OF FACIL M'GMT")</f>
        <v>BR OF FACIL M'GMT</v>
      </c>
      <c r="C513" t="str">
        <f>T("DOI/BIA/WARM SPRINGS AGENCY")</f>
        <v>DOI/BIA/WARM SPRINGS AGENCY</v>
      </c>
      <c r="D513" t="str">
        <f>T("P.O. BOX 1239")</f>
        <v>P.O. BOX 1239</v>
      </c>
      <c r="E513" s="1" t="s">
        <v>0</v>
      </c>
      <c r="F513" t="s">
        <v>0</v>
      </c>
      <c r="G513" t="str">
        <f>T("WARM SPRINGS")</f>
        <v>WARM SPRINGS</v>
      </c>
      <c r="H513" t="str">
        <f>T("OR ")</f>
        <v>OR </v>
      </c>
      <c r="I513" s="1">
        <f>N(97761)</f>
        <v>97761</v>
      </c>
      <c r="J513" s="1" t="s">
        <v>0</v>
      </c>
      <c r="K513" s="1" t="s">
        <v>0</v>
      </c>
    </row>
    <row r="514" spans="1:11" ht="12.75">
      <c r="A514" s="1" t="s">
        <v>11</v>
      </c>
      <c r="B514" t="str">
        <f>T("BR OF FORESTRY")</f>
        <v>BR OF FORESTRY</v>
      </c>
      <c r="C514" t="str">
        <f>T("DOI/BIA/SPOKANE AGENCY")</f>
        <v>DOI/BIA/SPOKANE AGENCY</v>
      </c>
      <c r="D514" t="str">
        <f>T("P.O. BOX 389")</f>
        <v>P.O. BOX 389</v>
      </c>
      <c r="E514" s="1" t="s">
        <v>0</v>
      </c>
      <c r="F514" t="s">
        <v>0</v>
      </c>
      <c r="G514" t="str">
        <f>T("WELLPINIT")</f>
        <v>WELLPINIT</v>
      </c>
      <c r="H514" t="str">
        <f>T("WA ")</f>
        <v>WA </v>
      </c>
      <c r="I514" s="1">
        <f>N(99040)</f>
        <v>99040</v>
      </c>
      <c r="J514" s="1" t="s">
        <v>0</v>
      </c>
      <c r="K514" s="1" t="s">
        <v>0</v>
      </c>
    </row>
    <row r="515" spans="1:11" ht="12.75">
      <c r="A515" s="1" t="s">
        <v>11</v>
      </c>
      <c r="B515" t="str">
        <f>T("BR OF SPT SVCS")</f>
        <v>BR OF SPT SVCS</v>
      </c>
      <c r="C515" t="str">
        <f>T("DOI/BIA/FLATHEAD IRRIG. PROJ.")</f>
        <v>DOI/BIA/FLATHEAD IRRIG. PROJ.</v>
      </c>
      <c r="D515" t="str">
        <f>T("P.O. BOX 666")</f>
        <v>P.O. BOX 666</v>
      </c>
      <c r="E515" s="1" t="s">
        <v>0</v>
      </c>
      <c r="F515" t="s">
        <v>0</v>
      </c>
      <c r="G515" t="str">
        <f>T("ST.IGNATIUS")</f>
        <v>ST.IGNATIUS</v>
      </c>
      <c r="H515" t="str">
        <f>T("MT ")</f>
        <v>MT </v>
      </c>
      <c r="I515" s="1">
        <f>N(59865)</f>
        <v>59865</v>
      </c>
      <c r="J515" s="1" t="s">
        <v>0</v>
      </c>
      <c r="K515" s="1" t="s">
        <v>0</v>
      </c>
    </row>
    <row r="516" spans="1:11" ht="12.75">
      <c r="A516" s="1" t="s">
        <v>11</v>
      </c>
      <c r="B516" t="str">
        <f>T("BR OF FORESTRY")</f>
        <v>BR OF FORESTRY</v>
      </c>
      <c r="C516" t="str">
        <f>T("DOI BUREAU OF INDIAN AFFAIRS")</f>
        <v>DOI BUREAU OF INDIAN AFFAIRS</v>
      </c>
      <c r="D516" t="s">
        <v>0</v>
      </c>
      <c r="E516" s="1" t="s">
        <v>0</v>
      </c>
      <c r="F516" t="str">
        <f>T("ATTN: AUDREY SESSIONS")</f>
        <v>ATTN: AUDREY SESSIONS</v>
      </c>
      <c r="G516" t="str">
        <f>T("WASHINGTON")</f>
        <v>WASHINGTON</v>
      </c>
      <c r="H516" t="str">
        <f>T("DC ")</f>
        <v>DC </v>
      </c>
      <c r="I516" s="1">
        <f>N(20240)</f>
        <v>20240</v>
      </c>
      <c r="J516" s="1" t="s">
        <v>0</v>
      </c>
      <c r="K516" s="1" t="s">
        <v>0</v>
      </c>
    </row>
    <row r="517" spans="1:11" ht="12.75">
      <c r="A517" s="1" t="s">
        <v>11</v>
      </c>
      <c r="B517" t="str">
        <f>T("BR OF FORESTRY")</f>
        <v>BR OF FORESTRY</v>
      </c>
      <c r="C517" t="str">
        <f>T("DOI BUREAU OF INDIAN AFFAIRS")</f>
        <v>DOI BUREAU OF INDIAN AFFAIRS</v>
      </c>
      <c r="D517" t="s">
        <v>0</v>
      </c>
      <c r="E517" s="1" t="s">
        <v>0</v>
      </c>
      <c r="F517" t="str">
        <f>T("ATTN: AUDREY SESSIONS")</f>
        <v>ATTN: AUDREY SESSIONS</v>
      </c>
      <c r="G517" t="str">
        <f>T("WASHINGTON")</f>
        <v>WASHINGTON</v>
      </c>
      <c r="H517" t="str">
        <f>T("DC ")</f>
        <v>DC </v>
      </c>
      <c r="I517" s="1">
        <f>N(20240)</f>
        <v>20240</v>
      </c>
      <c r="J517" s="1" t="s">
        <v>0</v>
      </c>
      <c r="K517" s="1" t="s">
        <v>0</v>
      </c>
    </row>
    <row r="518" spans="1:11" ht="12.75">
      <c r="A518" s="1" t="s">
        <v>11</v>
      </c>
      <c r="B518" t="str">
        <f>T("BR OF NAT RES")</f>
        <v>BR OF NAT RES</v>
      </c>
      <c r="C518" t="str">
        <f>T("DOI BUREAU OF INDIAN AFFAIRS")</f>
        <v>DOI BUREAU OF INDIAN AFFAIRS</v>
      </c>
      <c r="D518" t="s">
        <v>0</v>
      </c>
      <c r="E518" s="1" t="s">
        <v>0</v>
      </c>
      <c r="F518" t="str">
        <f>T("ATTN: AUDREY SESSIONS")</f>
        <v>ATTN: AUDREY SESSIONS</v>
      </c>
      <c r="G518" t="str">
        <f>T("WASHINGTON")</f>
        <v>WASHINGTON</v>
      </c>
      <c r="H518" t="str">
        <f>T("DC ")</f>
        <v>DC </v>
      </c>
      <c r="I518" s="1">
        <f>N(20240)</f>
        <v>20240</v>
      </c>
      <c r="J518" s="1" t="s">
        <v>0</v>
      </c>
      <c r="K518" s="1" t="s">
        <v>0</v>
      </c>
    </row>
    <row r="519" spans="1:11" ht="12.75">
      <c r="A519" s="1" t="s">
        <v>11</v>
      </c>
      <c r="B519" t="str">
        <f>T("BR OF FORESTRY")</f>
        <v>BR OF FORESTRY</v>
      </c>
      <c r="C519" t="str">
        <f>T("DOI BUREAU OF INDIAN AFFAIRS")</f>
        <v>DOI BUREAU OF INDIAN AFFAIRS</v>
      </c>
      <c r="D519" t="s">
        <v>0</v>
      </c>
      <c r="E519" s="1" t="s">
        <v>0</v>
      </c>
      <c r="F519" t="str">
        <f>T("ATTN: AUDREY SESSIONS")</f>
        <v>ATTN: AUDREY SESSIONS</v>
      </c>
      <c r="G519" t="str">
        <f>T("WASHINGTON")</f>
        <v>WASHINGTON</v>
      </c>
      <c r="H519" t="str">
        <f>T("DC ")</f>
        <v>DC </v>
      </c>
      <c r="I519" s="1">
        <f>N(20240)</f>
        <v>20240</v>
      </c>
      <c r="J519" s="1" t="s">
        <v>0</v>
      </c>
      <c r="K519" s="1" t="s">
        <v>0</v>
      </c>
    </row>
    <row r="520" spans="1:11" ht="12.75">
      <c r="A520" s="1" t="s">
        <v>11</v>
      </c>
      <c r="B520" t="str">
        <f>T("SELF DETERMINATION")</f>
        <v>SELF DETERMINATION</v>
      </c>
      <c r="C520" t="str">
        <f>T("BRANCH OF SELF DETERMIN OFFICE")</f>
        <v>BRANCH OF SELF DETERMIN OFFICE</v>
      </c>
      <c r="D520" t="str">
        <f>T("301 WEST HILL  MC340 ")</f>
        <v>301 WEST HILL  MC340 </v>
      </c>
      <c r="E520" s="1" t="s">
        <v>0</v>
      </c>
      <c r="F520" t="s">
        <v>0</v>
      </c>
      <c r="G520" t="str">
        <f>T("GALLUP")</f>
        <v>GALLUP</v>
      </c>
      <c r="H520" t="str">
        <f aca="true" t="shared" si="90" ref="H520:H555">T("NM ")</f>
        <v>NM </v>
      </c>
      <c r="I520" s="1">
        <f>N(87301)</f>
        <v>87301</v>
      </c>
      <c r="J520" s="1">
        <f>N(5058638403)</f>
        <v>5058638403</v>
      </c>
      <c r="K520" s="1">
        <f>N(5058638461)</f>
        <v>5058638461</v>
      </c>
    </row>
    <row r="521" spans="1:11" ht="12.75">
      <c r="A521" s="1" t="s">
        <v>11</v>
      </c>
      <c r="B521" t="str">
        <f>T("OFFICE OF LAW ENFORCEMENT SRVC")</f>
        <v>OFFICE OF LAW ENFORCEMENT SRVC</v>
      </c>
      <c r="C521" t="str">
        <f aca="true" t="shared" si="91" ref="C521:C555">T("PO BOX 66")</f>
        <v>PO BOX 66</v>
      </c>
      <c r="D521" t="s">
        <v>0</v>
      </c>
      <c r="E521" s="1" t="s">
        <v>0</v>
      </c>
      <c r="F521" t="str">
        <f>T("ATTN LEONA MARK")</f>
        <v>ATTN LEONA MARK</v>
      </c>
      <c r="G521" t="str">
        <f aca="true" t="shared" si="92" ref="G521:G555">T("ALBUQUERQUE")</f>
        <v>ALBUQUERQUE</v>
      </c>
      <c r="H521" t="str">
        <f t="shared" si="90"/>
        <v>NM </v>
      </c>
      <c r="I521" s="1">
        <f aca="true" t="shared" si="93" ref="I521:I555">N(87102)</f>
        <v>87102</v>
      </c>
      <c r="J521" s="1">
        <f aca="true" t="shared" si="94" ref="J521:J529">N(5052487937)</f>
        <v>5052487937</v>
      </c>
      <c r="K521" s="1">
        <f>N(5052487905)</f>
        <v>5052487905</v>
      </c>
    </row>
    <row r="522" spans="1:11" ht="12.75">
      <c r="A522" s="1" t="s">
        <v>11</v>
      </c>
      <c r="B522" t="str">
        <f>T("DIVISION OF INTERNAL AFFAIRS")</f>
        <v>DIVISION OF INTERNAL AFFAIRS</v>
      </c>
      <c r="C522" t="str">
        <f t="shared" si="91"/>
        <v>PO BOX 66</v>
      </c>
      <c r="D522" t="str">
        <f>T("ATTN LEONA MARK")</f>
        <v>ATTN LEONA MARK</v>
      </c>
      <c r="E522" s="1" t="s">
        <v>0</v>
      </c>
      <c r="F522" t="s">
        <v>0</v>
      </c>
      <c r="G522" t="str">
        <f t="shared" si="92"/>
        <v>ALBUQUERQUE</v>
      </c>
      <c r="H522" t="str">
        <f t="shared" si="90"/>
        <v>NM </v>
      </c>
      <c r="I522" s="1">
        <f t="shared" si="93"/>
        <v>87102</v>
      </c>
      <c r="J522" s="1">
        <f t="shared" si="94"/>
        <v>5052487937</v>
      </c>
      <c r="K522" s="1">
        <f>N(5052487905)</f>
        <v>5052487905</v>
      </c>
    </row>
    <row r="523" spans="1:11" ht="12.75">
      <c r="A523" s="1" t="s">
        <v>11</v>
      </c>
      <c r="B523" t="str">
        <f>T("DIV OF INDIAN POLICE ACADEMY")</f>
        <v>DIV OF INDIAN POLICE ACADEMY</v>
      </c>
      <c r="C523" t="str">
        <f t="shared" si="91"/>
        <v>PO BOX 66</v>
      </c>
      <c r="D523" t="str">
        <f>T("ATTN LEONA MARK")</f>
        <v>ATTN LEONA MARK</v>
      </c>
      <c r="E523" s="1" t="s">
        <v>0</v>
      </c>
      <c r="F523" t="s">
        <v>0</v>
      </c>
      <c r="G523" t="str">
        <f t="shared" si="92"/>
        <v>ALBUQUERQUE</v>
      </c>
      <c r="H523" t="str">
        <f t="shared" si="90"/>
        <v>NM </v>
      </c>
      <c r="I523" s="1">
        <f t="shared" si="93"/>
        <v>87102</v>
      </c>
      <c r="J523" s="1">
        <f t="shared" si="94"/>
        <v>5052487937</v>
      </c>
      <c r="K523" s="1">
        <f>N(5052487905)</f>
        <v>5052487905</v>
      </c>
    </row>
    <row r="524" spans="1:11" ht="12.75">
      <c r="A524" s="1" t="s">
        <v>11</v>
      </c>
      <c r="B524" t="str">
        <f>T("OFC OF ASSOC DIR FOR OPERATION")</f>
        <v>OFC OF ASSOC DIR FOR OPERATION</v>
      </c>
      <c r="C524" t="str">
        <f t="shared" si="91"/>
        <v>PO BOX 66</v>
      </c>
      <c r="D524" t="s">
        <v>0</v>
      </c>
      <c r="E524" s="1" t="s">
        <v>0</v>
      </c>
      <c r="F524" t="str">
        <f aca="true" t="shared" si="95" ref="F524:F555">T("ATTN LEONA MARK")</f>
        <v>ATTN LEONA MARK</v>
      </c>
      <c r="G524" t="str">
        <f t="shared" si="92"/>
        <v>ALBUQUERQUE</v>
      </c>
      <c r="H524" t="str">
        <f t="shared" si="90"/>
        <v>NM </v>
      </c>
      <c r="I524" s="1">
        <f t="shared" si="93"/>
        <v>87102</v>
      </c>
      <c r="J524" s="1">
        <f t="shared" si="94"/>
        <v>5052487937</v>
      </c>
      <c r="K524" s="1" t="s">
        <v>0</v>
      </c>
    </row>
    <row r="525" spans="1:11" ht="12.75">
      <c r="A525" s="1" t="s">
        <v>11</v>
      </c>
      <c r="B525" t="str">
        <f>T("DISTRICT 1")</f>
        <v>DISTRICT 1</v>
      </c>
      <c r="C525" t="str">
        <f t="shared" si="91"/>
        <v>PO BOX 66</v>
      </c>
      <c r="D525" t="s">
        <v>0</v>
      </c>
      <c r="E525" s="1" t="s">
        <v>0</v>
      </c>
      <c r="F525" t="str">
        <f t="shared" si="95"/>
        <v>ATTN LEONA MARK</v>
      </c>
      <c r="G525" t="str">
        <f t="shared" si="92"/>
        <v>ALBUQUERQUE</v>
      </c>
      <c r="H525" t="str">
        <f t="shared" si="90"/>
        <v>NM </v>
      </c>
      <c r="I525" s="1">
        <f t="shared" si="93"/>
        <v>87102</v>
      </c>
      <c r="J525" s="1">
        <f t="shared" si="94"/>
        <v>5052487937</v>
      </c>
      <c r="K525" s="1" t="s">
        <v>0</v>
      </c>
    </row>
    <row r="526" spans="1:11" ht="12.75">
      <c r="A526" s="1" t="s">
        <v>11</v>
      </c>
      <c r="B526" t="str">
        <f>T("PINE RIDGE AGENCY")</f>
        <v>PINE RIDGE AGENCY</v>
      </c>
      <c r="C526" t="str">
        <f t="shared" si="91"/>
        <v>PO BOX 66</v>
      </c>
      <c r="D526" t="s">
        <v>0</v>
      </c>
      <c r="E526" s="1" t="s">
        <v>0</v>
      </c>
      <c r="F526" t="str">
        <f t="shared" si="95"/>
        <v>ATTN LEONA MARK</v>
      </c>
      <c r="G526" t="str">
        <f t="shared" si="92"/>
        <v>ALBUQUERQUE</v>
      </c>
      <c r="H526" t="str">
        <f t="shared" si="90"/>
        <v>NM </v>
      </c>
      <c r="I526" s="1">
        <f t="shared" si="93"/>
        <v>87102</v>
      </c>
      <c r="J526" s="1">
        <f t="shared" si="94"/>
        <v>5052487937</v>
      </c>
      <c r="K526" s="1" t="s">
        <v>0</v>
      </c>
    </row>
    <row r="527" spans="1:11" ht="12.75">
      <c r="A527" s="1" t="s">
        <v>11</v>
      </c>
      <c r="B527" t="str">
        <f>T("WINNEBAGO AGENCY")</f>
        <v>WINNEBAGO AGENCY</v>
      </c>
      <c r="C527" t="str">
        <f t="shared" si="91"/>
        <v>PO BOX 66</v>
      </c>
      <c r="D527" t="s">
        <v>0</v>
      </c>
      <c r="E527" s="1" t="s">
        <v>0</v>
      </c>
      <c r="F527" t="str">
        <f t="shared" si="95"/>
        <v>ATTN LEONA MARK</v>
      </c>
      <c r="G527" t="str">
        <f t="shared" si="92"/>
        <v>ALBUQUERQUE</v>
      </c>
      <c r="H527" t="str">
        <f t="shared" si="90"/>
        <v>NM </v>
      </c>
      <c r="I527" s="1">
        <f t="shared" si="93"/>
        <v>87102</v>
      </c>
      <c r="J527" s="1">
        <f t="shared" si="94"/>
        <v>5052487937</v>
      </c>
      <c r="K527" s="1" t="s">
        <v>0</v>
      </c>
    </row>
    <row r="528" spans="1:11" ht="12.75">
      <c r="A528" s="1" t="s">
        <v>11</v>
      </c>
      <c r="B528" t="str">
        <f>T("UNIFORM POLICE")</f>
        <v>UNIFORM POLICE</v>
      </c>
      <c r="C528" t="str">
        <f t="shared" si="91"/>
        <v>PO BOX 66</v>
      </c>
      <c r="D528" t="s">
        <v>0</v>
      </c>
      <c r="E528" s="1" t="s">
        <v>0</v>
      </c>
      <c r="F528" t="str">
        <f t="shared" si="95"/>
        <v>ATTN LEONA MARK</v>
      </c>
      <c r="G528" t="str">
        <f t="shared" si="92"/>
        <v>ALBUQUERQUE</v>
      </c>
      <c r="H528" t="str">
        <f t="shared" si="90"/>
        <v>NM </v>
      </c>
      <c r="I528" s="1">
        <f t="shared" si="93"/>
        <v>87102</v>
      </c>
      <c r="J528" s="1">
        <f t="shared" si="94"/>
        <v>5052487937</v>
      </c>
      <c r="K528" s="1" t="s">
        <v>0</v>
      </c>
    </row>
    <row r="529" spans="1:11" ht="12.75">
      <c r="A529" s="1" t="s">
        <v>11</v>
      </c>
      <c r="B529" t="str">
        <f>T("FT BERTHOLD AGENCY")</f>
        <v>FT BERTHOLD AGENCY</v>
      </c>
      <c r="C529" t="str">
        <f t="shared" si="91"/>
        <v>PO BOX 66</v>
      </c>
      <c r="D529" t="s">
        <v>0</v>
      </c>
      <c r="E529" s="1" t="s">
        <v>0</v>
      </c>
      <c r="F529" t="str">
        <f t="shared" si="95"/>
        <v>ATTN LEONA MARK</v>
      </c>
      <c r="G529" t="str">
        <f t="shared" si="92"/>
        <v>ALBUQUERQUE</v>
      </c>
      <c r="H529" t="str">
        <f t="shared" si="90"/>
        <v>NM </v>
      </c>
      <c r="I529" s="1">
        <f t="shared" si="93"/>
        <v>87102</v>
      </c>
      <c r="J529" s="1">
        <f t="shared" si="94"/>
        <v>5052487937</v>
      </c>
      <c r="K529" s="1" t="s">
        <v>0</v>
      </c>
    </row>
    <row r="530" spans="1:11" ht="12.75">
      <c r="A530" s="1" t="s">
        <v>11</v>
      </c>
      <c r="B530" t="str">
        <f>T("FT TOTTEN AGENCY")</f>
        <v>FT TOTTEN AGENCY</v>
      </c>
      <c r="C530" t="str">
        <f t="shared" si="91"/>
        <v>PO BOX 66</v>
      </c>
      <c r="D530" t="s">
        <v>0</v>
      </c>
      <c r="E530" s="1" t="s">
        <v>0</v>
      </c>
      <c r="F530" t="str">
        <f t="shared" si="95"/>
        <v>ATTN LEONA MARK</v>
      </c>
      <c r="G530" t="str">
        <f t="shared" si="92"/>
        <v>ALBUQUERQUE</v>
      </c>
      <c r="H530" t="str">
        <f t="shared" si="90"/>
        <v>NM </v>
      </c>
      <c r="I530" s="1">
        <f t="shared" si="93"/>
        <v>87102</v>
      </c>
      <c r="J530" s="1" t="str">
        <f aca="true" t="shared" si="96" ref="J530:J555">T("505 248 7937")</f>
        <v>505 248 7937</v>
      </c>
      <c r="K530" s="1" t="str">
        <f aca="true" t="shared" si="97" ref="K530:K555">T("505 248 7905")</f>
        <v>505 248 7905</v>
      </c>
    </row>
    <row r="531" spans="1:11" ht="12.75">
      <c r="A531" s="1" t="s">
        <v>11</v>
      </c>
      <c r="B531" t="str">
        <f>T("LOWER BRULE AGENCY")</f>
        <v>LOWER BRULE AGENCY</v>
      </c>
      <c r="C531" t="str">
        <f t="shared" si="91"/>
        <v>PO BOX 66</v>
      </c>
      <c r="D531" t="s">
        <v>0</v>
      </c>
      <c r="E531" s="1" t="s">
        <v>0</v>
      </c>
      <c r="F531" t="str">
        <f t="shared" si="95"/>
        <v>ATTN LEONA MARK</v>
      </c>
      <c r="G531" t="str">
        <f t="shared" si="92"/>
        <v>ALBUQUERQUE</v>
      </c>
      <c r="H531" t="str">
        <f t="shared" si="90"/>
        <v>NM </v>
      </c>
      <c r="I531" s="1">
        <f t="shared" si="93"/>
        <v>87102</v>
      </c>
      <c r="J531" s="1" t="str">
        <f t="shared" si="96"/>
        <v>505 248 7937</v>
      </c>
      <c r="K531" s="1" t="str">
        <f t="shared" si="97"/>
        <v>505 248 7905</v>
      </c>
    </row>
    <row r="532" spans="1:11" ht="12.75">
      <c r="A532" s="1" t="s">
        <v>11</v>
      </c>
      <c r="B532" t="str">
        <f>T("CRIMINAL INVESTIGATIONS")</f>
        <v>CRIMINAL INVESTIGATIONS</v>
      </c>
      <c r="C532" t="str">
        <f t="shared" si="91"/>
        <v>PO BOX 66</v>
      </c>
      <c r="D532" t="s">
        <v>0</v>
      </c>
      <c r="E532" s="1" t="s">
        <v>0</v>
      </c>
      <c r="F532" t="str">
        <f t="shared" si="95"/>
        <v>ATTN LEONA MARK</v>
      </c>
      <c r="G532" t="str">
        <f t="shared" si="92"/>
        <v>ALBUQUERQUE</v>
      </c>
      <c r="H532" t="str">
        <f t="shared" si="90"/>
        <v>NM </v>
      </c>
      <c r="I532" s="1">
        <f t="shared" si="93"/>
        <v>87102</v>
      </c>
      <c r="J532" s="1" t="str">
        <f t="shared" si="96"/>
        <v>505 248 7937</v>
      </c>
      <c r="K532" s="1" t="str">
        <f t="shared" si="97"/>
        <v>505 248 7905</v>
      </c>
    </row>
    <row r="533" spans="1:11" ht="12.75">
      <c r="A533" s="1" t="s">
        <v>11</v>
      </c>
      <c r="B533" t="str">
        <f>T("DISTRICT 5")</f>
        <v>DISTRICT 5</v>
      </c>
      <c r="C533" t="str">
        <f t="shared" si="91"/>
        <v>PO BOX 66</v>
      </c>
      <c r="D533" t="s">
        <v>0</v>
      </c>
      <c r="E533" s="1" t="s">
        <v>0</v>
      </c>
      <c r="F533" t="str">
        <f t="shared" si="95"/>
        <v>ATTN LEONA MARK</v>
      </c>
      <c r="G533" t="str">
        <f t="shared" si="92"/>
        <v>ALBUQUERQUE</v>
      </c>
      <c r="H533" t="str">
        <f t="shared" si="90"/>
        <v>NM </v>
      </c>
      <c r="I533" s="1">
        <f t="shared" si="93"/>
        <v>87102</v>
      </c>
      <c r="J533" s="1" t="str">
        <f t="shared" si="96"/>
        <v>505 248 7937</v>
      </c>
      <c r="K533" s="1" t="str">
        <f t="shared" si="97"/>
        <v>505 248 7905</v>
      </c>
    </row>
    <row r="534" spans="1:11" ht="12.75">
      <c r="A534" s="1" t="s">
        <v>11</v>
      </c>
      <c r="B534" t="str">
        <f>T("CROW AGENCY")</f>
        <v>CROW AGENCY</v>
      </c>
      <c r="C534" t="str">
        <f t="shared" si="91"/>
        <v>PO BOX 66</v>
      </c>
      <c r="D534" t="s">
        <v>0</v>
      </c>
      <c r="E534" s="1" t="s">
        <v>0</v>
      </c>
      <c r="F534" t="str">
        <f t="shared" si="95"/>
        <v>ATTN LEONA MARK</v>
      </c>
      <c r="G534" t="str">
        <f t="shared" si="92"/>
        <v>ALBUQUERQUE</v>
      </c>
      <c r="H534" t="str">
        <f t="shared" si="90"/>
        <v>NM </v>
      </c>
      <c r="I534" s="1">
        <f t="shared" si="93"/>
        <v>87102</v>
      </c>
      <c r="J534" s="1" t="str">
        <f t="shared" si="96"/>
        <v>505 248 7937</v>
      </c>
      <c r="K534" s="1" t="str">
        <f t="shared" si="97"/>
        <v>505 248 7905</v>
      </c>
    </row>
    <row r="535" spans="1:11" ht="12.75">
      <c r="A535" s="1" t="s">
        <v>11</v>
      </c>
      <c r="B535" t="str">
        <f>T("UNIFORM POLICE")</f>
        <v>UNIFORM POLICE</v>
      </c>
      <c r="C535" t="str">
        <f t="shared" si="91"/>
        <v>PO BOX 66</v>
      </c>
      <c r="D535" t="s">
        <v>0</v>
      </c>
      <c r="E535" s="1" t="s">
        <v>0</v>
      </c>
      <c r="F535" t="str">
        <f t="shared" si="95"/>
        <v>ATTN LEONA MARK</v>
      </c>
      <c r="G535" t="str">
        <f t="shared" si="92"/>
        <v>ALBUQUERQUE</v>
      </c>
      <c r="H535" t="str">
        <f t="shared" si="90"/>
        <v>NM </v>
      </c>
      <c r="I535" s="1">
        <f t="shared" si="93"/>
        <v>87102</v>
      </c>
      <c r="J535" s="1" t="str">
        <f t="shared" si="96"/>
        <v>505 248 7937</v>
      </c>
      <c r="K535" s="1" t="str">
        <f t="shared" si="97"/>
        <v>505 248 7905</v>
      </c>
    </row>
    <row r="536" spans="1:11" ht="12.75">
      <c r="A536" s="1" t="s">
        <v>11</v>
      </c>
      <c r="B536" t="str">
        <f>T("NORTHERN CHEYENNE AGENCY")</f>
        <v>NORTHERN CHEYENNE AGENCY</v>
      </c>
      <c r="C536" t="str">
        <f t="shared" si="91"/>
        <v>PO BOX 66</v>
      </c>
      <c r="D536" t="s">
        <v>0</v>
      </c>
      <c r="E536" s="1" t="s">
        <v>0</v>
      </c>
      <c r="F536" t="str">
        <f t="shared" si="95"/>
        <v>ATTN LEONA MARK</v>
      </c>
      <c r="G536" t="str">
        <f t="shared" si="92"/>
        <v>ALBUQUERQUE</v>
      </c>
      <c r="H536" t="str">
        <f t="shared" si="90"/>
        <v>NM </v>
      </c>
      <c r="I536" s="1">
        <f t="shared" si="93"/>
        <v>87102</v>
      </c>
      <c r="J536" s="1" t="str">
        <f t="shared" si="96"/>
        <v>505 248 7937</v>
      </c>
      <c r="K536" s="1" t="str">
        <f t="shared" si="97"/>
        <v>505 248 7905</v>
      </c>
    </row>
    <row r="537" spans="1:11" ht="12.75">
      <c r="A537" s="1" t="s">
        <v>11</v>
      </c>
      <c r="B537" t="str">
        <f>T("WINDRIVER AGENCY")</f>
        <v>WINDRIVER AGENCY</v>
      </c>
      <c r="C537" t="str">
        <f t="shared" si="91"/>
        <v>PO BOX 66</v>
      </c>
      <c r="D537" t="s">
        <v>0</v>
      </c>
      <c r="E537" s="1" t="s">
        <v>0</v>
      </c>
      <c r="F537" t="str">
        <f t="shared" si="95"/>
        <v>ATTN LEONA MARK</v>
      </c>
      <c r="G537" t="str">
        <f t="shared" si="92"/>
        <v>ALBUQUERQUE</v>
      </c>
      <c r="H537" t="str">
        <f t="shared" si="90"/>
        <v>NM </v>
      </c>
      <c r="I537" s="1">
        <f t="shared" si="93"/>
        <v>87102</v>
      </c>
      <c r="J537" s="1" t="str">
        <f t="shared" si="96"/>
        <v>505 248 7937</v>
      </c>
      <c r="K537" s="1" t="str">
        <f t="shared" si="97"/>
        <v>505 248 7905</v>
      </c>
    </row>
    <row r="538" spans="1:11" ht="12.75">
      <c r="A538" s="1" t="s">
        <v>11</v>
      </c>
      <c r="B538" t="str">
        <f>T("CRIMINAL INVESTIGATIONS")</f>
        <v>CRIMINAL INVESTIGATIONS</v>
      </c>
      <c r="C538" t="str">
        <f t="shared" si="91"/>
        <v>PO BOX 66</v>
      </c>
      <c r="D538" t="s">
        <v>0</v>
      </c>
      <c r="E538" s="1" t="s">
        <v>0</v>
      </c>
      <c r="F538" t="str">
        <f t="shared" si="95"/>
        <v>ATTN LEONA MARK</v>
      </c>
      <c r="G538" t="str">
        <f t="shared" si="92"/>
        <v>ALBUQUERQUE</v>
      </c>
      <c r="H538" t="str">
        <f t="shared" si="90"/>
        <v>NM </v>
      </c>
      <c r="I538" s="1">
        <f t="shared" si="93"/>
        <v>87102</v>
      </c>
      <c r="J538" s="1" t="str">
        <f t="shared" si="96"/>
        <v>505 248 7937</v>
      </c>
      <c r="K538" s="1" t="str">
        <f t="shared" si="97"/>
        <v>505 248 7905</v>
      </c>
    </row>
    <row r="539" spans="1:11" ht="12.75">
      <c r="A539" s="1" t="s">
        <v>11</v>
      </c>
      <c r="B539" t="str">
        <f>T("DISTRICT 2")</f>
        <v>DISTRICT 2</v>
      </c>
      <c r="C539" t="str">
        <f t="shared" si="91"/>
        <v>PO BOX 66</v>
      </c>
      <c r="D539" t="s">
        <v>0</v>
      </c>
      <c r="E539" s="1" t="s">
        <v>0</v>
      </c>
      <c r="F539" t="str">
        <f t="shared" si="95"/>
        <v>ATTN LEONA MARK</v>
      </c>
      <c r="G539" t="str">
        <f t="shared" si="92"/>
        <v>ALBUQUERQUE</v>
      </c>
      <c r="H539" t="str">
        <f t="shared" si="90"/>
        <v>NM </v>
      </c>
      <c r="I539" s="1">
        <f t="shared" si="93"/>
        <v>87102</v>
      </c>
      <c r="J539" s="1" t="str">
        <f t="shared" si="96"/>
        <v>505 248 7937</v>
      </c>
      <c r="K539" s="1" t="str">
        <f t="shared" si="97"/>
        <v>505 248 7905</v>
      </c>
    </row>
    <row r="540" spans="1:11" ht="12.75">
      <c r="A540" s="1" t="s">
        <v>11</v>
      </c>
      <c r="B540" t="str">
        <f>T("CRIMINAL INVESTIGATIONS")</f>
        <v>CRIMINAL INVESTIGATIONS</v>
      </c>
      <c r="C540" t="str">
        <f t="shared" si="91"/>
        <v>PO BOX 66</v>
      </c>
      <c r="D540" t="s">
        <v>0</v>
      </c>
      <c r="E540" s="1" t="s">
        <v>0</v>
      </c>
      <c r="F540" t="str">
        <f t="shared" si="95"/>
        <v>ATTN LEONA MARK</v>
      </c>
      <c r="G540" t="str">
        <f t="shared" si="92"/>
        <v>ALBUQUERQUE</v>
      </c>
      <c r="H540" t="str">
        <f t="shared" si="90"/>
        <v>NM </v>
      </c>
      <c r="I540" s="1">
        <f t="shared" si="93"/>
        <v>87102</v>
      </c>
      <c r="J540" s="1" t="str">
        <f t="shared" si="96"/>
        <v>505 248 7937</v>
      </c>
      <c r="K540" s="1" t="str">
        <f t="shared" si="97"/>
        <v>505 248 7905</v>
      </c>
    </row>
    <row r="541" spans="1:11" ht="12.75">
      <c r="A541" s="1" t="s">
        <v>11</v>
      </c>
      <c r="B541" t="str">
        <f>T("SOUTHERN PLAINS REGIONAL OFC")</f>
        <v>SOUTHERN PLAINS REGIONAL OFC</v>
      </c>
      <c r="C541" t="str">
        <f t="shared" si="91"/>
        <v>PO BOX 66</v>
      </c>
      <c r="D541" t="s">
        <v>0</v>
      </c>
      <c r="E541" s="1" t="s">
        <v>0</v>
      </c>
      <c r="F541" t="str">
        <f t="shared" si="95"/>
        <v>ATTN LEONA MARK</v>
      </c>
      <c r="G541" t="str">
        <f t="shared" si="92"/>
        <v>ALBUQUERQUE</v>
      </c>
      <c r="H541" t="str">
        <f t="shared" si="90"/>
        <v>NM </v>
      </c>
      <c r="I541" s="1">
        <f t="shared" si="93"/>
        <v>87102</v>
      </c>
      <c r="J541" s="1" t="str">
        <f t="shared" si="96"/>
        <v>505 248 7937</v>
      </c>
      <c r="K541" s="1" t="str">
        <f t="shared" si="97"/>
        <v>505 248 7905</v>
      </c>
    </row>
    <row r="542" spans="1:11" ht="12.75">
      <c r="A542" s="1" t="s">
        <v>11</v>
      </c>
      <c r="B542" t="str">
        <f>T("DISTRICT 4")</f>
        <v>DISTRICT 4</v>
      </c>
      <c r="C542" t="str">
        <f t="shared" si="91"/>
        <v>PO BOX 66</v>
      </c>
      <c r="D542" t="s">
        <v>0</v>
      </c>
      <c r="E542" s="1" t="s">
        <v>0</v>
      </c>
      <c r="F542" t="str">
        <f t="shared" si="95"/>
        <v>ATTN LEONA MARK</v>
      </c>
      <c r="G542" t="str">
        <f t="shared" si="92"/>
        <v>ALBUQUERQUE</v>
      </c>
      <c r="H542" t="str">
        <f t="shared" si="90"/>
        <v>NM </v>
      </c>
      <c r="I542" s="1">
        <f t="shared" si="93"/>
        <v>87102</v>
      </c>
      <c r="J542" s="1" t="str">
        <f t="shared" si="96"/>
        <v>505 248 7937</v>
      </c>
      <c r="K542" s="1" t="str">
        <f t="shared" si="97"/>
        <v>505 248 7905</v>
      </c>
    </row>
    <row r="543" spans="1:11" ht="12.75">
      <c r="A543" s="1" t="s">
        <v>11</v>
      </c>
      <c r="B543" t="str">
        <f>T("CRIMINAL INVESTIGATIONS")</f>
        <v>CRIMINAL INVESTIGATIONS</v>
      </c>
      <c r="C543" t="str">
        <f t="shared" si="91"/>
        <v>PO BOX 66</v>
      </c>
      <c r="D543" t="s">
        <v>0</v>
      </c>
      <c r="E543" s="1" t="s">
        <v>0</v>
      </c>
      <c r="F543" t="str">
        <f t="shared" si="95"/>
        <v>ATTN LEONA MARK</v>
      </c>
      <c r="G543" t="str">
        <f t="shared" si="92"/>
        <v>ALBUQUERQUE</v>
      </c>
      <c r="H543" t="str">
        <f t="shared" si="90"/>
        <v>NM </v>
      </c>
      <c r="I543" s="1">
        <f t="shared" si="93"/>
        <v>87102</v>
      </c>
      <c r="J543" s="1" t="str">
        <f t="shared" si="96"/>
        <v>505 248 7937</v>
      </c>
      <c r="K543" s="1" t="str">
        <f t="shared" si="97"/>
        <v>505 248 7905</v>
      </c>
    </row>
    <row r="544" spans="1:11" ht="12.75">
      <c r="A544" s="1" t="s">
        <v>11</v>
      </c>
      <c r="B544" t="str">
        <f>T("NORTHERN PUEBLOS AGENCY")</f>
        <v>NORTHERN PUEBLOS AGENCY</v>
      </c>
      <c r="C544" t="str">
        <f t="shared" si="91"/>
        <v>PO BOX 66</v>
      </c>
      <c r="D544" t="s">
        <v>0</v>
      </c>
      <c r="E544" s="1" t="s">
        <v>0</v>
      </c>
      <c r="F544" t="str">
        <f t="shared" si="95"/>
        <v>ATTN LEONA MARK</v>
      </c>
      <c r="G544" t="str">
        <f t="shared" si="92"/>
        <v>ALBUQUERQUE</v>
      </c>
      <c r="H544" t="str">
        <f t="shared" si="90"/>
        <v>NM </v>
      </c>
      <c r="I544" s="1">
        <f t="shared" si="93"/>
        <v>87102</v>
      </c>
      <c r="J544" s="1" t="str">
        <f t="shared" si="96"/>
        <v>505 248 7937</v>
      </c>
      <c r="K544" s="1" t="str">
        <f t="shared" si="97"/>
        <v>505 248 7905</v>
      </c>
    </row>
    <row r="545" spans="1:11" ht="12.75">
      <c r="A545" s="1" t="s">
        <v>11</v>
      </c>
      <c r="B545" t="str">
        <f>T("SOUTHERN PUEBLOS AGENCY")</f>
        <v>SOUTHERN PUEBLOS AGENCY</v>
      </c>
      <c r="C545" t="str">
        <f t="shared" si="91"/>
        <v>PO BOX 66</v>
      </c>
      <c r="D545" t="s">
        <v>0</v>
      </c>
      <c r="E545" s="1" t="s">
        <v>0</v>
      </c>
      <c r="F545" t="str">
        <f t="shared" si="95"/>
        <v>ATTN LEONA MARK</v>
      </c>
      <c r="G545" t="str">
        <f t="shared" si="92"/>
        <v>ALBUQUERQUE</v>
      </c>
      <c r="H545" t="str">
        <f t="shared" si="90"/>
        <v>NM </v>
      </c>
      <c r="I545" s="1">
        <f t="shared" si="93"/>
        <v>87102</v>
      </c>
      <c r="J545" s="1" t="str">
        <f t="shared" si="96"/>
        <v>505 248 7937</v>
      </c>
      <c r="K545" s="1" t="str">
        <f t="shared" si="97"/>
        <v>505 248 7905</v>
      </c>
    </row>
    <row r="546" spans="1:11" ht="12.75">
      <c r="A546" s="1" t="s">
        <v>11</v>
      </c>
      <c r="B546" t="str">
        <f>T("UTE MOUNTAIN UTE AGENCY")</f>
        <v>UTE MOUNTAIN UTE AGENCY</v>
      </c>
      <c r="C546" t="str">
        <f t="shared" si="91"/>
        <v>PO BOX 66</v>
      </c>
      <c r="D546" t="s">
        <v>0</v>
      </c>
      <c r="E546" s="1" t="s">
        <v>0</v>
      </c>
      <c r="F546" t="str">
        <f t="shared" si="95"/>
        <v>ATTN LEONA MARK</v>
      </c>
      <c r="G546" t="str">
        <f t="shared" si="92"/>
        <v>ALBUQUERQUE</v>
      </c>
      <c r="H546" t="str">
        <f t="shared" si="90"/>
        <v>NM </v>
      </c>
      <c r="I546" s="1">
        <f t="shared" si="93"/>
        <v>87102</v>
      </c>
      <c r="J546" s="1" t="str">
        <f t="shared" si="96"/>
        <v>505 248 7937</v>
      </c>
      <c r="K546" s="1" t="str">
        <f t="shared" si="97"/>
        <v>505 248 7905</v>
      </c>
    </row>
    <row r="547" spans="1:11" ht="12.75">
      <c r="A547" s="1" t="s">
        <v>11</v>
      </c>
      <c r="B547" t="str">
        <f>T("MESCALERO AGENCY")</f>
        <v>MESCALERO AGENCY</v>
      </c>
      <c r="C547" t="str">
        <f t="shared" si="91"/>
        <v>PO BOX 66</v>
      </c>
      <c r="D547" t="s">
        <v>0</v>
      </c>
      <c r="E547" s="1" t="s">
        <v>0</v>
      </c>
      <c r="F547" t="str">
        <f t="shared" si="95"/>
        <v>ATTN LEONA MARK</v>
      </c>
      <c r="G547" t="str">
        <f t="shared" si="92"/>
        <v>ALBUQUERQUE</v>
      </c>
      <c r="H547" t="str">
        <f t="shared" si="90"/>
        <v>NM </v>
      </c>
      <c r="I547" s="1">
        <f t="shared" si="93"/>
        <v>87102</v>
      </c>
      <c r="J547" s="1" t="str">
        <f t="shared" si="96"/>
        <v>505 248 7937</v>
      </c>
      <c r="K547" s="1" t="str">
        <f t="shared" si="97"/>
        <v>505 248 7905</v>
      </c>
    </row>
    <row r="548" spans="1:11" ht="12.75">
      <c r="A548" s="1" t="s">
        <v>11</v>
      </c>
      <c r="B548" t="str">
        <f>T("DISTRICT 3")</f>
        <v>DISTRICT 3</v>
      </c>
      <c r="C548" t="str">
        <f t="shared" si="91"/>
        <v>PO BOX 66</v>
      </c>
      <c r="D548" t="s">
        <v>0</v>
      </c>
      <c r="E548" s="1" t="s">
        <v>0</v>
      </c>
      <c r="F548" t="str">
        <f t="shared" si="95"/>
        <v>ATTN LEONA MARK</v>
      </c>
      <c r="G548" t="str">
        <f t="shared" si="92"/>
        <v>ALBUQUERQUE</v>
      </c>
      <c r="H548" t="str">
        <f t="shared" si="90"/>
        <v>NM </v>
      </c>
      <c r="I548" s="1">
        <f t="shared" si="93"/>
        <v>87102</v>
      </c>
      <c r="J548" s="1" t="str">
        <f t="shared" si="96"/>
        <v>505 248 7937</v>
      </c>
      <c r="K548" s="1" t="str">
        <f t="shared" si="97"/>
        <v>505 248 7905</v>
      </c>
    </row>
    <row r="549" spans="1:11" ht="12.75">
      <c r="A549" s="1" t="s">
        <v>11</v>
      </c>
      <c r="B549" t="str">
        <f>T("EASTERN NEVADA AGENCY")</f>
        <v>EASTERN NEVADA AGENCY</v>
      </c>
      <c r="C549" t="str">
        <f t="shared" si="91"/>
        <v>PO BOX 66</v>
      </c>
      <c r="D549" t="s">
        <v>0</v>
      </c>
      <c r="E549" s="1" t="s">
        <v>0</v>
      </c>
      <c r="F549" t="str">
        <f t="shared" si="95"/>
        <v>ATTN LEONA MARK</v>
      </c>
      <c r="G549" t="str">
        <f t="shared" si="92"/>
        <v>ALBUQUERQUE</v>
      </c>
      <c r="H549" t="str">
        <f t="shared" si="90"/>
        <v>NM </v>
      </c>
      <c r="I549" s="1">
        <f t="shared" si="93"/>
        <v>87102</v>
      </c>
      <c r="J549" s="1" t="str">
        <f t="shared" si="96"/>
        <v>505 248 7937</v>
      </c>
      <c r="K549" s="1" t="str">
        <f t="shared" si="97"/>
        <v>505 248 7905</v>
      </c>
    </row>
    <row r="550" spans="1:11" ht="12.75">
      <c r="A550" s="1" t="s">
        <v>11</v>
      </c>
      <c r="B550" t="str">
        <f>T("UNIFORM POLICE")</f>
        <v>UNIFORM POLICE</v>
      </c>
      <c r="C550" t="str">
        <f t="shared" si="91"/>
        <v>PO BOX 66</v>
      </c>
      <c r="D550" t="s">
        <v>0</v>
      </c>
      <c r="E550" s="1" t="s">
        <v>0</v>
      </c>
      <c r="F550" t="str">
        <f t="shared" si="95"/>
        <v>ATTN LEONA MARK</v>
      </c>
      <c r="G550" t="str">
        <f t="shared" si="92"/>
        <v>ALBUQUERQUE</v>
      </c>
      <c r="H550" t="str">
        <f t="shared" si="90"/>
        <v>NM </v>
      </c>
      <c r="I550" s="1">
        <f t="shared" si="93"/>
        <v>87102</v>
      </c>
      <c r="J550" s="1" t="str">
        <f t="shared" si="96"/>
        <v>505 248 7937</v>
      </c>
      <c r="K550" s="1" t="str">
        <f t="shared" si="97"/>
        <v>505 248 7905</v>
      </c>
    </row>
    <row r="551" spans="1:11" ht="12.75">
      <c r="A551" s="1" t="s">
        <v>11</v>
      </c>
      <c r="B551" t="str">
        <f>T("UINTAH &amp; OURAY AGENCY")</f>
        <v>UINTAH &amp; OURAY AGENCY</v>
      </c>
      <c r="C551" t="str">
        <f t="shared" si="91"/>
        <v>PO BOX 66</v>
      </c>
      <c r="D551" t="s">
        <v>0</v>
      </c>
      <c r="E551" s="1" t="s">
        <v>0</v>
      </c>
      <c r="F551" t="str">
        <f t="shared" si="95"/>
        <v>ATTN LEONA MARK</v>
      </c>
      <c r="G551" t="str">
        <f t="shared" si="92"/>
        <v>ALBUQUERQUE</v>
      </c>
      <c r="H551" t="str">
        <f t="shared" si="90"/>
        <v>NM </v>
      </c>
      <c r="I551" s="1">
        <f t="shared" si="93"/>
        <v>87102</v>
      </c>
      <c r="J551" s="1" t="str">
        <f t="shared" si="96"/>
        <v>505 248 7937</v>
      </c>
      <c r="K551" s="1" t="str">
        <f t="shared" si="97"/>
        <v>505 248 7905</v>
      </c>
    </row>
    <row r="552" spans="1:11" ht="12.75">
      <c r="A552" s="1" t="s">
        <v>11</v>
      </c>
      <c r="B552" t="str">
        <f>T("HOPI AGENCY")</f>
        <v>HOPI AGENCY</v>
      </c>
      <c r="C552" t="str">
        <f t="shared" si="91"/>
        <v>PO BOX 66</v>
      </c>
      <c r="D552" t="s">
        <v>0</v>
      </c>
      <c r="E552" s="1" t="s">
        <v>0</v>
      </c>
      <c r="F552" t="str">
        <f t="shared" si="95"/>
        <v>ATTN LEONA MARK</v>
      </c>
      <c r="G552" t="str">
        <f t="shared" si="92"/>
        <v>ALBUQUERQUE</v>
      </c>
      <c r="H552" t="str">
        <f t="shared" si="90"/>
        <v>NM </v>
      </c>
      <c r="I552" s="1">
        <f t="shared" si="93"/>
        <v>87102</v>
      </c>
      <c r="J552" s="1" t="str">
        <f t="shared" si="96"/>
        <v>505 248 7937</v>
      </c>
      <c r="K552" s="1" t="str">
        <f t="shared" si="97"/>
        <v>505 248 7905</v>
      </c>
    </row>
    <row r="553" spans="1:11" ht="12.75">
      <c r="A553" s="1" t="s">
        <v>11</v>
      </c>
      <c r="B553" t="str">
        <f>T("FT APACHE AGENCY")</f>
        <v>FT APACHE AGENCY</v>
      </c>
      <c r="C553" t="str">
        <f t="shared" si="91"/>
        <v>PO BOX 66</v>
      </c>
      <c r="D553" t="s">
        <v>0</v>
      </c>
      <c r="E553" s="1" t="s">
        <v>0</v>
      </c>
      <c r="F553" t="str">
        <f t="shared" si="95"/>
        <v>ATTN LEONA MARK</v>
      </c>
      <c r="G553" t="str">
        <f t="shared" si="92"/>
        <v>ALBUQUERQUE</v>
      </c>
      <c r="H553" t="str">
        <f t="shared" si="90"/>
        <v>NM </v>
      </c>
      <c r="I553" s="1">
        <f t="shared" si="93"/>
        <v>87102</v>
      </c>
      <c r="J553" s="1" t="str">
        <f t="shared" si="96"/>
        <v>505 248 7937</v>
      </c>
      <c r="K553" s="1" t="str">
        <f t="shared" si="97"/>
        <v>505 248 7905</v>
      </c>
    </row>
    <row r="554" spans="1:11" ht="12.75">
      <c r="A554" s="1" t="s">
        <v>11</v>
      </c>
      <c r="B554" t="str">
        <f>T("CRIMINAL INVESTIGATIONS")</f>
        <v>CRIMINAL INVESTIGATIONS</v>
      </c>
      <c r="C554" t="str">
        <f t="shared" si="91"/>
        <v>PO BOX 66</v>
      </c>
      <c r="D554" t="s">
        <v>0</v>
      </c>
      <c r="E554" s="1" t="s">
        <v>0</v>
      </c>
      <c r="F554" t="str">
        <f t="shared" si="95"/>
        <v>ATTN LEONA MARK</v>
      </c>
      <c r="G554" t="str">
        <f t="shared" si="92"/>
        <v>ALBUQUERQUE</v>
      </c>
      <c r="H554" t="str">
        <f t="shared" si="90"/>
        <v>NM </v>
      </c>
      <c r="I554" s="1">
        <f t="shared" si="93"/>
        <v>87102</v>
      </c>
      <c r="J554" s="1" t="str">
        <f t="shared" si="96"/>
        <v>505 248 7937</v>
      </c>
      <c r="K554" s="1" t="str">
        <f t="shared" si="97"/>
        <v>505 248 7905</v>
      </c>
    </row>
    <row r="555" spans="1:11" ht="12.75">
      <c r="A555" s="1" t="s">
        <v>11</v>
      </c>
      <c r="B555" t="str">
        <f>T("TRUXTON CANON AGENCY")</f>
        <v>TRUXTON CANON AGENCY</v>
      </c>
      <c r="C555" t="str">
        <f t="shared" si="91"/>
        <v>PO BOX 66</v>
      </c>
      <c r="D555" t="s">
        <v>0</v>
      </c>
      <c r="E555" s="1" t="s">
        <v>0</v>
      </c>
      <c r="F555" t="str">
        <f t="shared" si="95"/>
        <v>ATTN LEONA MARK</v>
      </c>
      <c r="G555" t="str">
        <f t="shared" si="92"/>
        <v>ALBUQUERQUE</v>
      </c>
      <c r="H555" t="str">
        <f t="shared" si="90"/>
        <v>NM </v>
      </c>
      <c r="I555" s="1">
        <f t="shared" si="93"/>
        <v>87102</v>
      </c>
      <c r="J555" s="1" t="str">
        <f t="shared" si="96"/>
        <v>505 248 7937</v>
      </c>
      <c r="K555" s="1" t="str">
        <f t="shared" si="97"/>
        <v>505 248 7905</v>
      </c>
    </row>
    <row r="556" spans="1:11" ht="12.75">
      <c r="A556" s="1" t="s">
        <v>11</v>
      </c>
      <c r="B556" t="str">
        <f>T("DIVISION VI EASTERN REGION")</f>
        <v>DIVISION VI EASTERN REGION</v>
      </c>
      <c r="C556" t="str">
        <f>T("DOI BUREAU OF INDIAN AFFAIRS")</f>
        <v>DOI BUREAU OF INDIAN AFFAIRS</v>
      </c>
      <c r="D556" t="str">
        <f>T("51 CENTURY BLVD SUITE 350")</f>
        <v>51 CENTURY BLVD SUITE 350</v>
      </c>
      <c r="E556" s="1" t="s">
        <v>0</v>
      </c>
      <c r="F556" t="s">
        <v>0</v>
      </c>
      <c r="G556" t="str">
        <f>T("NASHVILLE")</f>
        <v>NASHVILLE</v>
      </c>
      <c r="H556" t="str">
        <f>T("TN ")</f>
        <v>TN </v>
      </c>
      <c r="I556" s="1">
        <f>N(37214)</f>
        <v>37214</v>
      </c>
      <c r="J556" s="1">
        <f>N(5052487937)</f>
        <v>5052487937</v>
      </c>
      <c r="K556" s="1" t="s">
        <v>0</v>
      </c>
    </row>
    <row r="557" spans="1:11" ht="12.75">
      <c r="A557" s="1" t="s">
        <v>11</v>
      </c>
      <c r="B557" t="str">
        <f>T("DIV OF PROBATE &amp; ESTATE SRVS")</f>
        <v>DIV OF PROBATE &amp; ESTATE SRVS</v>
      </c>
      <c r="C557" t="str">
        <f>T("PO BOX 10")</f>
        <v>PO BOX 10</v>
      </c>
      <c r="D557" t="s">
        <v>0</v>
      </c>
      <c r="E557" s="1" t="s">
        <v>0</v>
      </c>
      <c r="F557" t="s">
        <v>0</v>
      </c>
      <c r="G557" t="str">
        <f>T("PHOENIX")</f>
        <v>PHOENIX</v>
      </c>
      <c r="H557" t="str">
        <f>T("AZ ")</f>
        <v>AZ </v>
      </c>
      <c r="I557" s="1">
        <f>N(850010010)</f>
        <v>850010010</v>
      </c>
      <c r="J557" s="1">
        <f>N(6023793318)</f>
        <v>6023793318</v>
      </c>
      <c r="K557" s="1" t="s">
        <v>0</v>
      </c>
    </row>
    <row r="558" spans="1:11" ht="12.75">
      <c r="A558" s="1" t="s">
        <v>11</v>
      </c>
      <c r="B558" t="str">
        <f>T("TRIBAL GOVT SERVICES")</f>
        <v>TRIBAL GOVT SERVICES</v>
      </c>
      <c r="C558" t="str">
        <f>T("SOUTHERN PAIUTE FIELD OFFICE")</f>
        <v>SOUTHERN PAIUTE FIELD OFFICE</v>
      </c>
      <c r="D558" t="str">
        <f>T("PO BOX 720")</f>
        <v>PO BOX 720</v>
      </c>
      <c r="E558" s="1" t="s">
        <v>0</v>
      </c>
      <c r="F558" t="s">
        <v>0</v>
      </c>
      <c r="G558" t="str">
        <f>T("ST GEORGE")</f>
        <v>ST GEORGE</v>
      </c>
      <c r="H558" t="str">
        <f>T("UT ")</f>
        <v>UT </v>
      </c>
      <c r="I558" s="1">
        <f>N(847710720)</f>
        <v>847710720</v>
      </c>
      <c r="J558" s="1">
        <f>N(6023793318)</f>
        <v>6023793318</v>
      </c>
      <c r="K558" s="1" t="s">
        <v>0</v>
      </c>
    </row>
    <row r="559" spans="1:11" ht="12.75">
      <c r="A559" s="1" t="s">
        <v>11</v>
      </c>
      <c r="B559" t="str">
        <f>T("LAND OPERATIONS")</f>
        <v>LAND OPERATIONS</v>
      </c>
      <c r="C559" t="str">
        <f>T("SOUTHERN PAIUTE FIELD OFFICE")</f>
        <v>SOUTHERN PAIUTE FIELD OFFICE</v>
      </c>
      <c r="D559" t="str">
        <f>T("PO BOX 720")</f>
        <v>PO BOX 720</v>
      </c>
      <c r="E559" s="1" t="s">
        <v>0</v>
      </c>
      <c r="F559" t="s">
        <v>0</v>
      </c>
      <c r="G559" t="str">
        <f>T("ST GEORGE")</f>
        <v>ST GEORGE</v>
      </c>
      <c r="H559" t="str">
        <f>T("UT ")</f>
        <v>UT </v>
      </c>
      <c r="I559" s="1">
        <f>N(847710720)</f>
        <v>847710720</v>
      </c>
      <c r="J559" s="1">
        <f>N(6023793318)</f>
        <v>6023793318</v>
      </c>
      <c r="K559" s="1" t="s">
        <v>0</v>
      </c>
    </row>
    <row r="560" spans="1:11" ht="12.75">
      <c r="A560" s="1" t="s">
        <v>11</v>
      </c>
      <c r="B560" t="str">
        <f>T("FORESTRY")</f>
        <v>FORESTRY</v>
      </c>
      <c r="C560" t="str">
        <f>T("SOUTHERN PAIUTE FIELD OFFICE")</f>
        <v>SOUTHERN PAIUTE FIELD OFFICE</v>
      </c>
      <c r="D560" t="str">
        <f>T("PO BOX 720")</f>
        <v>PO BOX 720</v>
      </c>
      <c r="E560" s="1" t="s">
        <v>0</v>
      </c>
      <c r="F560" t="s">
        <v>0</v>
      </c>
      <c r="G560" t="str">
        <f>T("ST GEORGE")</f>
        <v>ST GEORGE</v>
      </c>
      <c r="H560" t="str">
        <f>T("UT ")</f>
        <v>UT </v>
      </c>
      <c r="I560" s="1">
        <f>N(847710720)</f>
        <v>847710720</v>
      </c>
      <c r="J560" s="1">
        <f>N(6023793318)</f>
        <v>6023793318</v>
      </c>
      <c r="K560" s="1" t="s">
        <v>0</v>
      </c>
    </row>
    <row r="561" spans="1:11" ht="12.75">
      <c r="A561" s="1" t="s">
        <v>11</v>
      </c>
      <c r="B561" t="str">
        <f>T("SELF DETERIMATION")</f>
        <v>SELF DETERIMATION</v>
      </c>
      <c r="C561" t="str">
        <f>T("PO BOX 10")</f>
        <v>PO BOX 10</v>
      </c>
      <c r="D561" t="s">
        <v>0</v>
      </c>
      <c r="E561" s="1" t="s">
        <v>0</v>
      </c>
      <c r="F561" t="s">
        <v>0</v>
      </c>
      <c r="G561" t="str">
        <f aca="true" t="shared" si="98" ref="G561:G566">T("PHOENIX")</f>
        <v>PHOENIX</v>
      </c>
      <c r="H561" t="str">
        <f aca="true" t="shared" si="99" ref="H561:H566">T("AZ ")</f>
        <v>AZ </v>
      </c>
      <c r="I561" s="1">
        <f aca="true" t="shared" si="100" ref="I561:I566">N(850010010)</f>
        <v>850010010</v>
      </c>
      <c r="J561" s="1">
        <f>N(6023793318)</f>
        <v>6023793318</v>
      </c>
      <c r="K561" s="1" t="s">
        <v>0</v>
      </c>
    </row>
    <row r="562" spans="1:11" ht="12.75">
      <c r="A562" s="1" t="s">
        <v>11</v>
      </c>
      <c r="B562" t="str">
        <f>T("HOUSING")</f>
        <v>HOUSING</v>
      </c>
      <c r="C562" t="str">
        <f>T("WESTERN REGIONAL OFC")</f>
        <v>WESTERN REGIONAL OFC</v>
      </c>
      <c r="D562" t="str">
        <f>T("P O BOX 10")</f>
        <v>P O BOX 10</v>
      </c>
      <c r="E562" s="1" t="s">
        <v>0</v>
      </c>
      <c r="F562" t="s">
        <v>0</v>
      </c>
      <c r="G562" t="str">
        <f t="shared" si="98"/>
        <v>PHOENIX</v>
      </c>
      <c r="H562" t="str">
        <f t="shared" si="99"/>
        <v>AZ </v>
      </c>
      <c r="I562" s="1">
        <f t="shared" si="100"/>
        <v>850010010</v>
      </c>
      <c r="J562" s="1">
        <f>N(60237933318)</f>
        <v>60237933318</v>
      </c>
      <c r="K562" s="1" t="s">
        <v>0</v>
      </c>
    </row>
    <row r="563" spans="1:11" ht="12.75">
      <c r="A563" s="1" t="s">
        <v>11</v>
      </c>
      <c r="B563" t="str">
        <f>T("HUMAN SERVICES")</f>
        <v>HUMAN SERVICES</v>
      </c>
      <c r="C563" t="str">
        <f>T("WESTERN REGIONAL OFC")</f>
        <v>WESTERN REGIONAL OFC</v>
      </c>
      <c r="D563" t="str">
        <f>T("P O BOX")</f>
        <v>P O BOX</v>
      </c>
      <c r="E563" s="1">
        <f>N(10)</f>
        <v>10</v>
      </c>
      <c r="F563" t="s">
        <v>0</v>
      </c>
      <c r="G563" t="str">
        <f t="shared" si="98"/>
        <v>PHOENIX</v>
      </c>
      <c r="H563" t="str">
        <f t="shared" si="99"/>
        <v>AZ </v>
      </c>
      <c r="I563" s="1">
        <f t="shared" si="100"/>
        <v>850010010</v>
      </c>
      <c r="J563" s="1">
        <f>N(6023793318)</f>
        <v>6023793318</v>
      </c>
      <c r="K563" s="1" t="s">
        <v>0</v>
      </c>
    </row>
    <row r="564" spans="1:11" ht="12.75">
      <c r="A564" s="1" t="s">
        <v>11</v>
      </c>
      <c r="B564" t="str">
        <f>T("DIV OF TRANSPORTATION")</f>
        <v>DIV OF TRANSPORTATION</v>
      </c>
      <c r="C564" t="str">
        <f>T("PO BOX 10")</f>
        <v>PO BOX 10</v>
      </c>
      <c r="D564" t="s">
        <v>0</v>
      </c>
      <c r="E564" s="1" t="s">
        <v>0</v>
      </c>
      <c r="F564" t="s">
        <v>0</v>
      </c>
      <c r="G564" t="str">
        <f t="shared" si="98"/>
        <v>PHOENIX</v>
      </c>
      <c r="H564" t="str">
        <f t="shared" si="99"/>
        <v>AZ </v>
      </c>
      <c r="I564" s="1">
        <f t="shared" si="100"/>
        <v>850010010</v>
      </c>
      <c r="J564" s="1">
        <f>N(6023793318)</f>
        <v>6023793318</v>
      </c>
      <c r="K564" s="1" t="s">
        <v>0</v>
      </c>
    </row>
    <row r="565" spans="1:11" ht="12.75">
      <c r="A565" s="1" t="s">
        <v>11</v>
      </c>
      <c r="B565" t="str">
        <f>T("CONSTRUCTION")</f>
        <v>CONSTRUCTION</v>
      </c>
      <c r="C565" t="str">
        <f>T("PO BOX 10")</f>
        <v>PO BOX 10</v>
      </c>
      <c r="D565" t="s">
        <v>0</v>
      </c>
      <c r="E565" s="1" t="s">
        <v>0</v>
      </c>
      <c r="F565" t="s">
        <v>0</v>
      </c>
      <c r="G565" t="str">
        <f t="shared" si="98"/>
        <v>PHOENIX</v>
      </c>
      <c r="H565" t="str">
        <f t="shared" si="99"/>
        <v>AZ </v>
      </c>
      <c r="I565" s="1">
        <f t="shared" si="100"/>
        <v>850010010</v>
      </c>
      <c r="J565" s="1">
        <f>N(6023793318)</f>
        <v>6023793318</v>
      </c>
      <c r="K565" s="1" t="s">
        <v>0</v>
      </c>
    </row>
    <row r="566" spans="1:11" ht="12.75">
      <c r="A566" s="1" t="s">
        <v>11</v>
      </c>
      <c r="B566" t="str">
        <f>T(" PLANNING &amp; DESIGN")</f>
        <v> PLANNING &amp; DESIGN</v>
      </c>
      <c r="C566" t="str">
        <f>T("PO BOX 10")</f>
        <v>PO BOX 10</v>
      </c>
      <c r="D566" t="s">
        <v>0</v>
      </c>
      <c r="E566" s="1" t="s">
        <v>0</v>
      </c>
      <c r="F566" t="s">
        <v>0</v>
      </c>
      <c r="G566" t="str">
        <f t="shared" si="98"/>
        <v>PHOENIX</v>
      </c>
      <c r="H566" t="str">
        <f t="shared" si="99"/>
        <v>AZ </v>
      </c>
      <c r="I566" s="1">
        <f t="shared" si="100"/>
        <v>850010010</v>
      </c>
      <c r="J566" s="1">
        <f>N(6023793318)</f>
        <v>6023793318</v>
      </c>
      <c r="K566" s="1" t="s">
        <v>0</v>
      </c>
    </row>
    <row r="567" spans="1:11" ht="12.75">
      <c r="A567" s="1" t="s">
        <v>11</v>
      </c>
      <c r="B567" t="str">
        <f>T("DIV OF FISCAL SVS")</f>
        <v>DIV OF FISCAL SVS</v>
      </c>
      <c r="C567" t="str">
        <f aca="true" t="shared" si="101" ref="C567:C630">T("2051 MERCATOR DRIVE")</f>
        <v>2051 MERCATOR DRIVE</v>
      </c>
      <c r="D567" t="s">
        <v>0</v>
      </c>
      <c r="E567" s="1" t="s">
        <v>0</v>
      </c>
      <c r="F567" t="s">
        <v>0</v>
      </c>
      <c r="G567" t="str">
        <f aca="true" t="shared" si="102" ref="G567:G630">T("RESTON")</f>
        <v>RESTON</v>
      </c>
      <c r="H567" t="str">
        <f aca="true" t="shared" si="103" ref="H567:H630">T("VA ")</f>
        <v>VA </v>
      </c>
      <c r="I567" s="1">
        <f aca="true" t="shared" si="104" ref="I567:I630">N(20191)</f>
        <v>20191</v>
      </c>
      <c r="J567" s="1">
        <f aca="true" t="shared" si="105" ref="J567:J630">N(7033906328)</f>
        <v>7033906328</v>
      </c>
      <c r="K567" s="1">
        <f aca="true" t="shared" si="106" ref="K567:K591">N(7033906582)</f>
        <v>7033906582</v>
      </c>
    </row>
    <row r="568" spans="1:11" ht="12.75">
      <c r="A568" s="1" t="s">
        <v>11</v>
      </c>
      <c r="B568" t="str">
        <f>T("ACCOUNTING OPS - E. OKLAHOMA")</f>
        <v>ACCOUNTING OPS - E. OKLAHOMA</v>
      </c>
      <c r="C568" t="str">
        <f t="shared" si="101"/>
        <v>2051 MERCATOR DRIVE</v>
      </c>
      <c r="D568" t="s">
        <v>0</v>
      </c>
      <c r="E568" s="1" t="s">
        <v>0</v>
      </c>
      <c r="F568" t="s">
        <v>0</v>
      </c>
      <c r="G568" t="str">
        <f t="shared" si="102"/>
        <v>RESTON</v>
      </c>
      <c r="H568" t="str">
        <f t="shared" si="103"/>
        <v>VA </v>
      </c>
      <c r="I568" s="1">
        <f t="shared" si="104"/>
        <v>20191</v>
      </c>
      <c r="J568" s="1">
        <f t="shared" si="105"/>
        <v>7033906328</v>
      </c>
      <c r="K568" s="1">
        <f t="shared" si="106"/>
        <v>7033906582</v>
      </c>
    </row>
    <row r="569" spans="1:11" ht="12.75">
      <c r="A569" s="1" t="s">
        <v>11</v>
      </c>
      <c r="B569" t="str">
        <f>T("ACCOUNTING OPS - MIDWEST")</f>
        <v>ACCOUNTING OPS - MIDWEST</v>
      </c>
      <c r="C569" t="str">
        <f t="shared" si="101"/>
        <v>2051 MERCATOR DRIVE</v>
      </c>
      <c r="D569" t="s">
        <v>0</v>
      </c>
      <c r="E569" s="1" t="s">
        <v>0</v>
      </c>
      <c r="F569" t="s">
        <v>0</v>
      </c>
      <c r="G569" t="str">
        <f t="shared" si="102"/>
        <v>RESTON</v>
      </c>
      <c r="H569" t="str">
        <f t="shared" si="103"/>
        <v>VA </v>
      </c>
      <c r="I569" s="1">
        <f t="shared" si="104"/>
        <v>20191</v>
      </c>
      <c r="J569" s="1">
        <f t="shared" si="105"/>
        <v>7033906328</v>
      </c>
      <c r="K569" s="1">
        <f t="shared" si="106"/>
        <v>7033906582</v>
      </c>
    </row>
    <row r="570" spans="1:11" ht="12.75">
      <c r="A570" s="1" t="s">
        <v>11</v>
      </c>
      <c r="B570" t="str">
        <f>T("ACCOUNTING OPS - NAVAJO")</f>
        <v>ACCOUNTING OPS - NAVAJO</v>
      </c>
      <c r="C570" t="str">
        <f t="shared" si="101"/>
        <v>2051 MERCATOR DRIVE</v>
      </c>
      <c r="D570" t="s">
        <v>0</v>
      </c>
      <c r="E570" s="1" t="s">
        <v>0</v>
      </c>
      <c r="F570" t="s">
        <v>0</v>
      </c>
      <c r="G570" t="str">
        <f t="shared" si="102"/>
        <v>RESTON</v>
      </c>
      <c r="H570" t="str">
        <f t="shared" si="103"/>
        <v>VA </v>
      </c>
      <c r="I570" s="1">
        <f t="shared" si="104"/>
        <v>20191</v>
      </c>
      <c r="J570" s="1">
        <f t="shared" si="105"/>
        <v>7033906328</v>
      </c>
      <c r="K570" s="1">
        <f t="shared" si="106"/>
        <v>7033906582</v>
      </c>
    </row>
    <row r="571" spans="1:11" ht="12.75">
      <c r="A571" s="1" t="s">
        <v>11</v>
      </c>
      <c r="B571" t="str">
        <f>T("ACCOUNTING OPS - ROCKY MTN")</f>
        <v>ACCOUNTING OPS - ROCKY MTN</v>
      </c>
      <c r="C571" t="str">
        <f t="shared" si="101"/>
        <v>2051 MERCATOR DRIVE</v>
      </c>
      <c r="D571" t="s">
        <v>0</v>
      </c>
      <c r="E571" s="1" t="s">
        <v>0</v>
      </c>
      <c r="F571" t="s">
        <v>0</v>
      </c>
      <c r="G571" t="str">
        <f t="shared" si="102"/>
        <v>RESTON</v>
      </c>
      <c r="H571" t="str">
        <f t="shared" si="103"/>
        <v>VA </v>
      </c>
      <c r="I571" s="1">
        <f t="shared" si="104"/>
        <v>20191</v>
      </c>
      <c r="J571" s="1">
        <f t="shared" si="105"/>
        <v>7033906328</v>
      </c>
      <c r="K571" s="1">
        <f t="shared" si="106"/>
        <v>7033906582</v>
      </c>
    </row>
    <row r="572" spans="1:11" ht="12.75">
      <c r="A572" s="1" t="s">
        <v>11</v>
      </c>
      <c r="B572" t="str">
        <f>T("ACCOUNTING OPS - S PLAINS")</f>
        <v>ACCOUNTING OPS - S PLAINS</v>
      </c>
      <c r="C572" t="str">
        <f t="shared" si="101"/>
        <v>2051 MERCATOR DRIVE</v>
      </c>
      <c r="D572" t="s">
        <v>0</v>
      </c>
      <c r="E572" s="1" t="s">
        <v>0</v>
      </c>
      <c r="F572" t="s">
        <v>0</v>
      </c>
      <c r="G572" t="str">
        <f t="shared" si="102"/>
        <v>RESTON</v>
      </c>
      <c r="H572" t="str">
        <f t="shared" si="103"/>
        <v>VA </v>
      </c>
      <c r="I572" s="1">
        <f t="shared" si="104"/>
        <v>20191</v>
      </c>
      <c r="J572" s="1">
        <f t="shared" si="105"/>
        <v>7033906328</v>
      </c>
      <c r="K572" s="1">
        <f t="shared" si="106"/>
        <v>7033906582</v>
      </c>
    </row>
    <row r="573" spans="1:11" ht="12.75">
      <c r="A573" s="1" t="s">
        <v>11</v>
      </c>
      <c r="B573" t="str">
        <f>T("ACCOUNTING OPS - SOUTHWEST")</f>
        <v>ACCOUNTING OPS - SOUTHWEST</v>
      </c>
      <c r="C573" t="str">
        <f t="shared" si="101"/>
        <v>2051 MERCATOR DRIVE</v>
      </c>
      <c r="D573" t="s">
        <v>0</v>
      </c>
      <c r="E573" s="1" t="s">
        <v>0</v>
      </c>
      <c r="F573" t="s">
        <v>0</v>
      </c>
      <c r="G573" t="str">
        <f t="shared" si="102"/>
        <v>RESTON</v>
      </c>
      <c r="H573" t="str">
        <f t="shared" si="103"/>
        <v>VA </v>
      </c>
      <c r="I573" s="1">
        <f t="shared" si="104"/>
        <v>20191</v>
      </c>
      <c r="J573" s="1">
        <f t="shared" si="105"/>
        <v>7033906328</v>
      </c>
      <c r="K573" s="1">
        <f t="shared" si="106"/>
        <v>7033906582</v>
      </c>
    </row>
    <row r="574" spans="1:11" ht="12.75">
      <c r="A574" s="1" t="s">
        <v>11</v>
      </c>
      <c r="B574" t="str">
        <f>T("ACCOUNTING OPS - WESTERN")</f>
        <v>ACCOUNTING OPS - WESTERN</v>
      </c>
      <c r="C574" t="str">
        <f t="shared" si="101"/>
        <v>2051 MERCATOR DRIVE</v>
      </c>
      <c r="D574" t="s">
        <v>0</v>
      </c>
      <c r="E574" s="1" t="s">
        <v>0</v>
      </c>
      <c r="F574" t="s">
        <v>0</v>
      </c>
      <c r="G574" t="str">
        <f t="shared" si="102"/>
        <v>RESTON</v>
      </c>
      <c r="H574" t="str">
        <f t="shared" si="103"/>
        <v>VA </v>
      </c>
      <c r="I574" s="1">
        <f t="shared" si="104"/>
        <v>20191</v>
      </c>
      <c r="J574" s="1">
        <f t="shared" si="105"/>
        <v>7033906328</v>
      </c>
      <c r="K574" s="1">
        <f t="shared" si="106"/>
        <v>7033906582</v>
      </c>
    </row>
    <row r="575" spans="1:11" ht="12.75">
      <c r="A575" s="1" t="s">
        <v>11</v>
      </c>
      <c r="B575" t="str">
        <f>T("OFFICE OF ACQ &amp; PROP MGMT")</f>
        <v>OFFICE OF ACQ &amp; PROP MGMT</v>
      </c>
      <c r="C575" t="str">
        <f t="shared" si="101"/>
        <v>2051 MERCATOR DRIVE</v>
      </c>
      <c r="D575" t="s">
        <v>0</v>
      </c>
      <c r="E575" s="1" t="s">
        <v>0</v>
      </c>
      <c r="F575" t="s">
        <v>0</v>
      </c>
      <c r="G575" t="str">
        <f t="shared" si="102"/>
        <v>RESTON</v>
      </c>
      <c r="H575" t="str">
        <f t="shared" si="103"/>
        <v>VA </v>
      </c>
      <c r="I575" s="1">
        <f t="shared" si="104"/>
        <v>20191</v>
      </c>
      <c r="J575" s="1">
        <f t="shared" si="105"/>
        <v>7033906328</v>
      </c>
      <c r="K575" s="1">
        <f t="shared" si="106"/>
        <v>7033906582</v>
      </c>
    </row>
    <row r="576" spans="1:11" ht="12.75">
      <c r="A576" s="1" t="s">
        <v>11</v>
      </c>
      <c r="B576" t="str">
        <f>T("ACQUISITION - RESTON")</f>
        <v>ACQUISITION - RESTON</v>
      </c>
      <c r="C576" t="str">
        <f t="shared" si="101"/>
        <v>2051 MERCATOR DRIVE</v>
      </c>
      <c r="D576" t="s">
        <v>0</v>
      </c>
      <c r="E576" s="1" t="s">
        <v>0</v>
      </c>
      <c r="F576" t="s">
        <v>0</v>
      </c>
      <c r="G576" t="str">
        <f t="shared" si="102"/>
        <v>RESTON</v>
      </c>
      <c r="H576" t="str">
        <f t="shared" si="103"/>
        <v>VA </v>
      </c>
      <c r="I576" s="1">
        <f t="shared" si="104"/>
        <v>20191</v>
      </c>
      <c r="J576" s="1">
        <f t="shared" si="105"/>
        <v>7033906328</v>
      </c>
      <c r="K576" s="1">
        <f t="shared" si="106"/>
        <v>7033906582</v>
      </c>
    </row>
    <row r="577" spans="1:11" ht="12.75">
      <c r="A577" s="1" t="s">
        <v>11</v>
      </c>
      <c r="B577" t="str">
        <f>T("ACQUISITION - OFMC")</f>
        <v>ACQUISITION - OFMC</v>
      </c>
      <c r="C577" t="str">
        <f t="shared" si="101"/>
        <v>2051 MERCATOR DRIVE</v>
      </c>
      <c r="D577" t="s">
        <v>0</v>
      </c>
      <c r="E577" s="1" t="s">
        <v>0</v>
      </c>
      <c r="F577" t="s">
        <v>0</v>
      </c>
      <c r="G577" t="str">
        <f t="shared" si="102"/>
        <v>RESTON</v>
      </c>
      <c r="H577" t="str">
        <f t="shared" si="103"/>
        <v>VA </v>
      </c>
      <c r="I577" s="1">
        <f t="shared" si="104"/>
        <v>20191</v>
      </c>
      <c r="J577" s="1">
        <f t="shared" si="105"/>
        <v>7033906328</v>
      </c>
      <c r="K577" s="1">
        <f t="shared" si="106"/>
        <v>7033906582</v>
      </c>
    </row>
    <row r="578" spans="1:11" ht="12.75">
      <c r="A578" s="1" t="s">
        <v>11</v>
      </c>
      <c r="B578" t="str">
        <f>T("ACQUISITION - OLES")</f>
        <v>ACQUISITION - OLES</v>
      </c>
      <c r="C578" t="str">
        <f t="shared" si="101"/>
        <v>2051 MERCATOR DRIVE</v>
      </c>
      <c r="D578" t="s">
        <v>0</v>
      </c>
      <c r="E578" s="1" t="s">
        <v>0</v>
      </c>
      <c r="F578" t="s">
        <v>0</v>
      </c>
      <c r="G578" t="str">
        <f t="shared" si="102"/>
        <v>RESTON</v>
      </c>
      <c r="H578" t="str">
        <f t="shared" si="103"/>
        <v>VA </v>
      </c>
      <c r="I578" s="1">
        <f t="shared" si="104"/>
        <v>20191</v>
      </c>
      <c r="J578" s="1">
        <f t="shared" si="105"/>
        <v>7033906328</v>
      </c>
      <c r="K578" s="1">
        <f t="shared" si="106"/>
        <v>7033906582</v>
      </c>
    </row>
    <row r="579" spans="1:11" ht="12.75">
      <c r="A579" s="1" t="s">
        <v>11</v>
      </c>
      <c r="B579" t="str">
        <f>T("ACQUISITION - ALASKA")</f>
        <v>ACQUISITION - ALASKA</v>
      </c>
      <c r="C579" t="str">
        <f t="shared" si="101"/>
        <v>2051 MERCATOR DRIVE</v>
      </c>
      <c r="D579" t="s">
        <v>0</v>
      </c>
      <c r="E579" s="1" t="s">
        <v>0</v>
      </c>
      <c r="F579" t="s">
        <v>0</v>
      </c>
      <c r="G579" t="str">
        <f t="shared" si="102"/>
        <v>RESTON</v>
      </c>
      <c r="H579" t="str">
        <f t="shared" si="103"/>
        <v>VA </v>
      </c>
      <c r="I579" s="1">
        <f t="shared" si="104"/>
        <v>20191</v>
      </c>
      <c r="J579" s="1">
        <f t="shared" si="105"/>
        <v>7033906328</v>
      </c>
      <c r="K579" s="1">
        <f t="shared" si="106"/>
        <v>7033906582</v>
      </c>
    </row>
    <row r="580" spans="1:11" ht="12.75">
      <c r="A580" s="1" t="s">
        <v>11</v>
      </c>
      <c r="B580" t="str">
        <f>T("ACQUISITION - EASTERN")</f>
        <v>ACQUISITION - EASTERN</v>
      </c>
      <c r="C580" t="str">
        <f t="shared" si="101"/>
        <v>2051 MERCATOR DRIVE</v>
      </c>
      <c r="D580" t="s">
        <v>0</v>
      </c>
      <c r="E580" s="1" t="s">
        <v>0</v>
      </c>
      <c r="F580" t="s">
        <v>0</v>
      </c>
      <c r="G580" t="str">
        <f t="shared" si="102"/>
        <v>RESTON</v>
      </c>
      <c r="H580" t="str">
        <f t="shared" si="103"/>
        <v>VA </v>
      </c>
      <c r="I580" s="1">
        <f t="shared" si="104"/>
        <v>20191</v>
      </c>
      <c r="J580" s="1">
        <f t="shared" si="105"/>
        <v>7033906328</v>
      </c>
      <c r="K580" s="1">
        <f t="shared" si="106"/>
        <v>7033906582</v>
      </c>
    </row>
    <row r="581" spans="1:11" ht="12.75">
      <c r="A581" s="1" t="s">
        <v>11</v>
      </c>
      <c r="B581" t="str">
        <f>T("ACQUISITION - E OKLAHOMA")</f>
        <v>ACQUISITION - E OKLAHOMA</v>
      </c>
      <c r="C581" t="str">
        <f t="shared" si="101"/>
        <v>2051 MERCATOR DRIVE</v>
      </c>
      <c r="D581" t="s">
        <v>0</v>
      </c>
      <c r="E581" s="1" t="s">
        <v>0</v>
      </c>
      <c r="F581" t="s">
        <v>0</v>
      </c>
      <c r="G581" t="str">
        <f t="shared" si="102"/>
        <v>RESTON</v>
      </c>
      <c r="H581" t="str">
        <f t="shared" si="103"/>
        <v>VA </v>
      </c>
      <c r="I581" s="1">
        <f t="shared" si="104"/>
        <v>20191</v>
      </c>
      <c r="J581" s="1">
        <f t="shared" si="105"/>
        <v>7033906328</v>
      </c>
      <c r="K581" s="1">
        <f t="shared" si="106"/>
        <v>7033906582</v>
      </c>
    </row>
    <row r="582" spans="1:11" ht="12.75">
      <c r="A582" s="1" t="s">
        <v>11</v>
      </c>
      <c r="B582" t="str">
        <f>T("ACQUISITION - GREAT PLAINS")</f>
        <v>ACQUISITION - GREAT PLAINS</v>
      </c>
      <c r="C582" t="str">
        <f t="shared" si="101"/>
        <v>2051 MERCATOR DRIVE</v>
      </c>
      <c r="D582" t="s">
        <v>0</v>
      </c>
      <c r="E582" s="1" t="s">
        <v>0</v>
      </c>
      <c r="F582" t="s">
        <v>0</v>
      </c>
      <c r="G582" t="str">
        <f t="shared" si="102"/>
        <v>RESTON</v>
      </c>
      <c r="H582" t="str">
        <f t="shared" si="103"/>
        <v>VA </v>
      </c>
      <c r="I582" s="1">
        <f t="shared" si="104"/>
        <v>20191</v>
      </c>
      <c r="J582" s="1">
        <f t="shared" si="105"/>
        <v>7033906328</v>
      </c>
      <c r="K582" s="1">
        <f t="shared" si="106"/>
        <v>7033906582</v>
      </c>
    </row>
    <row r="583" spans="1:11" ht="12.75">
      <c r="A583" s="1" t="s">
        <v>11</v>
      </c>
      <c r="B583" t="str">
        <f>T("ACQUISITION - MIDWEST")</f>
        <v>ACQUISITION - MIDWEST</v>
      </c>
      <c r="C583" t="str">
        <f t="shared" si="101"/>
        <v>2051 MERCATOR DRIVE</v>
      </c>
      <c r="D583" t="s">
        <v>0</v>
      </c>
      <c r="E583" s="1" t="s">
        <v>0</v>
      </c>
      <c r="F583" t="s">
        <v>0</v>
      </c>
      <c r="G583" t="str">
        <f t="shared" si="102"/>
        <v>RESTON</v>
      </c>
      <c r="H583" t="str">
        <f t="shared" si="103"/>
        <v>VA </v>
      </c>
      <c r="I583" s="1">
        <f t="shared" si="104"/>
        <v>20191</v>
      </c>
      <c r="J583" s="1">
        <f t="shared" si="105"/>
        <v>7033906328</v>
      </c>
      <c r="K583" s="1">
        <f t="shared" si="106"/>
        <v>7033906582</v>
      </c>
    </row>
    <row r="584" spans="1:11" ht="12.75">
      <c r="A584" s="1" t="s">
        <v>11</v>
      </c>
      <c r="B584" t="str">
        <f>T("ACQUISITION - NAVAJO")</f>
        <v>ACQUISITION - NAVAJO</v>
      </c>
      <c r="C584" t="str">
        <f t="shared" si="101"/>
        <v>2051 MERCATOR DRIVE</v>
      </c>
      <c r="D584" t="s">
        <v>0</v>
      </c>
      <c r="E584" s="1" t="s">
        <v>0</v>
      </c>
      <c r="F584" t="s">
        <v>0</v>
      </c>
      <c r="G584" t="str">
        <f t="shared" si="102"/>
        <v>RESTON</v>
      </c>
      <c r="H584" t="str">
        <f t="shared" si="103"/>
        <v>VA </v>
      </c>
      <c r="I584" s="1">
        <f t="shared" si="104"/>
        <v>20191</v>
      </c>
      <c r="J584" s="1">
        <f t="shared" si="105"/>
        <v>7033906328</v>
      </c>
      <c r="K584" s="1">
        <f t="shared" si="106"/>
        <v>7033906582</v>
      </c>
    </row>
    <row r="585" spans="1:11" ht="12.75">
      <c r="A585" s="1" t="s">
        <v>11</v>
      </c>
      <c r="B585" t="str">
        <f>T("ACQUISITION - NORTHWEST")</f>
        <v>ACQUISITION - NORTHWEST</v>
      </c>
      <c r="C585" t="str">
        <f t="shared" si="101"/>
        <v>2051 MERCATOR DRIVE</v>
      </c>
      <c r="D585" t="s">
        <v>0</v>
      </c>
      <c r="E585" s="1" t="s">
        <v>0</v>
      </c>
      <c r="F585" t="s">
        <v>0</v>
      </c>
      <c r="G585" t="str">
        <f t="shared" si="102"/>
        <v>RESTON</v>
      </c>
      <c r="H585" t="str">
        <f t="shared" si="103"/>
        <v>VA </v>
      </c>
      <c r="I585" s="1">
        <f t="shared" si="104"/>
        <v>20191</v>
      </c>
      <c r="J585" s="1">
        <f t="shared" si="105"/>
        <v>7033906328</v>
      </c>
      <c r="K585" s="1">
        <f t="shared" si="106"/>
        <v>7033906582</v>
      </c>
    </row>
    <row r="586" spans="1:11" ht="12.75">
      <c r="A586" s="1" t="s">
        <v>11</v>
      </c>
      <c r="B586" t="str">
        <f>T("ACQUISITION - ROCKY MOUNTAIN")</f>
        <v>ACQUISITION - ROCKY MOUNTAIN</v>
      </c>
      <c r="C586" t="str">
        <f t="shared" si="101"/>
        <v>2051 MERCATOR DRIVE</v>
      </c>
      <c r="D586" t="s">
        <v>0</v>
      </c>
      <c r="E586" s="1" t="s">
        <v>0</v>
      </c>
      <c r="F586" t="s">
        <v>0</v>
      </c>
      <c r="G586" t="str">
        <f t="shared" si="102"/>
        <v>RESTON</v>
      </c>
      <c r="H586" t="str">
        <f t="shared" si="103"/>
        <v>VA </v>
      </c>
      <c r="I586" s="1">
        <f t="shared" si="104"/>
        <v>20191</v>
      </c>
      <c r="J586" s="1">
        <f t="shared" si="105"/>
        <v>7033906328</v>
      </c>
      <c r="K586" s="1">
        <f t="shared" si="106"/>
        <v>7033906582</v>
      </c>
    </row>
    <row r="587" spans="1:11" ht="12.75">
      <c r="A587" s="1" t="s">
        <v>11</v>
      </c>
      <c r="B587" t="str">
        <f>T("ACQUISITION - SOUTHERN PLAINS")</f>
        <v>ACQUISITION - SOUTHERN PLAINS</v>
      </c>
      <c r="C587" t="str">
        <f t="shared" si="101"/>
        <v>2051 MERCATOR DRIVE</v>
      </c>
      <c r="D587" t="s">
        <v>0</v>
      </c>
      <c r="E587" s="1" t="s">
        <v>0</v>
      </c>
      <c r="F587" t="s">
        <v>0</v>
      </c>
      <c r="G587" t="str">
        <f t="shared" si="102"/>
        <v>RESTON</v>
      </c>
      <c r="H587" t="str">
        <f t="shared" si="103"/>
        <v>VA </v>
      </c>
      <c r="I587" s="1">
        <f t="shared" si="104"/>
        <v>20191</v>
      </c>
      <c r="J587" s="1">
        <f t="shared" si="105"/>
        <v>7033906328</v>
      </c>
      <c r="K587" s="1">
        <f t="shared" si="106"/>
        <v>7033906582</v>
      </c>
    </row>
    <row r="588" spans="1:11" ht="12.75">
      <c r="A588" s="1" t="s">
        <v>11</v>
      </c>
      <c r="B588" t="str">
        <f>T("ACQUISITION - SOUTHWEST")</f>
        <v>ACQUISITION - SOUTHWEST</v>
      </c>
      <c r="C588" t="str">
        <f t="shared" si="101"/>
        <v>2051 MERCATOR DRIVE</v>
      </c>
      <c r="D588" t="s">
        <v>0</v>
      </c>
      <c r="E588" s="1" t="s">
        <v>0</v>
      </c>
      <c r="F588" t="s">
        <v>0</v>
      </c>
      <c r="G588" t="str">
        <f t="shared" si="102"/>
        <v>RESTON</v>
      </c>
      <c r="H588" t="str">
        <f t="shared" si="103"/>
        <v>VA </v>
      </c>
      <c r="I588" s="1">
        <f t="shared" si="104"/>
        <v>20191</v>
      </c>
      <c r="J588" s="1">
        <f t="shared" si="105"/>
        <v>7033906328</v>
      </c>
      <c r="K588" s="1">
        <f t="shared" si="106"/>
        <v>7033906582</v>
      </c>
    </row>
    <row r="589" spans="1:11" ht="12.75">
      <c r="A589" s="1" t="s">
        <v>11</v>
      </c>
      <c r="B589" t="str">
        <f>T("ACQUISITION - WESTERN")</f>
        <v>ACQUISITION - WESTERN</v>
      </c>
      <c r="C589" t="str">
        <f t="shared" si="101"/>
        <v>2051 MERCATOR DRIVE</v>
      </c>
      <c r="D589" t="s">
        <v>0</v>
      </c>
      <c r="E589" s="1" t="s">
        <v>0</v>
      </c>
      <c r="F589" t="s">
        <v>0</v>
      </c>
      <c r="G589" t="str">
        <f t="shared" si="102"/>
        <v>RESTON</v>
      </c>
      <c r="H589" t="str">
        <f t="shared" si="103"/>
        <v>VA </v>
      </c>
      <c r="I589" s="1">
        <f t="shared" si="104"/>
        <v>20191</v>
      </c>
      <c r="J589" s="1">
        <f t="shared" si="105"/>
        <v>7033906328</v>
      </c>
      <c r="K589" s="1">
        <f t="shared" si="106"/>
        <v>7033906582</v>
      </c>
    </row>
    <row r="590" spans="1:11" ht="12.75">
      <c r="A590" s="1" t="s">
        <v>11</v>
      </c>
      <c r="B590" t="str">
        <f>T("ACQUISITION--OIEP")</f>
        <v>ACQUISITION--OIEP</v>
      </c>
      <c r="C590" t="str">
        <f t="shared" si="101"/>
        <v>2051 MERCATOR DRIVE</v>
      </c>
      <c r="D590" t="s">
        <v>0</v>
      </c>
      <c r="E590" s="1" t="s">
        <v>0</v>
      </c>
      <c r="F590" t="s">
        <v>0</v>
      </c>
      <c r="G590" t="str">
        <f t="shared" si="102"/>
        <v>RESTON</v>
      </c>
      <c r="H590" t="str">
        <f t="shared" si="103"/>
        <v>VA </v>
      </c>
      <c r="I590" s="1">
        <f t="shared" si="104"/>
        <v>20191</v>
      </c>
      <c r="J590" s="1">
        <f t="shared" si="105"/>
        <v>7033906328</v>
      </c>
      <c r="K590" s="1">
        <f t="shared" si="106"/>
        <v>7033906582</v>
      </c>
    </row>
    <row r="591" spans="1:11" ht="12.75">
      <c r="A591" s="1" t="s">
        <v>11</v>
      </c>
      <c r="B591" t="str">
        <f>T("DIVISION OF PROPERTY MGMT")</f>
        <v>DIVISION OF PROPERTY MGMT</v>
      </c>
      <c r="C591" t="str">
        <f t="shared" si="101"/>
        <v>2051 MERCATOR DRIVE</v>
      </c>
      <c r="D591" t="s">
        <v>0</v>
      </c>
      <c r="E591" s="1" t="s">
        <v>0</v>
      </c>
      <c r="F591" t="s">
        <v>0</v>
      </c>
      <c r="G591" t="str">
        <f t="shared" si="102"/>
        <v>RESTON</v>
      </c>
      <c r="H591" t="str">
        <f t="shared" si="103"/>
        <v>VA </v>
      </c>
      <c r="I591" s="1">
        <f t="shared" si="104"/>
        <v>20191</v>
      </c>
      <c r="J591" s="1">
        <f t="shared" si="105"/>
        <v>7033906328</v>
      </c>
      <c r="K591" s="1">
        <f t="shared" si="106"/>
        <v>7033906582</v>
      </c>
    </row>
    <row r="592" spans="1:11" ht="12.75">
      <c r="A592" s="1" t="s">
        <v>11</v>
      </c>
      <c r="B592" t="str">
        <f>T("PROPERTY - RESTON")</f>
        <v>PROPERTY - RESTON</v>
      </c>
      <c r="C592" t="str">
        <f t="shared" si="101"/>
        <v>2051 MERCATOR DRIVE</v>
      </c>
      <c r="D592" t="s">
        <v>0</v>
      </c>
      <c r="E592" s="1" t="s">
        <v>0</v>
      </c>
      <c r="F592" t="s">
        <v>0</v>
      </c>
      <c r="G592" t="str">
        <f t="shared" si="102"/>
        <v>RESTON</v>
      </c>
      <c r="H592" t="str">
        <f t="shared" si="103"/>
        <v>VA </v>
      </c>
      <c r="I592" s="1">
        <f t="shared" si="104"/>
        <v>20191</v>
      </c>
      <c r="J592" s="1">
        <f t="shared" si="105"/>
        <v>7033906328</v>
      </c>
      <c r="K592" s="1">
        <f>N(7033906358)</f>
        <v>7033906358</v>
      </c>
    </row>
    <row r="593" spans="1:11" ht="12.75">
      <c r="A593" s="1" t="s">
        <v>11</v>
      </c>
      <c r="B593" t="str">
        <f>T("PROPERTY - ALASKA")</f>
        <v>PROPERTY - ALASKA</v>
      </c>
      <c r="C593" t="str">
        <f t="shared" si="101"/>
        <v>2051 MERCATOR DRIVE</v>
      </c>
      <c r="D593" t="s">
        <v>0</v>
      </c>
      <c r="E593" s="1" t="s">
        <v>0</v>
      </c>
      <c r="F593" t="s">
        <v>0</v>
      </c>
      <c r="G593" t="str">
        <f t="shared" si="102"/>
        <v>RESTON</v>
      </c>
      <c r="H593" t="str">
        <f t="shared" si="103"/>
        <v>VA </v>
      </c>
      <c r="I593" s="1">
        <f t="shared" si="104"/>
        <v>20191</v>
      </c>
      <c r="J593" s="1">
        <f t="shared" si="105"/>
        <v>7033906328</v>
      </c>
      <c r="K593" s="1">
        <f aca="true" t="shared" si="107" ref="K593:K604">N(7033906582)</f>
        <v>7033906582</v>
      </c>
    </row>
    <row r="594" spans="1:11" ht="12.75">
      <c r="A594" s="1" t="s">
        <v>11</v>
      </c>
      <c r="B594" t="str">
        <f>T("PROPERTY - EASTERN")</f>
        <v>PROPERTY - EASTERN</v>
      </c>
      <c r="C594" t="str">
        <f t="shared" si="101"/>
        <v>2051 MERCATOR DRIVE</v>
      </c>
      <c r="D594" t="s">
        <v>0</v>
      </c>
      <c r="E594" s="1" t="s">
        <v>0</v>
      </c>
      <c r="F594" t="s">
        <v>0</v>
      </c>
      <c r="G594" t="str">
        <f t="shared" si="102"/>
        <v>RESTON</v>
      </c>
      <c r="H594" t="str">
        <f t="shared" si="103"/>
        <v>VA </v>
      </c>
      <c r="I594" s="1">
        <f t="shared" si="104"/>
        <v>20191</v>
      </c>
      <c r="J594" s="1">
        <f t="shared" si="105"/>
        <v>7033906328</v>
      </c>
      <c r="K594" s="1">
        <f t="shared" si="107"/>
        <v>7033906582</v>
      </c>
    </row>
    <row r="595" spans="1:11" ht="12.75">
      <c r="A595" s="1" t="s">
        <v>11</v>
      </c>
      <c r="B595" t="str">
        <f>T("PROPERTY - EASTERN OKLAHOMA")</f>
        <v>PROPERTY - EASTERN OKLAHOMA</v>
      </c>
      <c r="C595" t="str">
        <f t="shared" si="101"/>
        <v>2051 MERCATOR DRIVE</v>
      </c>
      <c r="D595" t="s">
        <v>0</v>
      </c>
      <c r="E595" s="1" t="s">
        <v>0</v>
      </c>
      <c r="F595" t="s">
        <v>0</v>
      </c>
      <c r="G595" t="str">
        <f t="shared" si="102"/>
        <v>RESTON</v>
      </c>
      <c r="H595" t="str">
        <f t="shared" si="103"/>
        <v>VA </v>
      </c>
      <c r="I595" s="1">
        <f t="shared" si="104"/>
        <v>20191</v>
      </c>
      <c r="J595" s="1">
        <f t="shared" si="105"/>
        <v>7033906328</v>
      </c>
      <c r="K595" s="1">
        <f t="shared" si="107"/>
        <v>7033906582</v>
      </c>
    </row>
    <row r="596" spans="1:11" ht="12.75">
      <c r="A596" s="1" t="s">
        <v>11</v>
      </c>
      <c r="B596" t="str">
        <f>T("PROPERTY - NAVAJO")</f>
        <v>PROPERTY - NAVAJO</v>
      </c>
      <c r="C596" t="str">
        <f t="shared" si="101"/>
        <v>2051 MERCATOR DRIVE</v>
      </c>
      <c r="D596" t="s">
        <v>0</v>
      </c>
      <c r="E596" s="1" t="s">
        <v>0</v>
      </c>
      <c r="F596" t="s">
        <v>0</v>
      </c>
      <c r="G596" t="str">
        <f t="shared" si="102"/>
        <v>RESTON</v>
      </c>
      <c r="H596" t="str">
        <f t="shared" si="103"/>
        <v>VA </v>
      </c>
      <c r="I596" s="1">
        <f t="shared" si="104"/>
        <v>20191</v>
      </c>
      <c r="J596" s="1">
        <f t="shared" si="105"/>
        <v>7033906328</v>
      </c>
      <c r="K596" s="1">
        <f t="shared" si="107"/>
        <v>7033906582</v>
      </c>
    </row>
    <row r="597" spans="1:11" ht="12.75">
      <c r="A597" s="1" t="s">
        <v>11</v>
      </c>
      <c r="B597" t="str">
        <f>T("PROPERTY - NORTHWEST")</f>
        <v>PROPERTY - NORTHWEST</v>
      </c>
      <c r="C597" t="str">
        <f t="shared" si="101"/>
        <v>2051 MERCATOR DRIVE</v>
      </c>
      <c r="D597" t="s">
        <v>0</v>
      </c>
      <c r="E597" s="1" t="s">
        <v>0</v>
      </c>
      <c r="F597" t="s">
        <v>0</v>
      </c>
      <c r="G597" t="str">
        <f t="shared" si="102"/>
        <v>RESTON</v>
      </c>
      <c r="H597" t="str">
        <f t="shared" si="103"/>
        <v>VA </v>
      </c>
      <c r="I597" s="1">
        <f t="shared" si="104"/>
        <v>20191</v>
      </c>
      <c r="J597" s="1">
        <f t="shared" si="105"/>
        <v>7033906328</v>
      </c>
      <c r="K597" s="1">
        <f t="shared" si="107"/>
        <v>7033906582</v>
      </c>
    </row>
    <row r="598" spans="1:11" ht="12.75">
      <c r="A598" s="1" t="s">
        <v>11</v>
      </c>
      <c r="B598" t="str">
        <f>T("PROPERTY - PACIFIC")</f>
        <v>PROPERTY - PACIFIC</v>
      </c>
      <c r="C598" t="str">
        <f t="shared" si="101"/>
        <v>2051 MERCATOR DRIVE</v>
      </c>
      <c r="D598" t="s">
        <v>0</v>
      </c>
      <c r="E598" s="1" t="s">
        <v>0</v>
      </c>
      <c r="F598" t="s">
        <v>0</v>
      </c>
      <c r="G598" t="str">
        <f t="shared" si="102"/>
        <v>RESTON</v>
      </c>
      <c r="H598" t="str">
        <f t="shared" si="103"/>
        <v>VA </v>
      </c>
      <c r="I598" s="1">
        <f t="shared" si="104"/>
        <v>20191</v>
      </c>
      <c r="J598" s="1">
        <f t="shared" si="105"/>
        <v>7033906328</v>
      </c>
      <c r="K598" s="1">
        <f t="shared" si="107"/>
        <v>7033906582</v>
      </c>
    </row>
    <row r="599" spans="1:11" ht="12.75">
      <c r="A599" s="1" t="s">
        <v>11</v>
      </c>
      <c r="B599" t="str">
        <f>T("PROPERTY - SOUTHERN PLAINS")</f>
        <v>PROPERTY - SOUTHERN PLAINS</v>
      </c>
      <c r="C599" t="str">
        <f t="shared" si="101"/>
        <v>2051 MERCATOR DRIVE</v>
      </c>
      <c r="D599" t="s">
        <v>0</v>
      </c>
      <c r="E599" s="1" t="s">
        <v>0</v>
      </c>
      <c r="F599" t="s">
        <v>0</v>
      </c>
      <c r="G599" t="str">
        <f t="shared" si="102"/>
        <v>RESTON</v>
      </c>
      <c r="H599" t="str">
        <f t="shared" si="103"/>
        <v>VA </v>
      </c>
      <c r="I599" s="1">
        <f t="shared" si="104"/>
        <v>20191</v>
      </c>
      <c r="J599" s="1">
        <f t="shared" si="105"/>
        <v>7033906328</v>
      </c>
      <c r="K599" s="1">
        <f t="shared" si="107"/>
        <v>7033906582</v>
      </c>
    </row>
    <row r="600" spans="1:11" ht="12.75">
      <c r="A600" s="1" t="s">
        <v>11</v>
      </c>
      <c r="B600" t="str">
        <f>T("PROPERTY - WESTERN")</f>
        <v>PROPERTY - WESTERN</v>
      </c>
      <c r="C600" t="str">
        <f t="shared" si="101"/>
        <v>2051 MERCATOR DRIVE</v>
      </c>
      <c r="D600" t="s">
        <v>0</v>
      </c>
      <c r="E600" s="1" t="s">
        <v>0</v>
      </c>
      <c r="F600" t="s">
        <v>0</v>
      </c>
      <c r="G600" t="str">
        <f t="shared" si="102"/>
        <v>RESTON</v>
      </c>
      <c r="H600" t="str">
        <f t="shared" si="103"/>
        <v>VA </v>
      </c>
      <c r="I600" s="1">
        <f t="shared" si="104"/>
        <v>20191</v>
      </c>
      <c r="J600" s="1">
        <f t="shared" si="105"/>
        <v>7033906328</v>
      </c>
      <c r="K600" s="1">
        <f t="shared" si="107"/>
        <v>7033906582</v>
      </c>
    </row>
    <row r="601" spans="1:11" ht="12.75">
      <c r="A601" s="1" t="s">
        <v>11</v>
      </c>
      <c r="B601" t="str">
        <f>T("BUDGET EXECUTION - RESTON")</f>
        <v>BUDGET EXECUTION - RESTON</v>
      </c>
      <c r="C601" t="str">
        <f t="shared" si="101"/>
        <v>2051 MERCATOR DRIVE</v>
      </c>
      <c r="D601" t="s">
        <v>0</v>
      </c>
      <c r="E601" s="1" t="s">
        <v>0</v>
      </c>
      <c r="F601" t="s">
        <v>0</v>
      </c>
      <c r="G601" t="str">
        <f t="shared" si="102"/>
        <v>RESTON</v>
      </c>
      <c r="H601" t="str">
        <f t="shared" si="103"/>
        <v>VA </v>
      </c>
      <c r="I601" s="1">
        <f t="shared" si="104"/>
        <v>20191</v>
      </c>
      <c r="J601" s="1">
        <f t="shared" si="105"/>
        <v>7033906328</v>
      </c>
      <c r="K601" s="1">
        <f t="shared" si="107"/>
        <v>7033906582</v>
      </c>
    </row>
    <row r="602" spans="1:11" ht="12.75">
      <c r="A602" s="1" t="s">
        <v>11</v>
      </c>
      <c r="B602" t="str">
        <f>T("BUDGET EXECUTION - EASTERN")</f>
        <v>BUDGET EXECUTION - EASTERN</v>
      </c>
      <c r="C602" t="str">
        <f t="shared" si="101"/>
        <v>2051 MERCATOR DRIVE</v>
      </c>
      <c r="D602" t="s">
        <v>0</v>
      </c>
      <c r="E602" s="1" t="s">
        <v>0</v>
      </c>
      <c r="F602" t="s">
        <v>0</v>
      </c>
      <c r="G602" t="str">
        <f t="shared" si="102"/>
        <v>RESTON</v>
      </c>
      <c r="H602" t="str">
        <f t="shared" si="103"/>
        <v>VA </v>
      </c>
      <c r="I602" s="1">
        <f t="shared" si="104"/>
        <v>20191</v>
      </c>
      <c r="J602" s="1">
        <f t="shared" si="105"/>
        <v>7033906328</v>
      </c>
      <c r="K602" s="1">
        <f t="shared" si="107"/>
        <v>7033906582</v>
      </c>
    </row>
    <row r="603" spans="1:11" ht="12.75">
      <c r="A603" s="1" t="s">
        <v>11</v>
      </c>
      <c r="B603" t="str">
        <f>T("BUDGET EXECUT - GREAT PLAINS")</f>
        <v>BUDGET EXECUT - GREAT PLAINS</v>
      </c>
      <c r="C603" t="str">
        <f t="shared" si="101"/>
        <v>2051 MERCATOR DRIVE</v>
      </c>
      <c r="D603" t="s">
        <v>0</v>
      </c>
      <c r="E603" s="1" t="s">
        <v>0</v>
      </c>
      <c r="F603" t="s">
        <v>0</v>
      </c>
      <c r="G603" t="str">
        <f t="shared" si="102"/>
        <v>RESTON</v>
      </c>
      <c r="H603" t="str">
        <f t="shared" si="103"/>
        <v>VA </v>
      </c>
      <c r="I603" s="1">
        <f t="shared" si="104"/>
        <v>20191</v>
      </c>
      <c r="J603" s="1">
        <f t="shared" si="105"/>
        <v>7033906328</v>
      </c>
      <c r="K603" s="1">
        <f t="shared" si="107"/>
        <v>7033906582</v>
      </c>
    </row>
    <row r="604" spans="1:11" ht="12.75">
      <c r="A604" s="1" t="s">
        <v>11</v>
      </c>
      <c r="B604" t="str">
        <f>T("BUDGET EXECUTION - NAVAJO")</f>
        <v>BUDGET EXECUTION - NAVAJO</v>
      </c>
      <c r="C604" t="str">
        <f t="shared" si="101"/>
        <v>2051 MERCATOR DRIVE</v>
      </c>
      <c r="D604" t="s">
        <v>0</v>
      </c>
      <c r="E604" s="1" t="s">
        <v>0</v>
      </c>
      <c r="F604" t="s">
        <v>0</v>
      </c>
      <c r="G604" t="str">
        <f t="shared" si="102"/>
        <v>RESTON</v>
      </c>
      <c r="H604" t="str">
        <f t="shared" si="103"/>
        <v>VA </v>
      </c>
      <c r="I604" s="1">
        <f t="shared" si="104"/>
        <v>20191</v>
      </c>
      <c r="J604" s="1">
        <f t="shared" si="105"/>
        <v>7033906328</v>
      </c>
      <c r="K604" s="1">
        <f t="shared" si="107"/>
        <v>7033906582</v>
      </c>
    </row>
    <row r="605" spans="1:11" ht="12.75">
      <c r="A605" s="1" t="s">
        <v>11</v>
      </c>
      <c r="B605" t="str">
        <f>T("BUDGET EXECUTION - NORTHWEST")</f>
        <v>BUDGET EXECUTION - NORTHWEST</v>
      </c>
      <c r="C605" t="str">
        <f t="shared" si="101"/>
        <v>2051 MERCATOR DRIVE</v>
      </c>
      <c r="D605" t="s">
        <v>0</v>
      </c>
      <c r="E605" s="1" t="s">
        <v>0</v>
      </c>
      <c r="F605" t="s">
        <v>0</v>
      </c>
      <c r="G605" t="str">
        <f t="shared" si="102"/>
        <v>RESTON</v>
      </c>
      <c r="H605" t="str">
        <f t="shared" si="103"/>
        <v>VA </v>
      </c>
      <c r="I605" s="1">
        <f t="shared" si="104"/>
        <v>20191</v>
      </c>
      <c r="J605" s="1">
        <f t="shared" si="105"/>
        <v>7033906328</v>
      </c>
      <c r="K605" s="1">
        <f>N(7033906528)</f>
        <v>7033906528</v>
      </c>
    </row>
    <row r="606" spans="1:11" ht="12.75">
      <c r="A606" s="1" t="s">
        <v>11</v>
      </c>
      <c r="B606" t="str">
        <f>T("BUDGET EXECUTION - PACIFIC")</f>
        <v>BUDGET EXECUTION - PACIFIC</v>
      </c>
      <c r="C606" t="str">
        <f t="shared" si="101"/>
        <v>2051 MERCATOR DRIVE</v>
      </c>
      <c r="D606" t="s">
        <v>0</v>
      </c>
      <c r="E606" s="1" t="s">
        <v>0</v>
      </c>
      <c r="F606" t="s">
        <v>0</v>
      </c>
      <c r="G606" t="str">
        <f t="shared" si="102"/>
        <v>RESTON</v>
      </c>
      <c r="H606" t="str">
        <f t="shared" si="103"/>
        <v>VA </v>
      </c>
      <c r="I606" s="1">
        <f t="shared" si="104"/>
        <v>20191</v>
      </c>
      <c r="J606" s="1">
        <f t="shared" si="105"/>
        <v>7033906328</v>
      </c>
      <c r="K606" s="1">
        <f aca="true" t="shared" si="108" ref="K606:K635">N(7033906582)</f>
        <v>7033906582</v>
      </c>
    </row>
    <row r="607" spans="1:11" ht="12.75">
      <c r="A607" s="1" t="s">
        <v>11</v>
      </c>
      <c r="B607" t="str">
        <f>T("BUDGET EXECUTION - SOUTHWEST")</f>
        <v>BUDGET EXECUTION - SOUTHWEST</v>
      </c>
      <c r="C607" t="str">
        <f t="shared" si="101"/>
        <v>2051 MERCATOR DRIVE</v>
      </c>
      <c r="D607" t="s">
        <v>0</v>
      </c>
      <c r="E607" s="1" t="s">
        <v>0</v>
      </c>
      <c r="F607" t="s">
        <v>0</v>
      </c>
      <c r="G607" t="str">
        <f t="shared" si="102"/>
        <v>RESTON</v>
      </c>
      <c r="H607" t="str">
        <f t="shared" si="103"/>
        <v>VA </v>
      </c>
      <c r="I607" s="1">
        <f t="shared" si="104"/>
        <v>20191</v>
      </c>
      <c r="J607" s="1">
        <f t="shared" si="105"/>
        <v>7033906328</v>
      </c>
      <c r="K607" s="1">
        <f t="shared" si="108"/>
        <v>7033906582</v>
      </c>
    </row>
    <row r="608" spans="1:11" ht="12.75">
      <c r="A608" s="1" t="s">
        <v>11</v>
      </c>
      <c r="B608" t="str">
        <f>T("BUDGET EXECUTION - WESTERN")</f>
        <v>BUDGET EXECUTION - WESTERN</v>
      </c>
      <c r="C608" t="str">
        <f t="shared" si="101"/>
        <v>2051 MERCATOR DRIVE</v>
      </c>
      <c r="D608" t="s">
        <v>0</v>
      </c>
      <c r="E608" s="1" t="s">
        <v>0</v>
      </c>
      <c r="F608" t="s">
        <v>0</v>
      </c>
      <c r="G608" t="str">
        <f t="shared" si="102"/>
        <v>RESTON</v>
      </c>
      <c r="H608" t="str">
        <f t="shared" si="103"/>
        <v>VA </v>
      </c>
      <c r="I608" s="1">
        <f t="shared" si="104"/>
        <v>20191</v>
      </c>
      <c r="J608" s="1">
        <f t="shared" si="105"/>
        <v>7033906328</v>
      </c>
      <c r="K608" s="1">
        <f t="shared" si="108"/>
        <v>7033906582</v>
      </c>
    </row>
    <row r="609" spans="1:11" ht="12.75">
      <c r="A609" s="1" t="s">
        <v>11</v>
      </c>
      <c r="B609" t="str">
        <f>T("DIV OF TELECOMMUNICATIONS")</f>
        <v>DIV OF TELECOMMUNICATIONS</v>
      </c>
      <c r="C609" t="str">
        <f t="shared" si="101"/>
        <v>2051 MERCATOR DRIVE</v>
      </c>
      <c r="D609" t="s">
        <v>0</v>
      </c>
      <c r="E609" s="1" t="s">
        <v>0</v>
      </c>
      <c r="F609" t="s">
        <v>0</v>
      </c>
      <c r="G609" t="str">
        <f t="shared" si="102"/>
        <v>RESTON</v>
      </c>
      <c r="H609" t="str">
        <f t="shared" si="103"/>
        <v>VA </v>
      </c>
      <c r="I609" s="1">
        <f t="shared" si="104"/>
        <v>20191</v>
      </c>
      <c r="J609" s="1">
        <f t="shared" si="105"/>
        <v>7033906328</v>
      </c>
      <c r="K609" s="1">
        <f t="shared" si="108"/>
        <v>7033906582</v>
      </c>
    </row>
    <row r="610" spans="1:11" ht="12.75">
      <c r="A610" s="1" t="s">
        <v>11</v>
      </c>
      <c r="B610" t="str">
        <f>T("DIVISION OF SYSTEMS")</f>
        <v>DIVISION OF SYSTEMS</v>
      </c>
      <c r="C610" t="str">
        <f t="shared" si="101"/>
        <v>2051 MERCATOR DRIVE</v>
      </c>
      <c r="D610" t="s">
        <v>0</v>
      </c>
      <c r="E610" s="1" t="s">
        <v>0</v>
      </c>
      <c r="F610" t="s">
        <v>0</v>
      </c>
      <c r="G610" t="str">
        <f t="shared" si="102"/>
        <v>RESTON</v>
      </c>
      <c r="H610" t="str">
        <f t="shared" si="103"/>
        <v>VA </v>
      </c>
      <c r="I610" s="1">
        <f t="shared" si="104"/>
        <v>20191</v>
      </c>
      <c r="J610" s="1">
        <f t="shared" si="105"/>
        <v>7033906328</v>
      </c>
      <c r="K610" s="1">
        <f t="shared" si="108"/>
        <v>7033906582</v>
      </c>
    </row>
    <row r="611" spans="1:11" ht="12.75">
      <c r="A611" s="1" t="s">
        <v>11</v>
      </c>
      <c r="B611" t="str">
        <f>T("DIVISION OF SPECIAL IT SRVCS")</f>
        <v>DIVISION OF SPECIAL IT SRVCS</v>
      </c>
      <c r="C611" t="str">
        <f t="shared" si="101"/>
        <v>2051 MERCATOR DRIVE</v>
      </c>
      <c r="D611" t="s">
        <v>0</v>
      </c>
      <c r="E611" s="1" t="s">
        <v>0</v>
      </c>
      <c r="F611" t="s">
        <v>0</v>
      </c>
      <c r="G611" t="str">
        <f t="shared" si="102"/>
        <v>RESTON</v>
      </c>
      <c r="H611" t="str">
        <f t="shared" si="103"/>
        <v>VA </v>
      </c>
      <c r="I611" s="1">
        <f t="shared" si="104"/>
        <v>20191</v>
      </c>
      <c r="J611" s="1">
        <f t="shared" si="105"/>
        <v>7033906328</v>
      </c>
      <c r="K611" s="1">
        <f t="shared" si="108"/>
        <v>7033906582</v>
      </c>
    </row>
    <row r="612" spans="1:11" ht="12.75">
      <c r="A612" s="1" t="s">
        <v>11</v>
      </c>
      <c r="B612" t="str">
        <f>T("DIV OF USER SRVCS - RESTON")</f>
        <v>DIV OF USER SRVCS - RESTON</v>
      </c>
      <c r="C612" t="str">
        <f t="shared" si="101"/>
        <v>2051 MERCATOR DRIVE</v>
      </c>
      <c r="D612" t="s">
        <v>0</v>
      </c>
      <c r="E612" s="1" t="s">
        <v>0</v>
      </c>
      <c r="F612" t="s">
        <v>0</v>
      </c>
      <c r="G612" t="str">
        <f t="shared" si="102"/>
        <v>RESTON</v>
      </c>
      <c r="H612" t="str">
        <f t="shared" si="103"/>
        <v>VA </v>
      </c>
      <c r="I612" s="1">
        <f t="shared" si="104"/>
        <v>20191</v>
      </c>
      <c r="J612" s="1">
        <f t="shared" si="105"/>
        <v>7033906328</v>
      </c>
      <c r="K612" s="1">
        <f t="shared" si="108"/>
        <v>7033906582</v>
      </c>
    </row>
    <row r="613" spans="1:11" ht="12.75">
      <c r="A613" s="1" t="s">
        <v>11</v>
      </c>
      <c r="B613" t="str">
        <f>T("DIV USER SERVICES - GRT PLAINS")</f>
        <v>DIV USER SERVICES - GRT PLAINS</v>
      </c>
      <c r="C613" t="str">
        <f t="shared" si="101"/>
        <v>2051 MERCATOR DRIVE</v>
      </c>
      <c r="D613" t="s">
        <v>0</v>
      </c>
      <c r="E613" s="1" t="s">
        <v>0</v>
      </c>
      <c r="F613" t="s">
        <v>0</v>
      </c>
      <c r="G613" t="str">
        <f t="shared" si="102"/>
        <v>RESTON</v>
      </c>
      <c r="H613" t="str">
        <f t="shared" si="103"/>
        <v>VA </v>
      </c>
      <c r="I613" s="1">
        <f t="shared" si="104"/>
        <v>20191</v>
      </c>
      <c r="J613" s="1">
        <f t="shared" si="105"/>
        <v>7033906328</v>
      </c>
      <c r="K613" s="1">
        <f t="shared" si="108"/>
        <v>7033906582</v>
      </c>
    </row>
    <row r="614" spans="1:11" ht="12.75">
      <c r="A614" s="1" t="s">
        <v>11</v>
      </c>
      <c r="B614" t="str">
        <f>T("DIV USER SERVICES - S PLAINS")</f>
        <v>DIV USER SERVICES - S PLAINS</v>
      </c>
      <c r="C614" t="str">
        <f t="shared" si="101"/>
        <v>2051 MERCATOR DRIVE</v>
      </c>
      <c r="D614" t="s">
        <v>0</v>
      </c>
      <c r="E614" s="1" t="s">
        <v>0</v>
      </c>
      <c r="F614" t="s">
        <v>0</v>
      </c>
      <c r="G614" t="str">
        <f t="shared" si="102"/>
        <v>RESTON</v>
      </c>
      <c r="H614" t="str">
        <f t="shared" si="103"/>
        <v>VA </v>
      </c>
      <c r="I614" s="1">
        <f t="shared" si="104"/>
        <v>20191</v>
      </c>
      <c r="J614" s="1">
        <f t="shared" si="105"/>
        <v>7033906328</v>
      </c>
      <c r="K614" s="1">
        <f t="shared" si="108"/>
        <v>7033906582</v>
      </c>
    </row>
    <row r="615" spans="1:11" ht="12.75">
      <c r="A615" s="1" t="s">
        <v>11</v>
      </c>
      <c r="B615" t="str">
        <f>T("DIV USER SERVICES - ROCKY MTN")</f>
        <v>DIV USER SERVICES - ROCKY MTN</v>
      </c>
      <c r="C615" t="str">
        <f t="shared" si="101"/>
        <v>2051 MERCATOR DRIVE</v>
      </c>
      <c r="D615" t="s">
        <v>0</v>
      </c>
      <c r="E615" s="1" t="s">
        <v>0</v>
      </c>
      <c r="F615" t="s">
        <v>0</v>
      </c>
      <c r="G615" t="str">
        <f t="shared" si="102"/>
        <v>RESTON</v>
      </c>
      <c r="H615" t="str">
        <f t="shared" si="103"/>
        <v>VA </v>
      </c>
      <c r="I615" s="1">
        <f t="shared" si="104"/>
        <v>20191</v>
      </c>
      <c r="J615" s="1">
        <f t="shared" si="105"/>
        <v>7033906328</v>
      </c>
      <c r="K615" s="1">
        <f t="shared" si="108"/>
        <v>7033906582</v>
      </c>
    </row>
    <row r="616" spans="1:11" ht="12.75">
      <c r="A616" s="1" t="s">
        <v>11</v>
      </c>
      <c r="B616" t="str">
        <f>T("DIVUSER SERVICES - ALASKA")</f>
        <v>DIVUSER SERVICES - ALASKA</v>
      </c>
      <c r="C616" t="str">
        <f t="shared" si="101"/>
        <v>2051 MERCATOR DRIVE</v>
      </c>
      <c r="D616" t="s">
        <v>0</v>
      </c>
      <c r="E616" s="1" t="s">
        <v>0</v>
      </c>
      <c r="F616" t="s">
        <v>0</v>
      </c>
      <c r="G616" t="str">
        <f t="shared" si="102"/>
        <v>RESTON</v>
      </c>
      <c r="H616" t="str">
        <f t="shared" si="103"/>
        <v>VA </v>
      </c>
      <c r="I616" s="1">
        <f t="shared" si="104"/>
        <v>20191</v>
      </c>
      <c r="J616" s="1">
        <f t="shared" si="105"/>
        <v>7033906328</v>
      </c>
      <c r="K616" s="1">
        <f t="shared" si="108"/>
        <v>7033906582</v>
      </c>
    </row>
    <row r="617" spans="1:11" ht="12.75">
      <c r="A617" s="1" t="s">
        <v>11</v>
      </c>
      <c r="B617" t="str">
        <f>T("DIV USER SERVICES - MIDWEST")</f>
        <v>DIV USER SERVICES - MIDWEST</v>
      </c>
      <c r="C617" t="str">
        <f t="shared" si="101"/>
        <v>2051 MERCATOR DRIVE</v>
      </c>
      <c r="D617" t="s">
        <v>0</v>
      </c>
      <c r="E617" s="1" t="s">
        <v>0</v>
      </c>
      <c r="F617" t="s">
        <v>0</v>
      </c>
      <c r="G617" t="str">
        <f t="shared" si="102"/>
        <v>RESTON</v>
      </c>
      <c r="H617" t="str">
        <f t="shared" si="103"/>
        <v>VA </v>
      </c>
      <c r="I617" s="1">
        <f t="shared" si="104"/>
        <v>20191</v>
      </c>
      <c r="J617" s="1">
        <f t="shared" si="105"/>
        <v>7033906328</v>
      </c>
      <c r="K617" s="1">
        <f t="shared" si="108"/>
        <v>7033906582</v>
      </c>
    </row>
    <row r="618" spans="1:11" ht="12.75">
      <c r="A618" s="1" t="s">
        <v>11</v>
      </c>
      <c r="B618" t="str">
        <f>T("DIV USER SERVICES - WESTERN")</f>
        <v>DIV USER SERVICES - WESTERN</v>
      </c>
      <c r="C618" t="str">
        <f t="shared" si="101"/>
        <v>2051 MERCATOR DRIVE</v>
      </c>
      <c r="D618" t="s">
        <v>0</v>
      </c>
      <c r="E618" s="1" t="s">
        <v>0</v>
      </c>
      <c r="F618" t="s">
        <v>0</v>
      </c>
      <c r="G618" t="str">
        <f t="shared" si="102"/>
        <v>RESTON</v>
      </c>
      <c r="H618" t="str">
        <f t="shared" si="103"/>
        <v>VA </v>
      </c>
      <c r="I618" s="1">
        <f t="shared" si="104"/>
        <v>20191</v>
      </c>
      <c r="J618" s="1">
        <f t="shared" si="105"/>
        <v>7033906328</v>
      </c>
      <c r="K618" s="1">
        <f t="shared" si="108"/>
        <v>7033906582</v>
      </c>
    </row>
    <row r="619" spans="1:11" ht="12.75">
      <c r="A619" s="1" t="s">
        <v>11</v>
      </c>
      <c r="B619" t="str">
        <f>T("DIV USER SERVICES - PACIFIC")</f>
        <v>DIV USER SERVICES - PACIFIC</v>
      </c>
      <c r="C619" t="str">
        <f t="shared" si="101"/>
        <v>2051 MERCATOR DRIVE</v>
      </c>
      <c r="D619" t="s">
        <v>0</v>
      </c>
      <c r="E619" s="1" t="s">
        <v>0</v>
      </c>
      <c r="F619" t="s">
        <v>0</v>
      </c>
      <c r="G619" t="str">
        <f t="shared" si="102"/>
        <v>RESTON</v>
      </c>
      <c r="H619" t="str">
        <f t="shared" si="103"/>
        <v>VA </v>
      </c>
      <c r="I619" s="1">
        <f t="shared" si="104"/>
        <v>20191</v>
      </c>
      <c r="J619" s="1">
        <f t="shared" si="105"/>
        <v>7033906328</v>
      </c>
      <c r="K619" s="1">
        <f t="shared" si="108"/>
        <v>7033906582</v>
      </c>
    </row>
    <row r="620" spans="1:11" ht="12.75">
      <c r="A620" s="1" t="s">
        <v>11</v>
      </c>
      <c r="B620" t="str">
        <f>T("DIV OF USER SRVCS - SOUTHWEST")</f>
        <v>DIV OF USER SRVCS - SOUTHWEST</v>
      </c>
      <c r="C620" t="str">
        <f t="shared" si="101"/>
        <v>2051 MERCATOR DRIVE</v>
      </c>
      <c r="D620" t="s">
        <v>0</v>
      </c>
      <c r="E620" s="1" t="s">
        <v>0</v>
      </c>
      <c r="F620" t="s">
        <v>0</v>
      </c>
      <c r="G620" t="str">
        <f t="shared" si="102"/>
        <v>RESTON</v>
      </c>
      <c r="H620" t="str">
        <f t="shared" si="103"/>
        <v>VA </v>
      </c>
      <c r="I620" s="1">
        <f t="shared" si="104"/>
        <v>20191</v>
      </c>
      <c r="J620" s="1">
        <f t="shared" si="105"/>
        <v>7033906328</v>
      </c>
      <c r="K620" s="1">
        <f t="shared" si="108"/>
        <v>7033906582</v>
      </c>
    </row>
    <row r="621" spans="1:11" ht="12.75">
      <c r="A621" s="1" t="s">
        <v>11</v>
      </c>
      <c r="B621" t="str">
        <f>T("DIV USER SERVICES - NAVAJO")</f>
        <v>DIV USER SERVICES - NAVAJO</v>
      </c>
      <c r="C621" t="str">
        <f t="shared" si="101"/>
        <v>2051 MERCATOR DRIVE</v>
      </c>
      <c r="D621" t="s">
        <v>0</v>
      </c>
      <c r="E621" s="1" t="s">
        <v>0</v>
      </c>
      <c r="F621" t="s">
        <v>0</v>
      </c>
      <c r="G621" t="str">
        <f t="shared" si="102"/>
        <v>RESTON</v>
      </c>
      <c r="H621" t="str">
        <f t="shared" si="103"/>
        <v>VA </v>
      </c>
      <c r="I621" s="1">
        <f t="shared" si="104"/>
        <v>20191</v>
      </c>
      <c r="J621" s="1">
        <f t="shared" si="105"/>
        <v>7033906328</v>
      </c>
      <c r="K621" s="1">
        <f t="shared" si="108"/>
        <v>7033906582</v>
      </c>
    </row>
    <row r="622" spans="1:11" ht="12.75">
      <c r="A622" s="1" t="s">
        <v>11</v>
      </c>
      <c r="B622" t="str">
        <f>T("DIV USER SERVICES - EASTERN")</f>
        <v>DIV USER SERVICES - EASTERN</v>
      </c>
      <c r="C622" t="str">
        <f t="shared" si="101"/>
        <v>2051 MERCATOR DRIVE</v>
      </c>
      <c r="D622" t="s">
        <v>0</v>
      </c>
      <c r="E622" s="1" t="s">
        <v>0</v>
      </c>
      <c r="F622" t="s">
        <v>0</v>
      </c>
      <c r="G622" t="str">
        <f t="shared" si="102"/>
        <v>RESTON</v>
      </c>
      <c r="H622" t="str">
        <f t="shared" si="103"/>
        <v>VA </v>
      </c>
      <c r="I622" s="1">
        <f t="shared" si="104"/>
        <v>20191</v>
      </c>
      <c r="J622" s="1">
        <f t="shared" si="105"/>
        <v>7033906328</v>
      </c>
      <c r="K622" s="1">
        <f t="shared" si="108"/>
        <v>7033906582</v>
      </c>
    </row>
    <row r="623" spans="1:11" ht="12.75">
      <c r="A623" s="1" t="s">
        <v>11</v>
      </c>
      <c r="B623" t="str">
        <f>T("MGMT SUPPORT  - GREAT PLAINS")</f>
        <v>MGMT SUPPORT  - GREAT PLAINS</v>
      </c>
      <c r="C623" t="str">
        <f t="shared" si="101"/>
        <v>2051 MERCATOR DRIVE</v>
      </c>
      <c r="D623" t="s">
        <v>0</v>
      </c>
      <c r="E623" s="1" t="s">
        <v>0</v>
      </c>
      <c r="F623" t="s">
        <v>0</v>
      </c>
      <c r="G623" t="str">
        <f t="shared" si="102"/>
        <v>RESTON</v>
      </c>
      <c r="H623" t="str">
        <f t="shared" si="103"/>
        <v>VA </v>
      </c>
      <c r="I623" s="1">
        <f t="shared" si="104"/>
        <v>20191</v>
      </c>
      <c r="J623" s="1">
        <f t="shared" si="105"/>
        <v>7033906328</v>
      </c>
      <c r="K623" s="1">
        <f t="shared" si="108"/>
        <v>7033906582</v>
      </c>
    </row>
    <row r="624" spans="1:11" ht="12.75">
      <c r="A624" s="1" t="s">
        <v>11</v>
      </c>
      <c r="B624" t="str">
        <f>T("MGMT SUPPORT  - S PLAINS")</f>
        <v>MGMT SUPPORT  - S PLAINS</v>
      </c>
      <c r="C624" t="str">
        <f t="shared" si="101"/>
        <v>2051 MERCATOR DRIVE</v>
      </c>
      <c r="D624" t="s">
        <v>0</v>
      </c>
      <c r="E624" s="1" t="s">
        <v>0</v>
      </c>
      <c r="F624" t="s">
        <v>0</v>
      </c>
      <c r="G624" t="str">
        <f t="shared" si="102"/>
        <v>RESTON</v>
      </c>
      <c r="H624" t="str">
        <f t="shared" si="103"/>
        <v>VA </v>
      </c>
      <c r="I624" s="1">
        <f t="shared" si="104"/>
        <v>20191</v>
      </c>
      <c r="J624" s="1">
        <f t="shared" si="105"/>
        <v>7033906328</v>
      </c>
      <c r="K624" s="1">
        <f t="shared" si="108"/>
        <v>7033906582</v>
      </c>
    </row>
    <row r="625" spans="1:11" ht="12.75">
      <c r="A625" s="1" t="s">
        <v>11</v>
      </c>
      <c r="B625" t="str">
        <f>T("MGMT SUPPORT  - MIDWEST")</f>
        <v>MGMT SUPPORT  - MIDWEST</v>
      </c>
      <c r="C625" t="str">
        <f t="shared" si="101"/>
        <v>2051 MERCATOR DRIVE</v>
      </c>
      <c r="D625" t="s">
        <v>0</v>
      </c>
      <c r="E625" s="1" t="s">
        <v>0</v>
      </c>
      <c r="F625" t="s">
        <v>0</v>
      </c>
      <c r="G625" t="str">
        <f t="shared" si="102"/>
        <v>RESTON</v>
      </c>
      <c r="H625" t="str">
        <f t="shared" si="103"/>
        <v>VA </v>
      </c>
      <c r="I625" s="1">
        <f t="shared" si="104"/>
        <v>20191</v>
      </c>
      <c r="J625" s="1">
        <f t="shared" si="105"/>
        <v>7033906328</v>
      </c>
      <c r="K625" s="1">
        <f t="shared" si="108"/>
        <v>7033906582</v>
      </c>
    </row>
    <row r="626" spans="1:11" ht="12.75">
      <c r="A626" s="1" t="s">
        <v>11</v>
      </c>
      <c r="B626" t="str">
        <f>T("MGMT SUPPORT  - WESTERN")</f>
        <v>MGMT SUPPORT  - WESTERN</v>
      </c>
      <c r="C626" t="str">
        <f t="shared" si="101"/>
        <v>2051 MERCATOR DRIVE</v>
      </c>
      <c r="D626" t="s">
        <v>0</v>
      </c>
      <c r="E626" s="1" t="s">
        <v>0</v>
      </c>
      <c r="F626" t="s">
        <v>0</v>
      </c>
      <c r="G626" t="str">
        <f t="shared" si="102"/>
        <v>RESTON</v>
      </c>
      <c r="H626" t="str">
        <f t="shared" si="103"/>
        <v>VA </v>
      </c>
      <c r="I626" s="1">
        <f t="shared" si="104"/>
        <v>20191</v>
      </c>
      <c r="J626" s="1">
        <f t="shared" si="105"/>
        <v>7033906328</v>
      </c>
      <c r="K626" s="1">
        <f t="shared" si="108"/>
        <v>7033906582</v>
      </c>
    </row>
    <row r="627" spans="1:11" ht="12.75">
      <c r="A627" s="1" t="s">
        <v>11</v>
      </c>
      <c r="B627" t="str">
        <f>T("MGMT SUPPORT  - SOUTHWEST")</f>
        <v>MGMT SUPPORT  - SOUTHWEST</v>
      </c>
      <c r="C627" t="str">
        <f t="shared" si="101"/>
        <v>2051 MERCATOR DRIVE</v>
      </c>
      <c r="D627" t="s">
        <v>0</v>
      </c>
      <c r="E627" s="1" t="s">
        <v>0</v>
      </c>
      <c r="F627" t="s">
        <v>0</v>
      </c>
      <c r="G627" t="str">
        <f t="shared" si="102"/>
        <v>RESTON</v>
      </c>
      <c r="H627" t="str">
        <f t="shared" si="103"/>
        <v>VA </v>
      </c>
      <c r="I627" s="1">
        <f t="shared" si="104"/>
        <v>20191</v>
      </c>
      <c r="J627" s="1">
        <f t="shared" si="105"/>
        <v>7033906328</v>
      </c>
      <c r="K627" s="1">
        <f t="shared" si="108"/>
        <v>7033906582</v>
      </c>
    </row>
    <row r="628" spans="1:11" ht="12.75">
      <c r="A628" s="1" t="s">
        <v>11</v>
      </c>
      <c r="B628" t="str">
        <f>T("MGMT SUPPORT  - NAVAJO")</f>
        <v>MGMT SUPPORT  - NAVAJO</v>
      </c>
      <c r="C628" t="str">
        <f t="shared" si="101"/>
        <v>2051 MERCATOR DRIVE</v>
      </c>
      <c r="D628" t="s">
        <v>0</v>
      </c>
      <c r="E628" s="1" t="s">
        <v>0</v>
      </c>
      <c r="F628" t="s">
        <v>0</v>
      </c>
      <c r="G628" t="str">
        <f t="shared" si="102"/>
        <v>RESTON</v>
      </c>
      <c r="H628" t="str">
        <f t="shared" si="103"/>
        <v>VA </v>
      </c>
      <c r="I628" s="1">
        <f t="shared" si="104"/>
        <v>20191</v>
      </c>
      <c r="J628" s="1">
        <f t="shared" si="105"/>
        <v>7033906328</v>
      </c>
      <c r="K628" s="1">
        <f t="shared" si="108"/>
        <v>7033906582</v>
      </c>
    </row>
    <row r="629" spans="1:11" ht="12.75">
      <c r="A629" s="1" t="s">
        <v>11</v>
      </c>
      <c r="B629" t="str">
        <f>T("MGMT SUPPORT  - NORTHWEST")</f>
        <v>MGMT SUPPORT  - NORTHWEST</v>
      </c>
      <c r="C629" t="str">
        <f t="shared" si="101"/>
        <v>2051 MERCATOR DRIVE</v>
      </c>
      <c r="D629" t="s">
        <v>0</v>
      </c>
      <c r="E629" s="1" t="s">
        <v>0</v>
      </c>
      <c r="F629" t="s">
        <v>0</v>
      </c>
      <c r="G629" t="str">
        <f t="shared" si="102"/>
        <v>RESTON</v>
      </c>
      <c r="H629" t="str">
        <f t="shared" si="103"/>
        <v>VA </v>
      </c>
      <c r="I629" s="1">
        <f t="shared" si="104"/>
        <v>20191</v>
      </c>
      <c r="J629" s="1">
        <f t="shared" si="105"/>
        <v>7033906328</v>
      </c>
      <c r="K629" s="1">
        <f t="shared" si="108"/>
        <v>7033906582</v>
      </c>
    </row>
    <row r="630" spans="1:11" ht="12.75">
      <c r="A630" s="1" t="s">
        <v>11</v>
      </c>
      <c r="B630" t="str">
        <f>T("MGMT SUPPORT  - EASTERN")</f>
        <v>MGMT SUPPORT  - EASTERN</v>
      </c>
      <c r="C630" t="str">
        <f t="shared" si="101"/>
        <v>2051 MERCATOR DRIVE</v>
      </c>
      <c r="D630" t="s">
        <v>0</v>
      </c>
      <c r="E630" s="1" t="s">
        <v>0</v>
      </c>
      <c r="F630" t="s">
        <v>0</v>
      </c>
      <c r="G630" t="str">
        <f t="shared" si="102"/>
        <v>RESTON</v>
      </c>
      <c r="H630" t="str">
        <f t="shared" si="103"/>
        <v>VA </v>
      </c>
      <c r="I630" s="1">
        <f t="shared" si="104"/>
        <v>20191</v>
      </c>
      <c r="J630" s="1">
        <f t="shared" si="105"/>
        <v>7033906328</v>
      </c>
      <c r="K630" s="1">
        <f t="shared" si="108"/>
        <v>7033906582</v>
      </c>
    </row>
    <row r="631" spans="1:11" ht="12.75">
      <c r="A631" s="1" t="s">
        <v>11</v>
      </c>
      <c r="B631" t="str">
        <f>T("DIV OF ENVIRONMENTAL MGMT")</f>
        <v>DIV OF ENVIRONMENTAL MGMT</v>
      </c>
      <c r="C631" t="str">
        <f aca="true" t="shared" si="109" ref="C631:C638">T("2051 MERCATOR DRIVE")</f>
        <v>2051 MERCATOR DRIVE</v>
      </c>
      <c r="D631" t="s">
        <v>0</v>
      </c>
      <c r="E631" s="1" t="s">
        <v>0</v>
      </c>
      <c r="F631" t="s">
        <v>0</v>
      </c>
      <c r="G631" t="str">
        <f aca="true" t="shared" si="110" ref="G631:G638">T("RESTON")</f>
        <v>RESTON</v>
      </c>
      <c r="H631" t="str">
        <f aca="true" t="shared" si="111" ref="H631:H638">T("VA ")</f>
        <v>VA </v>
      </c>
      <c r="I631" s="1">
        <f aca="true" t="shared" si="112" ref="I631:I638">N(20191)</f>
        <v>20191</v>
      </c>
      <c r="J631" s="1">
        <f aca="true" t="shared" si="113" ref="J631:J638">N(7033906328)</f>
        <v>7033906328</v>
      </c>
      <c r="K631" s="1">
        <f t="shared" si="108"/>
        <v>7033906582</v>
      </c>
    </row>
    <row r="632" spans="1:11" ht="12.75">
      <c r="A632" s="1" t="s">
        <v>11</v>
      </c>
      <c r="B632" t="str">
        <f>T("OFFICE OF FAC MGMT &amp; CONSTR")</f>
        <v>OFFICE OF FAC MGMT &amp; CONSTR</v>
      </c>
      <c r="C632" t="str">
        <f t="shared" si="109"/>
        <v>2051 MERCATOR DRIVE</v>
      </c>
      <c r="D632" t="s">
        <v>0</v>
      </c>
      <c r="E632" s="1" t="s">
        <v>0</v>
      </c>
      <c r="F632" t="s">
        <v>0</v>
      </c>
      <c r="G632" t="str">
        <f t="shared" si="110"/>
        <v>RESTON</v>
      </c>
      <c r="H632" t="str">
        <f t="shared" si="111"/>
        <v>VA </v>
      </c>
      <c r="I632" s="1">
        <f t="shared" si="112"/>
        <v>20191</v>
      </c>
      <c r="J632" s="1">
        <f t="shared" si="113"/>
        <v>7033906328</v>
      </c>
      <c r="K632" s="1">
        <f t="shared" si="108"/>
        <v>7033906582</v>
      </c>
    </row>
    <row r="633" spans="1:11" ht="12.75">
      <c r="A633" s="1" t="s">
        <v>11</v>
      </c>
      <c r="B633" t="str">
        <f>T("DIVISION OF SAFETY MGMT")</f>
        <v>DIVISION OF SAFETY MGMT</v>
      </c>
      <c r="C633" t="str">
        <f t="shared" si="109"/>
        <v>2051 MERCATOR DRIVE</v>
      </c>
      <c r="D633" t="s">
        <v>0</v>
      </c>
      <c r="E633" s="1" t="s">
        <v>0</v>
      </c>
      <c r="F633" t="s">
        <v>0</v>
      </c>
      <c r="G633" t="str">
        <f t="shared" si="110"/>
        <v>RESTON</v>
      </c>
      <c r="H633" t="str">
        <f t="shared" si="111"/>
        <v>VA </v>
      </c>
      <c r="I633" s="1">
        <f t="shared" si="112"/>
        <v>20191</v>
      </c>
      <c r="J633" s="1">
        <f t="shared" si="113"/>
        <v>7033906328</v>
      </c>
      <c r="K633" s="1">
        <f t="shared" si="108"/>
        <v>7033906582</v>
      </c>
    </row>
    <row r="634" spans="1:11" ht="12.75">
      <c r="A634" s="1" t="s">
        <v>11</v>
      </c>
      <c r="B634" t="str">
        <f>T("SAFETY MGMT - WESTERN")</f>
        <v>SAFETY MGMT - WESTERN</v>
      </c>
      <c r="C634" t="str">
        <f t="shared" si="109"/>
        <v>2051 MERCATOR DRIVE</v>
      </c>
      <c r="D634" t="s">
        <v>0</v>
      </c>
      <c r="E634" s="1" t="s">
        <v>0</v>
      </c>
      <c r="F634" t="s">
        <v>0</v>
      </c>
      <c r="G634" t="str">
        <f t="shared" si="110"/>
        <v>RESTON</v>
      </c>
      <c r="H634" t="str">
        <f t="shared" si="111"/>
        <v>VA </v>
      </c>
      <c r="I634" s="1">
        <f t="shared" si="112"/>
        <v>20191</v>
      </c>
      <c r="J634" s="1">
        <f t="shared" si="113"/>
        <v>7033906328</v>
      </c>
      <c r="K634" s="1">
        <f t="shared" si="108"/>
        <v>7033906582</v>
      </c>
    </row>
    <row r="635" spans="1:11" ht="12.75">
      <c r="A635" s="1" t="s">
        <v>11</v>
      </c>
      <c r="B635" t="str">
        <f>T("HUMAN RESOURCES -S. PLAINS")</f>
        <v>HUMAN RESOURCES -S. PLAINS</v>
      </c>
      <c r="C635" t="str">
        <f t="shared" si="109"/>
        <v>2051 MERCATOR DRIVE</v>
      </c>
      <c r="D635" t="s">
        <v>0</v>
      </c>
      <c r="E635" s="1" t="s">
        <v>0</v>
      </c>
      <c r="F635" t="s">
        <v>0</v>
      </c>
      <c r="G635" t="str">
        <f t="shared" si="110"/>
        <v>RESTON</v>
      </c>
      <c r="H635" t="str">
        <f t="shared" si="111"/>
        <v>VA </v>
      </c>
      <c r="I635" s="1">
        <f t="shared" si="112"/>
        <v>20191</v>
      </c>
      <c r="J635" s="1">
        <f t="shared" si="113"/>
        <v>7033906328</v>
      </c>
      <c r="K635" s="1">
        <f t="shared" si="108"/>
        <v>7033906582</v>
      </c>
    </row>
    <row r="636" spans="1:11" ht="12.75">
      <c r="A636" s="1" t="s">
        <v>11</v>
      </c>
      <c r="B636" t="str">
        <f>T("HUMAN RESOURCES - ROCKY MTN.")</f>
        <v>HUMAN RESOURCES - ROCKY MTN.</v>
      </c>
      <c r="C636" t="str">
        <f t="shared" si="109"/>
        <v>2051 MERCATOR DRIVE</v>
      </c>
      <c r="D636" t="s">
        <v>0</v>
      </c>
      <c r="E636" s="1" t="s">
        <v>0</v>
      </c>
      <c r="F636" t="s">
        <v>0</v>
      </c>
      <c r="G636" t="str">
        <f t="shared" si="110"/>
        <v>RESTON</v>
      </c>
      <c r="H636" t="str">
        <f t="shared" si="111"/>
        <v>VA </v>
      </c>
      <c r="I636" s="1">
        <f t="shared" si="112"/>
        <v>20191</v>
      </c>
      <c r="J636" s="1">
        <f t="shared" si="113"/>
        <v>7033906328</v>
      </c>
      <c r="K636" s="1">
        <f>N(7033906582)</f>
        <v>7033906582</v>
      </c>
    </row>
    <row r="637" spans="1:11" ht="12.75">
      <c r="A637" s="1" t="s">
        <v>11</v>
      </c>
      <c r="B637" t="str">
        <f>T("HUMAN RESOURCES - OIEP")</f>
        <v>HUMAN RESOURCES - OIEP</v>
      </c>
      <c r="C637" t="str">
        <f t="shared" si="109"/>
        <v>2051 MERCATOR DRIVE</v>
      </c>
      <c r="D637" t="s">
        <v>0</v>
      </c>
      <c r="E637" s="1" t="s">
        <v>0</v>
      </c>
      <c r="F637" t="s">
        <v>0</v>
      </c>
      <c r="G637" t="str">
        <f t="shared" si="110"/>
        <v>RESTON</v>
      </c>
      <c r="H637" t="str">
        <f t="shared" si="111"/>
        <v>VA </v>
      </c>
      <c r="I637" s="1">
        <f t="shared" si="112"/>
        <v>20191</v>
      </c>
      <c r="J637" s="1">
        <f t="shared" si="113"/>
        <v>7033906328</v>
      </c>
      <c r="K637" s="1">
        <f>N(7033906582)</f>
        <v>7033906582</v>
      </c>
    </row>
    <row r="638" spans="1:11" ht="12.75">
      <c r="A638" s="1" t="s">
        <v>11</v>
      </c>
      <c r="B638" t="str">
        <f>T("HUMAN RESOURCES - S WEST")</f>
        <v>HUMAN RESOURCES - S WEST</v>
      </c>
      <c r="C638" t="str">
        <f t="shared" si="109"/>
        <v>2051 MERCATOR DRIVE</v>
      </c>
      <c r="D638" t="s">
        <v>0</v>
      </c>
      <c r="E638" s="1" t="s">
        <v>0</v>
      </c>
      <c r="F638" t="s">
        <v>0</v>
      </c>
      <c r="G638" t="str">
        <f t="shared" si="110"/>
        <v>RESTON</v>
      </c>
      <c r="H638" t="str">
        <f t="shared" si="111"/>
        <v>VA </v>
      </c>
      <c r="I638" s="1">
        <f t="shared" si="112"/>
        <v>20191</v>
      </c>
      <c r="J638" s="1">
        <f t="shared" si="113"/>
        <v>7033906328</v>
      </c>
      <c r="K638" s="1">
        <f>N(7033906582)</f>
        <v>7033906582</v>
      </c>
    </row>
    <row r="639" spans="1:11" ht="12.75">
      <c r="A639" s="1" t="s">
        <v>11</v>
      </c>
      <c r="B639" t="str">
        <f>T("TRIBAL SVC-DIV OF TRANS")</f>
        <v>TRIBAL SVC-DIV OF TRANS</v>
      </c>
      <c r="C639" t="str">
        <f>T("1849 C Street NW")</f>
        <v>1849 C Street NW</v>
      </c>
      <c r="D639" t="s">
        <v>0</v>
      </c>
      <c r="E639" s="1" t="s">
        <v>0</v>
      </c>
      <c r="F639" t="s">
        <v>0</v>
      </c>
      <c r="G639" t="str">
        <f>T("Washington")</f>
        <v>Washington</v>
      </c>
      <c r="H639" t="str">
        <f>T("DC ")</f>
        <v>DC </v>
      </c>
      <c r="I639" s="1">
        <f>N(20240)</f>
        <v>20240</v>
      </c>
      <c r="J639" s="1">
        <f>N(7033906461)</f>
        <v>7033906461</v>
      </c>
      <c r="K639" s="1" t="s">
        <v>0</v>
      </c>
    </row>
    <row r="640" spans="1:11" ht="12.75">
      <c r="A640" s="1" t="s">
        <v>11</v>
      </c>
      <c r="B640" t="str">
        <f>T("TRIBAL SVS-DIV OF CREDIT")</f>
        <v>TRIBAL SVS-DIV OF CREDIT</v>
      </c>
      <c r="C640" t="str">
        <f>T("1849 c street nw")</f>
        <v>1849 c street nw</v>
      </c>
      <c r="D640" t="s">
        <v>0</v>
      </c>
      <c r="E640" s="1" t="s">
        <v>0</v>
      </c>
      <c r="F640" t="s">
        <v>0</v>
      </c>
      <c r="G640" t="str">
        <f>T("washington")</f>
        <v>washington</v>
      </c>
      <c r="H640" t="str">
        <f>T("dc ")</f>
        <v>dc </v>
      </c>
      <c r="I640" s="1">
        <f>N(20240)</f>
        <v>20240</v>
      </c>
      <c r="J640" s="1">
        <f>N(7033906461)</f>
        <v>7033906461</v>
      </c>
      <c r="K640" s="1" t="s">
        <v>0</v>
      </c>
    </row>
    <row r="641" spans="1:11" ht="12.75">
      <c r="A641" s="1" t="s">
        <v>11</v>
      </c>
      <c r="B641" t="str">
        <f>T("NAVAJO INDIAN IRRIGATION PRJCT")</f>
        <v>NAVAJO INDIAN IRRIGATION PRJCT</v>
      </c>
      <c r="C641" t="str">
        <f>T("PO BOX 1060")</f>
        <v>PO BOX 1060</v>
      </c>
      <c r="D641" t="s">
        <v>0</v>
      </c>
      <c r="E641" s="1" t="s">
        <v>0</v>
      </c>
      <c r="F641" t="s">
        <v>0</v>
      </c>
      <c r="G641" t="str">
        <f>T("GALLUP")</f>
        <v>GALLUP</v>
      </c>
      <c r="H641" t="str">
        <f aca="true" t="shared" si="114" ref="H641:H657">T("NM ")</f>
        <v>NM </v>
      </c>
      <c r="I641" s="1">
        <f>N(87305)</f>
        <v>87305</v>
      </c>
      <c r="J641" s="1" t="str">
        <f>T("505-863-8525")</f>
        <v>505-863-8525</v>
      </c>
      <c r="K641" s="1" t="s">
        <v>0</v>
      </c>
    </row>
    <row r="642" spans="1:11" ht="12.75">
      <c r="A642" s="1" t="s">
        <v>11</v>
      </c>
      <c r="B642" t="str">
        <f>T("NATURAL RESOURCES WNA")</f>
        <v>NATURAL RESOURCES WNA</v>
      </c>
      <c r="C642" t="str">
        <f>T("PO BOX 1060")</f>
        <v>PO BOX 1060</v>
      </c>
      <c r="D642" t="s">
        <v>0</v>
      </c>
      <c r="E642" s="1" t="s">
        <v>0</v>
      </c>
      <c r="F642" t="s">
        <v>0</v>
      </c>
      <c r="G642" t="str">
        <f>T("GALLUP")</f>
        <v>GALLUP</v>
      </c>
      <c r="H642" t="str">
        <f t="shared" si="114"/>
        <v>NM </v>
      </c>
      <c r="I642" s="1">
        <f>N(87305)</f>
        <v>87305</v>
      </c>
      <c r="J642" s="1">
        <f aca="true" t="shared" si="115" ref="J642:J647">N(5058638525)</f>
        <v>5058638525</v>
      </c>
      <c r="K642" s="1" t="s">
        <v>0</v>
      </c>
    </row>
    <row r="643" spans="1:11" ht="12.75">
      <c r="A643" s="1" t="s">
        <v>11</v>
      </c>
      <c r="B643" t="str">
        <f>T("NATURAL RESOURCES CHINLE")</f>
        <v>NATURAL RESOURCES CHINLE</v>
      </c>
      <c r="C643" t="str">
        <f>T("PO BOX 1060")</f>
        <v>PO BOX 1060</v>
      </c>
      <c r="D643" t="s">
        <v>0</v>
      </c>
      <c r="E643" s="1" t="s">
        <v>0</v>
      </c>
      <c r="F643" t="s">
        <v>0</v>
      </c>
      <c r="G643" t="str">
        <f>T("GALLUP")</f>
        <v>GALLUP</v>
      </c>
      <c r="H643" t="str">
        <f t="shared" si="114"/>
        <v>NM </v>
      </c>
      <c r="I643" s="1">
        <f>N(87305)</f>
        <v>87305</v>
      </c>
      <c r="J643" s="1">
        <f t="shared" si="115"/>
        <v>5058638525</v>
      </c>
      <c r="K643" s="1" t="s">
        <v>0</v>
      </c>
    </row>
    <row r="644" spans="1:11" ht="12.75">
      <c r="A644" s="1" t="s">
        <v>11</v>
      </c>
      <c r="B644" t="str">
        <f>T("NATURAL RESOURCES FT DEFIANCE")</f>
        <v>NATURAL RESOURCES FT DEFIANCE</v>
      </c>
      <c r="C644" t="str">
        <f>T("PO BOX 1060")</f>
        <v>PO BOX 1060</v>
      </c>
      <c r="D644" t="s">
        <v>0</v>
      </c>
      <c r="E644" s="1" t="s">
        <v>0</v>
      </c>
      <c r="F644" t="s">
        <v>0</v>
      </c>
      <c r="G644" t="str">
        <f>T("GALLUP")</f>
        <v>GALLUP</v>
      </c>
      <c r="H644" t="str">
        <f t="shared" si="114"/>
        <v>NM </v>
      </c>
      <c r="I644" s="1">
        <f>N(87305)</f>
        <v>87305</v>
      </c>
      <c r="J644" s="1">
        <f t="shared" si="115"/>
        <v>5058638525</v>
      </c>
      <c r="K644" s="1" t="s">
        <v>0</v>
      </c>
    </row>
    <row r="645" spans="1:11" ht="12.75">
      <c r="A645" s="1" t="s">
        <v>11</v>
      </c>
      <c r="B645" t="str">
        <f>T("REAL ESTATE SERVICE-EASTERN NA")</f>
        <v>REAL ESTATE SERVICE-EASTERN NA</v>
      </c>
      <c r="C645" t="str">
        <f>T("P O BOX 328")</f>
        <v>P O BOX 328</v>
      </c>
      <c r="D645" t="s">
        <v>0</v>
      </c>
      <c r="E645" s="1" t="s">
        <v>0</v>
      </c>
      <c r="F645" t="s">
        <v>0</v>
      </c>
      <c r="G645" t="str">
        <f>T("CROWNPOINT")</f>
        <v>CROWNPOINT</v>
      </c>
      <c r="H645" t="str">
        <f t="shared" si="114"/>
        <v>NM </v>
      </c>
      <c r="I645" s="1">
        <f>N(87313)</f>
        <v>87313</v>
      </c>
      <c r="J645" s="1">
        <f t="shared" si="115"/>
        <v>5058638525</v>
      </c>
      <c r="K645" s="1" t="s">
        <v>0</v>
      </c>
    </row>
    <row r="646" spans="1:11" ht="12.75">
      <c r="A646" s="1" t="s">
        <v>11</v>
      </c>
      <c r="B646" t="str">
        <f>T("NATURAL RESOURCES-EASTERN NAVA")</f>
        <v>NATURAL RESOURCES-EASTERN NAVA</v>
      </c>
      <c r="C646" t="str">
        <f>T("P O BOX 328")</f>
        <v>P O BOX 328</v>
      </c>
      <c r="D646" t="s">
        <v>0</v>
      </c>
      <c r="E646" s="1" t="s">
        <v>0</v>
      </c>
      <c r="F646" t="s">
        <v>0</v>
      </c>
      <c r="G646" t="str">
        <f>T("CROWNPOINT")</f>
        <v>CROWNPOINT</v>
      </c>
      <c r="H646" t="str">
        <f t="shared" si="114"/>
        <v>NM </v>
      </c>
      <c r="I646" s="1">
        <f>N(87313)</f>
        <v>87313</v>
      </c>
      <c r="J646" s="1">
        <f t="shared" si="115"/>
        <v>5058638525</v>
      </c>
      <c r="K646" s="1" t="s">
        <v>0</v>
      </c>
    </row>
    <row r="647" spans="1:11" ht="12.75">
      <c r="A647" s="1" t="s">
        <v>11</v>
      </c>
      <c r="B647" t="str">
        <f>T("TRANSPORTATION-EASTERN NAVAJO")</f>
        <v>TRANSPORTATION-EASTERN NAVAJO</v>
      </c>
      <c r="C647" t="str">
        <f>T("P O BOX 328")</f>
        <v>P O BOX 328</v>
      </c>
      <c r="D647" t="s">
        <v>0</v>
      </c>
      <c r="E647" s="1" t="s">
        <v>0</v>
      </c>
      <c r="F647" t="s">
        <v>0</v>
      </c>
      <c r="G647" t="str">
        <f>T("CROWNPOINT")</f>
        <v>CROWNPOINT</v>
      </c>
      <c r="H647" t="str">
        <f t="shared" si="114"/>
        <v>NM </v>
      </c>
      <c r="I647" s="1">
        <f>N(87313)</f>
        <v>87313</v>
      </c>
      <c r="J647" s="1">
        <f t="shared" si="115"/>
        <v>5058638525</v>
      </c>
      <c r="K647" s="1" t="s">
        <v>0</v>
      </c>
    </row>
    <row r="648" spans="1:11" ht="12.75">
      <c r="A648" s="1" t="s">
        <v>11</v>
      </c>
      <c r="B648" t="str">
        <f>T("DIVISION OF CORRECTIONS SERVIC")</f>
        <v>DIVISION OF CORRECTIONS SERVIC</v>
      </c>
      <c r="C648" t="str">
        <f aca="true" t="shared" si="116" ref="C648:C657">T("PO BOX 26567")</f>
        <v>PO BOX 26567</v>
      </c>
      <c r="D648" t="s">
        <v>0</v>
      </c>
      <c r="E648" s="1" t="s">
        <v>0</v>
      </c>
      <c r="F648" t="s">
        <v>0</v>
      </c>
      <c r="G648" t="str">
        <f aca="true" t="shared" si="117" ref="G648:G657">T("ALBUQUERQUE")</f>
        <v>ALBUQUERQUE</v>
      </c>
      <c r="H648" t="str">
        <f t="shared" si="114"/>
        <v>NM </v>
      </c>
      <c r="I648" s="1">
        <f aca="true" t="shared" si="118" ref="I648:I657">N(871256567)</f>
        <v>871256567</v>
      </c>
      <c r="J648" s="1">
        <f aca="true" t="shared" si="119" ref="J648:J657">N(5055633160)</f>
        <v>5055633160</v>
      </c>
      <c r="K648" s="1" t="s">
        <v>0</v>
      </c>
    </row>
    <row r="649" spans="1:11" ht="12.75">
      <c r="A649" s="1" t="s">
        <v>11</v>
      </c>
      <c r="B649" t="str">
        <f>T("DISTRICT 1 CORRECTIONS")</f>
        <v>DISTRICT 1 CORRECTIONS</v>
      </c>
      <c r="C649" t="str">
        <f t="shared" si="116"/>
        <v>PO BOX 26567</v>
      </c>
      <c r="D649" t="s">
        <v>0</v>
      </c>
      <c r="E649" s="1" t="s">
        <v>0</v>
      </c>
      <c r="F649" t="s">
        <v>0</v>
      </c>
      <c r="G649" t="str">
        <f t="shared" si="117"/>
        <v>ALBUQUERQUE</v>
      </c>
      <c r="H649" t="str">
        <f t="shared" si="114"/>
        <v>NM </v>
      </c>
      <c r="I649" s="1">
        <f t="shared" si="118"/>
        <v>871256567</v>
      </c>
      <c r="J649" s="1">
        <f t="shared" si="119"/>
        <v>5055633160</v>
      </c>
      <c r="K649" s="1" t="s">
        <v>0</v>
      </c>
    </row>
    <row r="650" spans="1:11" ht="12.75">
      <c r="A650" s="1" t="s">
        <v>11</v>
      </c>
      <c r="B650" t="str">
        <f>T("STANDING ROCK DETENTION")</f>
        <v>STANDING ROCK DETENTION</v>
      </c>
      <c r="C650" t="str">
        <f t="shared" si="116"/>
        <v>PO BOX 26567</v>
      </c>
      <c r="D650" t="s">
        <v>0</v>
      </c>
      <c r="E650" s="1" t="s">
        <v>0</v>
      </c>
      <c r="F650" t="s">
        <v>0</v>
      </c>
      <c r="G650" t="str">
        <f t="shared" si="117"/>
        <v>ALBUQUERQUE</v>
      </c>
      <c r="H650" t="str">
        <f t="shared" si="114"/>
        <v>NM </v>
      </c>
      <c r="I650" s="1">
        <f t="shared" si="118"/>
        <v>871256567</v>
      </c>
      <c r="J650" s="1">
        <f t="shared" si="119"/>
        <v>5055633160</v>
      </c>
      <c r="K650" s="1" t="s">
        <v>0</v>
      </c>
    </row>
    <row r="651" spans="1:11" ht="12.75">
      <c r="A651" s="1" t="s">
        <v>11</v>
      </c>
      <c r="B651" t="str">
        <f>T("TURTLE MOUNTAIN DETENTION")</f>
        <v>TURTLE MOUNTAIN DETENTION</v>
      </c>
      <c r="C651" t="str">
        <f t="shared" si="116"/>
        <v>PO BOX 26567</v>
      </c>
      <c r="D651" t="s">
        <v>0</v>
      </c>
      <c r="E651" s="1" t="s">
        <v>0</v>
      </c>
      <c r="F651" t="s">
        <v>0</v>
      </c>
      <c r="G651" t="str">
        <f t="shared" si="117"/>
        <v>ALBUQUERQUE</v>
      </c>
      <c r="H651" t="str">
        <f t="shared" si="114"/>
        <v>NM </v>
      </c>
      <c r="I651" s="1">
        <f t="shared" si="118"/>
        <v>871256567</v>
      </c>
      <c r="J651" s="1">
        <f t="shared" si="119"/>
        <v>5055633160</v>
      </c>
      <c r="K651" s="1" t="s">
        <v>0</v>
      </c>
    </row>
    <row r="652" spans="1:11" ht="12.75">
      <c r="A652" s="1" t="s">
        <v>11</v>
      </c>
      <c r="B652" t="str">
        <f>T("FORT TOTTEN DETENTION")</f>
        <v>FORT TOTTEN DETENTION</v>
      </c>
      <c r="C652" t="str">
        <f t="shared" si="116"/>
        <v>PO BOX 26567</v>
      </c>
      <c r="D652" t="s">
        <v>0</v>
      </c>
      <c r="E652" s="1" t="s">
        <v>0</v>
      </c>
      <c r="F652" t="s">
        <v>0</v>
      </c>
      <c r="G652" t="str">
        <f t="shared" si="117"/>
        <v>ALBUQUERQUE</v>
      </c>
      <c r="H652" t="str">
        <f t="shared" si="114"/>
        <v>NM </v>
      </c>
      <c r="I652" s="1">
        <f t="shared" si="118"/>
        <v>871256567</v>
      </c>
      <c r="J652" s="1">
        <f t="shared" si="119"/>
        <v>5055633160</v>
      </c>
      <c r="K652" s="1" t="s">
        <v>0</v>
      </c>
    </row>
    <row r="653" spans="1:11" ht="12.75">
      <c r="A653" s="1" t="s">
        <v>11</v>
      </c>
      <c r="B653" t="str">
        <f>T("DISTRICT 3 CORRECTIONS")</f>
        <v>DISTRICT 3 CORRECTIONS</v>
      </c>
      <c r="C653" t="str">
        <f t="shared" si="116"/>
        <v>PO BOX 26567</v>
      </c>
      <c r="D653" t="s">
        <v>0</v>
      </c>
      <c r="E653" s="1" t="s">
        <v>0</v>
      </c>
      <c r="F653" t="s">
        <v>0</v>
      </c>
      <c r="G653" t="str">
        <f t="shared" si="117"/>
        <v>ALBUQUERQUE</v>
      </c>
      <c r="H653" t="str">
        <f t="shared" si="114"/>
        <v>NM </v>
      </c>
      <c r="I653" s="1">
        <f t="shared" si="118"/>
        <v>871256567</v>
      </c>
      <c r="J653" s="1">
        <f t="shared" si="119"/>
        <v>5055633160</v>
      </c>
      <c r="K653" s="1" t="s">
        <v>0</v>
      </c>
    </row>
    <row r="654" spans="1:11" ht="12.75">
      <c r="A654" s="1" t="s">
        <v>11</v>
      </c>
      <c r="B654" t="str">
        <f>T("EASTERN NEVEADA DETENTION")</f>
        <v>EASTERN NEVEADA DETENTION</v>
      </c>
      <c r="C654" t="str">
        <f t="shared" si="116"/>
        <v>PO BOX 26567</v>
      </c>
      <c r="D654" t="s">
        <v>0</v>
      </c>
      <c r="E654" s="1" t="s">
        <v>0</v>
      </c>
      <c r="F654" t="s">
        <v>0</v>
      </c>
      <c r="G654" t="str">
        <f t="shared" si="117"/>
        <v>ALBUQUERQUE</v>
      </c>
      <c r="H654" t="str">
        <f t="shared" si="114"/>
        <v>NM </v>
      </c>
      <c r="I654" s="1">
        <f t="shared" si="118"/>
        <v>871256567</v>
      </c>
      <c r="J654" s="1">
        <f t="shared" si="119"/>
        <v>5055633160</v>
      </c>
      <c r="K654" s="1" t="s">
        <v>0</v>
      </c>
    </row>
    <row r="655" spans="1:11" ht="12.75">
      <c r="A655" s="1" t="s">
        <v>11</v>
      </c>
      <c r="B655" t="str">
        <f>T("UTE MOUNTAIN UTE DETENTION")</f>
        <v>UTE MOUNTAIN UTE DETENTION</v>
      </c>
      <c r="C655" t="str">
        <f t="shared" si="116"/>
        <v>PO BOX 26567</v>
      </c>
      <c r="D655" t="s">
        <v>0</v>
      </c>
      <c r="E655" s="1" t="s">
        <v>0</v>
      </c>
      <c r="F655" t="s">
        <v>0</v>
      </c>
      <c r="G655" t="str">
        <f t="shared" si="117"/>
        <v>ALBUQUERQUE</v>
      </c>
      <c r="H655" t="str">
        <f t="shared" si="114"/>
        <v>NM </v>
      </c>
      <c r="I655" s="1">
        <f t="shared" si="118"/>
        <v>871256567</v>
      </c>
      <c r="J655" s="1">
        <f t="shared" si="119"/>
        <v>5055633160</v>
      </c>
      <c r="K655" s="1" t="s">
        <v>0</v>
      </c>
    </row>
    <row r="656" spans="1:11" ht="12.75">
      <c r="A656" s="1" t="s">
        <v>11</v>
      </c>
      <c r="B656" t="str">
        <f>T("NORTHERN CHEYENNE DETENTION")</f>
        <v>NORTHERN CHEYENNE DETENTION</v>
      </c>
      <c r="C656" t="str">
        <f t="shared" si="116"/>
        <v>PO BOX 26567</v>
      </c>
      <c r="D656" t="s">
        <v>0</v>
      </c>
      <c r="E656" s="1" t="s">
        <v>0</v>
      </c>
      <c r="F656" t="s">
        <v>0</v>
      </c>
      <c r="G656" t="str">
        <f t="shared" si="117"/>
        <v>ALBUQUERQUE</v>
      </c>
      <c r="H656" t="str">
        <f t="shared" si="114"/>
        <v>NM </v>
      </c>
      <c r="I656" s="1">
        <f t="shared" si="118"/>
        <v>871256567</v>
      </c>
      <c r="J656" s="1">
        <f t="shared" si="119"/>
        <v>5055633160</v>
      </c>
      <c r="K656" s="1" t="s">
        <v>0</v>
      </c>
    </row>
    <row r="657" spans="1:11" ht="12.75">
      <c r="A657" s="1" t="s">
        <v>11</v>
      </c>
      <c r="B657" t="str">
        <f>T("BLACKFEET DETENTION")</f>
        <v>BLACKFEET DETENTION</v>
      </c>
      <c r="C657" t="str">
        <f t="shared" si="116"/>
        <v>PO BOX 26567</v>
      </c>
      <c r="D657" t="s">
        <v>0</v>
      </c>
      <c r="E657" s="1" t="s">
        <v>0</v>
      </c>
      <c r="F657" t="s">
        <v>0</v>
      </c>
      <c r="G657" t="str">
        <f t="shared" si="117"/>
        <v>ALBUQUERQUE</v>
      </c>
      <c r="H657" t="str">
        <f t="shared" si="114"/>
        <v>NM </v>
      </c>
      <c r="I657" s="1">
        <f t="shared" si="118"/>
        <v>871256567</v>
      </c>
      <c r="J657" s="1">
        <f t="shared" si="119"/>
        <v>5055633160</v>
      </c>
      <c r="K657" s="1" t="s">
        <v>0</v>
      </c>
    </row>
    <row r="658" spans="1:11" ht="12.75">
      <c r="A658" s="1" t="s">
        <v>11</v>
      </c>
      <c r="B658" t="str">
        <f>T("IRRIGATION SAFETY OF DAMS")</f>
        <v>IRRIGATION SAFETY OF DAMS</v>
      </c>
      <c r="C658" t="str">
        <f>T("WESTERN REGIONAL OFFICE")</f>
        <v>WESTERN REGIONAL OFFICE</v>
      </c>
      <c r="D658" t="str">
        <f>T("PO BOX 10")</f>
        <v>PO BOX 10</v>
      </c>
      <c r="E658" s="1" t="s">
        <v>0</v>
      </c>
      <c r="F658" t="s">
        <v>0</v>
      </c>
      <c r="G658" t="str">
        <f>T("PHOENIX")</f>
        <v>PHOENIX</v>
      </c>
      <c r="H658" t="str">
        <f>T("AZ ")</f>
        <v>AZ </v>
      </c>
      <c r="I658" s="1">
        <f>N(850010010)</f>
        <v>850010010</v>
      </c>
      <c r="J658" s="1">
        <f>N(6023793318)</f>
        <v>6023793318</v>
      </c>
      <c r="K658" s="1" t="s">
        <v>0</v>
      </c>
    </row>
    <row r="659" spans="1:11" ht="12.75">
      <c r="A659" s="1" t="s">
        <v>11</v>
      </c>
      <c r="B659" t="str">
        <f>T("AGRICULTURE")</f>
        <v>AGRICULTURE</v>
      </c>
      <c r="C659" t="str">
        <f>T("WESTERN REGIONAL OFFICE")</f>
        <v>WESTERN REGIONAL OFFICE</v>
      </c>
      <c r="D659" t="str">
        <f>T("PO BOX 10")</f>
        <v>PO BOX 10</v>
      </c>
      <c r="E659" s="1" t="s">
        <v>0</v>
      </c>
      <c r="F659" t="s">
        <v>0</v>
      </c>
      <c r="G659" t="str">
        <f>T("PHOENIX")</f>
        <v>PHOENIX</v>
      </c>
      <c r="H659" t="str">
        <f>T("AZ ")</f>
        <v>AZ </v>
      </c>
      <c r="I659" s="1">
        <f>N(850010010)</f>
        <v>850010010</v>
      </c>
      <c r="J659" s="1">
        <f>N(6023793318)</f>
        <v>6023793318</v>
      </c>
      <c r="K659" s="1" t="s">
        <v>0</v>
      </c>
    </row>
    <row r="660" spans="1:11" ht="12.75">
      <c r="A660" s="1" t="s">
        <v>11</v>
      </c>
      <c r="B660" t="str">
        <f>T("CULTURE CENTER")</f>
        <v>CULTURE CENTER</v>
      </c>
      <c r="C660" t="str">
        <f aca="true" t="shared" si="120" ref="C660:C671">T("155 INDIAN AVE")</f>
        <v>155 INDIAN AVE</v>
      </c>
      <c r="D660" t="s">
        <v>0</v>
      </c>
      <c r="E660" s="1" t="s">
        <v>0</v>
      </c>
      <c r="F660" t="s">
        <v>0</v>
      </c>
      <c r="G660" t="str">
        <f aca="true" t="shared" si="121" ref="G660:G671">T("LAWRENCE")</f>
        <v>LAWRENCE</v>
      </c>
      <c r="H660" t="str">
        <f aca="true" t="shared" si="122" ref="H660:H671">T("KS ")</f>
        <v>KS </v>
      </c>
      <c r="I660" s="1">
        <f aca="true" t="shared" si="123" ref="I660:I671">N(66046)</f>
        <v>66046</v>
      </c>
      <c r="J660" s="1">
        <f aca="true" t="shared" si="124" ref="J660:J671">N(7857498486)</f>
        <v>7857498486</v>
      </c>
      <c r="K660" s="1" t="s">
        <v>0</v>
      </c>
    </row>
    <row r="661" spans="1:11" ht="12.75">
      <c r="A661" s="1" t="s">
        <v>11</v>
      </c>
      <c r="B661" t="str">
        <f>T("ATHELETICS")</f>
        <v>ATHELETICS</v>
      </c>
      <c r="C661" t="str">
        <f t="shared" si="120"/>
        <v>155 INDIAN AVE</v>
      </c>
      <c r="D661" t="s">
        <v>0</v>
      </c>
      <c r="E661" s="1" t="s">
        <v>0</v>
      </c>
      <c r="F661" t="s">
        <v>0</v>
      </c>
      <c r="G661" t="str">
        <f t="shared" si="121"/>
        <v>LAWRENCE</v>
      </c>
      <c r="H661" t="str">
        <f t="shared" si="122"/>
        <v>KS </v>
      </c>
      <c r="I661" s="1">
        <f t="shared" si="123"/>
        <v>66046</v>
      </c>
      <c r="J661" s="1">
        <f t="shared" si="124"/>
        <v>7857498486</v>
      </c>
      <c r="K661" s="1" t="s">
        <v>0</v>
      </c>
    </row>
    <row r="662" spans="1:11" ht="12.75">
      <c r="A662" s="1" t="s">
        <v>11</v>
      </c>
      <c r="B662" t="str">
        <f>T("EXTENSION OFFICE")</f>
        <v>EXTENSION OFFICE</v>
      </c>
      <c r="C662" t="str">
        <f t="shared" si="120"/>
        <v>155 INDIAN AVE</v>
      </c>
      <c r="D662" t="s">
        <v>0</v>
      </c>
      <c r="E662" s="1" t="s">
        <v>0</v>
      </c>
      <c r="F662" t="s">
        <v>0</v>
      </c>
      <c r="G662" t="str">
        <f t="shared" si="121"/>
        <v>LAWRENCE</v>
      </c>
      <c r="H662" t="str">
        <f t="shared" si="122"/>
        <v>KS </v>
      </c>
      <c r="I662" s="1">
        <f t="shared" si="123"/>
        <v>66046</v>
      </c>
      <c r="J662" s="1">
        <f t="shared" si="124"/>
        <v>7857498486</v>
      </c>
      <c r="K662" s="1" t="s">
        <v>0</v>
      </c>
    </row>
    <row r="663" spans="1:11" ht="12.75">
      <c r="A663" s="1" t="s">
        <v>11</v>
      </c>
      <c r="B663" t="str">
        <f>T("COMPUTER CENTER")</f>
        <v>COMPUTER CENTER</v>
      </c>
      <c r="C663" t="str">
        <f t="shared" si="120"/>
        <v>155 INDIAN AVE</v>
      </c>
      <c r="D663" t="s">
        <v>0</v>
      </c>
      <c r="E663" s="1" t="s">
        <v>0</v>
      </c>
      <c r="F663" t="s">
        <v>0</v>
      </c>
      <c r="G663" t="str">
        <f t="shared" si="121"/>
        <v>LAWRENCE</v>
      </c>
      <c r="H663" t="str">
        <f t="shared" si="122"/>
        <v>KS </v>
      </c>
      <c r="I663" s="1">
        <f t="shared" si="123"/>
        <v>66046</v>
      </c>
      <c r="J663" s="1">
        <f t="shared" si="124"/>
        <v>7857498486</v>
      </c>
      <c r="K663" s="1" t="s">
        <v>0</v>
      </c>
    </row>
    <row r="664" spans="1:11" ht="12.75">
      <c r="A664" s="1" t="s">
        <v>11</v>
      </c>
      <c r="B664" t="str">
        <f>T("SCHOOL OF BUSINESS")</f>
        <v>SCHOOL OF BUSINESS</v>
      </c>
      <c r="C664" t="str">
        <f t="shared" si="120"/>
        <v>155 INDIAN AVE</v>
      </c>
      <c r="D664" t="s">
        <v>0</v>
      </c>
      <c r="E664" s="1" t="s">
        <v>0</v>
      </c>
      <c r="F664" t="s">
        <v>0</v>
      </c>
      <c r="G664" t="str">
        <f t="shared" si="121"/>
        <v>LAWRENCE</v>
      </c>
      <c r="H664" t="str">
        <f t="shared" si="122"/>
        <v>KS </v>
      </c>
      <c r="I664" s="1">
        <f t="shared" si="123"/>
        <v>66046</v>
      </c>
      <c r="J664" s="1">
        <f t="shared" si="124"/>
        <v>7857498486</v>
      </c>
      <c r="K664" s="1" t="s">
        <v>0</v>
      </c>
    </row>
    <row r="665" spans="1:11" ht="12.75">
      <c r="A665" s="1" t="s">
        <v>11</v>
      </c>
      <c r="B665" t="str">
        <f>T("COLLEGE OF ARTS &amp; SCIENCES")</f>
        <v>COLLEGE OF ARTS &amp; SCIENCES</v>
      </c>
      <c r="C665" t="str">
        <f t="shared" si="120"/>
        <v>155 INDIAN AVE</v>
      </c>
      <c r="D665" t="s">
        <v>0</v>
      </c>
      <c r="E665" s="1" t="s">
        <v>0</v>
      </c>
      <c r="F665" t="s">
        <v>0</v>
      </c>
      <c r="G665" t="str">
        <f t="shared" si="121"/>
        <v>LAWRENCE</v>
      </c>
      <c r="H665" t="str">
        <f t="shared" si="122"/>
        <v>KS </v>
      </c>
      <c r="I665" s="1">
        <f t="shared" si="123"/>
        <v>66046</v>
      </c>
      <c r="J665" s="1">
        <f t="shared" si="124"/>
        <v>7857498486</v>
      </c>
      <c r="K665" s="1" t="s">
        <v>0</v>
      </c>
    </row>
    <row r="666" spans="1:11" ht="12.75">
      <c r="A666" s="1" t="s">
        <v>11</v>
      </c>
      <c r="B666" t="str">
        <f>T("LIBRARY")</f>
        <v>LIBRARY</v>
      </c>
      <c r="C666" t="str">
        <f t="shared" si="120"/>
        <v>155 INDIAN AVE</v>
      </c>
      <c r="D666" t="s">
        <v>0</v>
      </c>
      <c r="E666" s="1" t="s">
        <v>0</v>
      </c>
      <c r="F666" t="s">
        <v>0</v>
      </c>
      <c r="G666" t="str">
        <f t="shared" si="121"/>
        <v>LAWRENCE</v>
      </c>
      <c r="H666" t="str">
        <f t="shared" si="122"/>
        <v>KS </v>
      </c>
      <c r="I666" s="1">
        <f t="shared" si="123"/>
        <v>66046</v>
      </c>
      <c r="J666" s="1">
        <f t="shared" si="124"/>
        <v>7857498486</v>
      </c>
      <c r="K666" s="1" t="s">
        <v>0</v>
      </c>
    </row>
    <row r="667" spans="1:11" ht="12.75">
      <c r="A667" s="1" t="s">
        <v>11</v>
      </c>
      <c r="B667" t="str">
        <f>T("MATH DEPARTMENT")</f>
        <v>MATH DEPARTMENT</v>
      </c>
      <c r="C667" t="str">
        <f t="shared" si="120"/>
        <v>155 INDIAN AVE</v>
      </c>
      <c r="D667" t="s">
        <v>0</v>
      </c>
      <c r="E667" s="1" t="s">
        <v>0</v>
      </c>
      <c r="F667" t="s">
        <v>0</v>
      </c>
      <c r="G667" t="str">
        <f t="shared" si="121"/>
        <v>LAWRENCE</v>
      </c>
      <c r="H667" t="str">
        <f t="shared" si="122"/>
        <v>KS </v>
      </c>
      <c r="I667" s="1">
        <f t="shared" si="123"/>
        <v>66046</v>
      </c>
      <c r="J667" s="1">
        <f t="shared" si="124"/>
        <v>7857498486</v>
      </c>
      <c r="K667" s="1" t="s">
        <v>0</v>
      </c>
    </row>
    <row r="668" spans="1:11" ht="12.75">
      <c r="A668" s="1" t="s">
        <v>11</v>
      </c>
      <c r="B668" t="str">
        <f>T("NATURAL SCIENCES")</f>
        <v>NATURAL SCIENCES</v>
      </c>
      <c r="C668" t="str">
        <f t="shared" si="120"/>
        <v>155 INDIAN AVE</v>
      </c>
      <c r="D668" t="s">
        <v>0</v>
      </c>
      <c r="E668" s="1" t="s">
        <v>0</v>
      </c>
      <c r="F668" t="s">
        <v>0</v>
      </c>
      <c r="G668" t="str">
        <f t="shared" si="121"/>
        <v>LAWRENCE</v>
      </c>
      <c r="H668" t="str">
        <f t="shared" si="122"/>
        <v>KS </v>
      </c>
      <c r="I668" s="1">
        <f t="shared" si="123"/>
        <v>66046</v>
      </c>
      <c r="J668" s="1">
        <f t="shared" si="124"/>
        <v>7857498486</v>
      </c>
      <c r="K668" s="1" t="s">
        <v>0</v>
      </c>
    </row>
    <row r="669" spans="1:11" ht="12.75">
      <c r="A669" s="1" t="s">
        <v>11</v>
      </c>
      <c r="B669" t="str">
        <f>T("TEACHERS EDUCATION")</f>
        <v>TEACHERS EDUCATION</v>
      </c>
      <c r="C669" t="str">
        <f t="shared" si="120"/>
        <v>155 INDIAN AVE</v>
      </c>
      <c r="D669" t="s">
        <v>0</v>
      </c>
      <c r="E669" s="1" t="s">
        <v>0</v>
      </c>
      <c r="F669" t="s">
        <v>0</v>
      </c>
      <c r="G669" t="str">
        <f t="shared" si="121"/>
        <v>LAWRENCE</v>
      </c>
      <c r="H669" t="str">
        <f t="shared" si="122"/>
        <v>KS </v>
      </c>
      <c r="I669" s="1">
        <f t="shared" si="123"/>
        <v>66046</v>
      </c>
      <c r="J669" s="1">
        <f t="shared" si="124"/>
        <v>7857498486</v>
      </c>
      <c r="K669" s="1" t="s">
        <v>0</v>
      </c>
    </row>
    <row r="670" spans="1:11" ht="12.75">
      <c r="A670" s="1" t="s">
        <v>11</v>
      </c>
      <c r="B670" t="str">
        <f>T("HOUSING")</f>
        <v>HOUSING</v>
      </c>
      <c r="C670" t="str">
        <f t="shared" si="120"/>
        <v>155 INDIAN AVE</v>
      </c>
      <c r="D670" t="s">
        <v>0</v>
      </c>
      <c r="E670" s="1" t="s">
        <v>0</v>
      </c>
      <c r="F670" t="s">
        <v>0</v>
      </c>
      <c r="G670" t="str">
        <f t="shared" si="121"/>
        <v>LAWRENCE</v>
      </c>
      <c r="H670" t="str">
        <f t="shared" si="122"/>
        <v>KS </v>
      </c>
      <c r="I670" s="1">
        <f t="shared" si="123"/>
        <v>66046</v>
      </c>
      <c r="J670" s="1">
        <f t="shared" si="124"/>
        <v>7857498486</v>
      </c>
      <c r="K670" s="1" t="s">
        <v>0</v>
      </c>
    </row>
    <row r="671" spans="1:11" ht="12.75">
      <c r="A671" s="1" t="s">
        <v>11</v>
      </c>
      <c r="B671" t="str">
        <f>T("FOOD SERVICE")</f>
        <v>FOOD SERVICE</v>
      </c>
      <c r="C671" t="str">
        <f t="shared" si="120"/>
        <v>155 INDIAN AVE</v>
      </c>
      <c r="D671" t="s">
        <v>0</v>
      </c>
      <c r="E671" s="1" t="s">
        <v>0</v>
      </c>
      <c r="F671" t="s">
        <v>0</v>
      </c>
      <c r="G671" t="str">
        <f t="shared" si="121"/>
        <v>LAWRENCE</v>
      </c>
      <c r="H671" t="str">
        <f t="shared" si="122"/>
        <v>KS </v>
      </c>
      <c r="I671" s="1">
        <f t="shared" si="123"/>
        <v>66046</v>
      </c>
      <c r="J671" s="1">
        <f t="shared" si="124"/>
        <v>7857498486</v>
      </c>
      <c r="K671" s="1" t="s">
        <v>0</v>
      </c>
    </row>
    <row r="672" spans="1:11" ht="12.75">
      <c r="A672" s="1" t="s">
        <v>11</v>
      </c>
      <c r="B672" t="str">
        <f>T("SAFETY MGMT-NAVAJO")</f>
        <v>SAFETY MGMT-NAVAJO</v>
      </c>
      <c r="C672" t="str">
        <f>T("P O BOX 1060")</f>
        <v>P O BOX 1060</v>
      </c>
      <c r="D672" t="s">
        <v>0</v>
      </c>
      <c r="E672" s="1" t="s">
        <v>0</v>
      </c>
      <c r="F672" t="s">
        <v>0</v>
      </c>
      <c r="G672" t="str">
        <f>T("GALLUP")</f>
        <v>GALLUP</v>
      </c>
      <c r="H672" t="str">
        <f>T("NM ")</f>
        <v>NM </v>
      </c>
      <c r="I672" s="1">
        <f>N(87305)</f>
        <v>87305</v>
      </c>
      <c r="J672" s="1">
        <f>N(5058638525)</f>
        <v>5058638525</v>
      </c>
      <c r="K672" s="1" t="s">
        <v>0</v>
      </c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Cjmacarthur</dc:creator>
  <cp:keywords/>
  <dc:description/>
  <cp:lastModifiedBy>Cjmacarthur</cp:lastModifiedBy>
  <dcterms:created xsi:type="dcterms:W3CDTF">2007-04-30T14:29:01Z</dcterms:created>
  <dcterms:modified xsi:type="dcterms:W3CDTF">2007-05-01T17:50:19Z</dcterms:modified>
  <cp:category/>
  <cp:version/>
  <cp:contentType/>
  <cp:contentStatus/>
</cp:coreProperties>
</file>