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75" windowWidth="12870" windowHeight="7035" activeTab="1"/>
  </bookViews>
  <sheets>
    <sheet name="Message" sheetId="1" r:id="rId1"/>
    <sheet name="Input" sheetId="2" r:id="rId2"/>
  </sheets>
  <definedNames>
    <definedName name="_xlnm.Print_Area" localSheetId="1">'Input'!$A$3:$K$64</definedName>
  </definedNames>
  <calcPr fullCalcOnLoad="1"/>
</workbook>
</file>

<file path=xl/sharedStrings.xml><?xml version="1.0" encoding="utf-8"?>
<sst xmlns="http://schemas.openxmlformats.org/spreadsheetml/2006/main" count="115" uniqueCount="101">
  <si>
    <t>For Liquid Cooled Engines:</t>
  </si>
  <si>
    <t>Contact Information:</t>
  </si>
  <si>
    <t>Sodoku</t>
  </si>
  <si>
    <t>7xx.xx</t>
  </si>
  <si>
    <t>Please list any equipment, special settings and/or requirements not outlined in this document:</t>
  </si>
  <si>
    <t>The engine needs to arrive at NVFEL in the predetermined configuration with appropriate adapters</t>
  </si>
  <si>
    <t>and the correct interface.  Additional time needed to accommodate engine configuration differences</t>
  </si>
  <si>
    <t>and inappropriate adapters could cause a delay in engine testing and a possible need for</t>
  </si>
  <si>
    <t>rescheduling of the test date.</t>
  </si>
  <si>
    <t>hours</t>
  </si>
  <si>
    <t>CFR 90 Non-Road Spark Ignition Confirmatory Testing - Engine Information</t>
  </si>
  <si>
    <t>See CFR 90.116</t>
  </si>
  <si>
    <t>handheld</t>
  </si>
  <si>
    <t>cylinders</t>
  </si>
  <si>
    <t>Operating Fuel(s)</t>
  </si>
  <si>
    <t>Compliance Categories</t>
  </si>
  <si>
    <t>C = 50 hours</t>
  </si>
  <si>
    <t>B = 125 hours</t>
  </si>
  <si>
    <t>under 66 cc</t>
  </si>
  <si>
    <t>over 66 cc under 225 cc</t>
  </si>
  <si>
    <t>C = 125 hours</t>
  </si>
  <si>
    <t>B = 250 hours</t>
  </si>
  <si>
    <t>A = 500 hours</t>
  </si>
  <si>
    <t>over 225</t>
  </si>
  <si>
    <t>C = 250 hours</t>
  </si>
  <si>
    <t>B = 500 hours</t>
  </si>
  <si>
    <t>A = 1000 hours</t>
  </si>
  <si>
    <t>NONHANDHELD</t>
  </si>
  <si>
    <t>A = 300 hours</t>
  </si>
  <si>
    <t>HANDHELD</t>
  </si>
  <si>
    <t>all displacements</t>
  </si>
  <si>
    <t>I-B nonhandheld 66 to 99 cc</t>
  </si>
  <si>
    <t>I nonhandheld 100 to 224 cc</t>
  </si>
  <si>
    <t>I-A nonhandheld under 66 cc</t>
  </si>
  <si>
    <t>III handheld under 20 cc</t>
  </si>
  <si>
    <t>IV handheld 20 to 49 cc</t>
  </si>
  <si>
    <t>V handheld over 49 cc</t>
  </si>
  <si>
    <t>II nonhandheld over 224 cc</t>
  </si>
  <si>
    <t>combustion cycle</t>
  </si>
  <si>
    <t>cooling mechanism</t>
  </si>
  <si>
    <t>cylinder configuation (inline, vee, opposed, bore spacings, and so forth)</t>
  </si>
  <si>
    <t>number of cylinders</t>
  </si>
  <si>
    <t>engine class</t>
  </si>
  <si>
    <t>location of valves, where applicable, with respect to the cylinder (side or overhead valves)</t>
  </si>
  <si>
    <t>number of catylitic converters, location, volume and composition</t>
  </si>
  <si>
    <t>thermal reactor characteristics</t>
  </si>
  <si>
    <t>fuel (gasoline, ng, lpg…)</t>
  </si>
  <si>
    <t>useful life category</t>
  </si>
  <si>
    <t>air inlet filter system and exhaust muffler system combination must be the systems expected to yield the highest emission levels.</t>
  </si>
  <si>
    <t>Engine Class</t>
  </si>
  <si>
    <t>90.114 Important Engine Information</t>
  </si>
  <si>
    <t>90.105 Usefule Life Engine Hours Category (for classes I, II, and III)</t>
  </si>
  <si>
    <t>SOD</t>
  </si>
  <si>
    <t>Durango</t>
  </si>
  <si>
    <t>two or four stroke?</t>
  </si>
  <si>
    <t>30W</t>
  </si>
  <si>
    <t>Parameter Set Points (generally Class II engines only):</t>
  </si>
  <si>
    <t>Cycle</t>
  </si>
  <si>
    <t>A</t>
  </si>
  <si>
    <t>B</t>
  </si>
  <si>
    <t>C</t>
  </si>
  <si>
    <t>Modes</t>
  </si>
  <si>
    <t>non-handheld</t>
  </si>
  <si>
    <t>SD</t>
  </si>
  <si>
    <t>Synthetic</t>
  </si>
  <si>
    <t>The manufacturer will need to supply the cooling system for testing liquid cooled engines at NVFEL.</t>
  </si>
  <si>
    <t>pull</t>
  </si>
  <si>
    <t>Considerations</t>
  </si>
  <si>
    <t xml:space="preserve"> &lt;-- 90.308</t>
  </si>
  <si>
    <t>Low S Test Fuel</t>
  </si>
  <si>
    <t>gravity</t>
  </si>
  <si>
    <t>Catalyst</t>
  </si>
  <si>
    <t>kW</t>
  </si>
  <si>
    <t>Lead Engineer</t>
  </si>
  <si>
    <t>734 444-12345</t>
  </si>
  <si>
    <t>none</t>
  </si>
  <si>
    <t>fixed</t>
  </si>
  <si>
    <t>Joe Motors</t>
  </si>
  <si>
    <t>joe.motors@enginz.com</t>
  </si>
  <si>
    <t>Operating Hours</t>
  </si>
  <si>
    <t>Test Cycle</t>
  </si>
  <si>
    <t>hh or &lt; 66</t>
  </si>
  <si>
    <t>66 to 224</t>
  </si>
  <si>
    <t>select</t>
  </si>
  <si>
    <t>Manufacturer Test Results</t>
  </si>
  <si>
    <t>NMHC</t>
  </si>
  <si>
    <t>CH4</t>
  </si>
  <si>
    <t>NonRoadDieselConfTestEngInfo_071213.xls</t>
  </si>
  <si>
    <t>Page 1/2</t>
  </si>
  <si>
    <t>Office of Transportation and Air Quality</t>
  </si>
  <si>
    <t>December 2007</t>
  </si>
  <si>
    <t>Please provide the most recent results from the</t>
  </si>
  <si>
    <t>actual test engine sent for confirmatory testing.</t>
  </si>
  <si>
    <t>Date</t>
  </si>
  <si>
    <t>rs</t>
  </si>
  <si>
    <t>is</t>
  </si>
  <si>
    <t>cycle</t>
  </si>
  <si>
    <t>Manufacturer will supply and deliver two-cycle oil, crankcase oil and MSDS's prior to start of testing.</t>
  </si>
  <si>
    <t>Parameters will be set as close as possible to the setpoints provided but CFR requirements override manufacturer recommended setpoints.</t>
  </si>
  <si>
    <t>* Cycle A only</t>
  </si>
  <si>
    <t>Sodoku Enginz LLC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</si>
</sst>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22">
    <font>
      <sz val="10"/>
      <name val="Arial"/>
      <family val="0"/>
    </font>
    <font>
      <sz val="12"/>
      <name val="Times New Roman"/>
      <family val="1"/>
    </font>
    <font>
      <sz val="10"/>
      <name val="Times New Roman"/>
      <family val="1"/>
    </font>
    <font>
      <b/>
      <sz val="18"/>
      <name val="Times New Roman"/>
      <family val="1"/>
    </font>
    <font>
      <b/>
      <sz val="16"/>
      <name val="Times New Roman"/>
      <family val="1"/>
    </font>
    <font>
      <b/>
      <sz val="12"/>
      <name val="Times New Roman"/>
      <family val="1"/>
    </font>
    <font>
      <sz val="10"/>
      <color indexed="40"/>
      <name val="Times New Roman"/>
      <family val="1"/>
    </font>
    <font>
      <sz val="12"/>
      <color indexed="40"/>
      <name val="Times New Roman"/>
      <family val="1"/>
    </font>
    <font>
      <sz val="8"/>
      <name val="Tahoma"/>
      <family val="2"/>
    </font>
    <font>
      <sz val="12"/>
      <name val="Arial"/>
      <family val="0"/>
    </font>
    <font>
      <b/>
      <sz val="10"/>
      <name val="Times New Roman"/>
      <family val="1"/>
    </font>
    <font>
      <b/>
      <sz val="10"/>
      <name val="Arial"/>
      <family val="2"/>
    </font>
    <font>
      <b/>
      <sz val="14"/>
      <name val="Times New Roman"/>
      <family val="1"/>
    </font>
    <font>
      <sz val="8"/>
      <name val="Times New Roman"/>
      <family val="1"/>
    </font>
    <font>
      <sz val="8"/>
      <name val="Arial"/>
      <family val="0"/>
    </font>
    <font>
      <i/>
      <sz val="8"/>
      <name val="Times New Roman"/>
      <family val="1"/>
    </font>
    <font>
      <sz val="8"/>
      <color indexed="40"/>
      <name val="Times New Roman"/>
      <family val="1"/>
    </font>
    <font>
      <b/>
      <sz val="8"/>
      <name val="Times New Roman"/>
      <family val="1"/>
    </font>
    <font>
      <sz val="14"/>
      <name val="Times New Roman"/>
      <family val="1"/>
    </font>
    <font>
      <b/>
      <sz val="8"/>
      <name val="Arial"/>
      <family val="2"/>
    </font>
    <font>
      <u val="single"/>
      <sz val="10"/>
      <color indexed="12"/>
      <name val="Arial"/>
      <family val="0"/>
    </font>
    <font>
      <u val="single"/>
      <sz val="10"/>
      <color indexed="36"/>
      <name val="Arial"/>
      <family val="0"/>
    </font>
  </fonts>
  <fills count="8">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5"/>
        <bgColor indexed="64"/>
      </patternFill>
    </fill>
  </fills>
  <borders count="9">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0" fillId="2" borderId="0" xfId="0" applyFill="1" applyAlignment="1" applyProtection="1">
      <alignment/>
      <protection/>
    </xf>
    <xf numFmtId="0" fontId="1" fillId="2" borderId="0" xfId="0" applyFont="1" applyFill="1" applyAlignment="1" applyProtection="1">
      <alignment horizontal="right"/>
      <protection/>
    </xf>
    <xf numFmtId="0" fontId="1" fillId="2" borderId="0" xfId="0" applyFont="1" applyFill="1" applyAlignment="1" applyProtection="1">
      <alignment/>
      <protection/>
    </xf>
    <xf numFmtId="0" fontId="1" fillId="0" borderId="1" xfId="0" applyFont="1" applyFill="1" applyBorder="1" applyAlignment="1" applyProtection="1">
      <alignment/>
      <protection locked="0"/>
    </xf>
    <xf numFmtId="0" fontId="0" fillId="2" borderId="0" xfId="0" applyFill="1" applyBorder="1" applyAlignment="1" applyProtection="1">
      <alignment/>
      <protection/>
    </xf>
    <xf numFmtId="0" fontId="10" fillId="2" borderId="0" xfId="0" applyFont="1" applyFill="1" applyAlignment="1" applyProtection="1">
      <alignment/>
      <protection/>
    </xf>
    <xf numFmtId="0" fontId="12" fillId="0" borderId="0" xfId="0" applyFont="1" applyAlignment="1">
      <alignment/>
    </xf>
    <xf numFmtId="168" fontId="1" fillId="0" borderId="1" xfId="0" applyNumberFormat="1" applyFont="1" applyFill="1" applyBorder="1" applyAlignment="1" applyProtection="1">
      <alignment/>
      <protection locked="0"/>
    </xf>
    <xf numFmtId="0" fontId="2" fillId="2" borderId="0" xfId="0" applyFont="1" applyFill="1" applyAlignment="1" applyProtection="1">
      <alignment/>
      <protection/>
    </xf>
    <xf numFmtId="0" fontId="1" fillId="0" borderId="1" xfId="0" applyFont="1" applyFill="1" applyBorder="1" applyAlignment="1" applyProtection="1">
      <alignment/>
      <protection locked="0"/>
    </xf>
    <xf numFmtId="0" fontId="14" fillId="2" borderId="0" xfId="0" applyFont="1" applyFill="1" applyBorder="1" applyAlignment="1" applyProtection="1">
      <alignment/>
      <protection/>
    </xf>
    <xf numFmtId="0" fontId="15" fillId="2" borderId="0" xfId="0" applyFont="1" applyFill="1" applyAlignment="1" applyProtection="1">
      <alignment/>
      <protection/>
    </xf>
    <xf numFmtId="0" fontId="18" fillId="0" borderId="0" xfId="0" applyFont="1" applyAlignment="1">
      <alignment/>
    </xf>
    <xf numFmtId="0" fontId="3" fillId="2" borderId="0" xfId="0" applyFont="1" applyFill="1" applyAlignment="1" applyProtection="1">
      <alignment/>
      <protection/>
    </xf>
    <xf numFmtId="0" fontId="5"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xf>
    <xf numFmtId="0" fontId="14" fillId="0" borderId="0" xfId="0" applyFont="1" applyAlignment="1" applyProtection="1">
      <alignment/>
      <protection/>
    </xf>
    <xf numFmtId="0" fontId="19" fillId="0" borderId="0" xfId="0" applyFont="1" applyAlignment="1" applyProtection="1">
      <alignment/>
      <protection/>
    </xf>
    <xf numFmtId="0" fontId="14" fillId="2" borderId="0" xfId="0" applyFont="1" applyFill="1" applyAlignment="1" applyProtection="1">
      <alignment/>
      <protection/>
    </xf>
    <xf numFmtId="0" fontId="13" fillId="2" borderId="0" xfId="0" applyFont="1" applyFill="1" applyAlignment="1" applyProtection="1">
      <alignment/>
      <protection/>
    </xf>
    <xf numFmtId="0" fontId="1" fillId="2" borderId="0" xfId="0" applyFont="1" applyFill="1" applyBorder="1" applyAlignment="1" applyProtection="1">
      <alignment/>
      <protection/>
    </xf>
    <xf numFmtId="0" fontId="6" fillId="2" borderId="0" xfId="0" applyFont="1" applyFill="1" applyBorder="1" applyAlignment="1" applyProtection="1">
      <alignment/>
      <protection/>
    </xf>
    <xf numFmtId="0" fontId="16" fillId="2" borderId="0" xfId="0" applyFont="1" applyFill="1" applyBorder="1" applyAlignment="1" applyProtection="1">
      <alignment/>
      <protection/>
    </xf>
    <xf numFmtId="0" fontId="0" fillId="3" borderId="0" xfId="0" applyFill="1" applyAlignment="1" applyProtection="1">
      <alignment/>
      <protection/>
    </xf>
    <xf numFmtId="0" fontId="4" fillId="2" borderId="0" xfId="0" applyFont="1" applyFill="1" applyAlignment="1" applyProtection="1">
      <alignment/>
      <protection/>
    </xf>
    <xf numFmtId="0" fontId="5" fillId="2" borderId="0" xfId="0" applyFont="1" applyFill="1" applyBorder="1" applyAlignment="1" applyProtection="1">
      <alignment/>
      <protection/>
    </xf>
    <xf numFmtId="0" fontId="7" fillId="2" borderId="0" xfId="0" applyFont="1" applyFill="1" applyBorder="1" applyAlignment="1" applyProtection="1">
      <alignment/>
      <protection/>
    </xf>
    <xf numFmtId="0" fontId="14" fillId="3" borderId="0" xfId="0" applyFont="1" applyFill="1" applyAlignment="1" applyProtection="1">
      <alignment/>
      <protection/>
    </xf>
    <xf numFmtId="0" fontId="0" fillId="2" borderId="0" xfId="0" applyFont="1" applyFill="1" applyAlignment="1" applyProtection="1">
      <alignment/>
      <protection/>
    </xf>
    <xf numFmtId="0" fontId="0" fillId="4" borderId="0" xfId="0" applyFill="1" applyAlignment="1" applyProtection="1">
      <alignment/>
      <protection/>
    </xf>
    <xf numFmtId="0" fontId="0" fillId="4" borderId="0" xfId="0" applyFill="1" applyAlignment="1" applyProtection="1">
      <alignment horizontal="center"/>
      <protection/>
    </xf>
    <xf numFmtId="0" fontId="0" fillId="2" borderId="0" xfId="0" applyFont="1" applyFill="1" applyAlignment="1" applyProtection="1">
      <alignment/>
      <protection/>
    </xf>
    <xf numFmtId="0" fontId="5" fillId="2" borderId="0" xfId="0" applyFont="1" applyFill="1" applyAlignment="1" applyProtection="1">
      <alignment/>
      <protection/>
    </xf>
    <xf numFmtId="0" fontId="13" fillId="2" borderId="0" xfId="0" applyFont="1" applyFill="1" applyBorder="1" applyAlignment="1" applyProtection="1">
      <alignment/>
      <protection/>
    </xf>
    <xf numFmtId="0" fontId="13" fillId="2" borderId="0" xfId="0" applyFont="1" applyFill="1" applyAlignment="1" applyProtection="1">
      <alignment horizontal="right"/>
      <protection/>
    </xf>
    <xf numFmtId="0" fontId="9" fillId="2" borderId="0" xfId="0" applyFont="1" applyFill="1" applyAlignment="1" applyProtection="1">
      <alignment/>
      <protection/>
    </xf>
    <xf numFmtId="0" fontId="1" fillId="2" borderId="0" xfId="0" applyFont="1" applyFill="1" applyBorder="1" applyAlignment="1" applyProtection="1">
      <alignment/>
      <protection/>
    </xf>
    <xf numFmtId="0" fontId="0" fillId="0" borderId="0" xfId="0" applyFill="1" applyAlignment="1" applyProtection="1">
      <alignment/>
      <protection/>
    </xf>
    <xf numFmtId="0" fontId="1" fillId="2" borderId="0" xfId="0" applyFont="1" applyFill="1" applyAlignment="1" applyProtection="1">
      <alignment horizontal="left"/>
      <protection/>
    </xf>
    <xf numFmtId="0" fontId="2" fillId="0" borderId="0" xfId="0" applyFont="1" applyAlignment="1" applyProtection="1">
      <alignment/>
      <protection/>
    </xf>
    <xf numFmtId="0" fontId="1" fillId="5" borderId="1" xfId="0" applyFont="1" applyFill="1" applyBorder="1" applyAlignment="1" applyProtection="1">
      <alignment/>
      <protection locked="0"/>
    </xf>
    <xf numFmtId="0" fontId="1" fillId="0" borderId="1" xfId="0" applyFont="1" applyBorder="1" applyAlignment="1" applyProtection="1">
      <alignment/>
      <protection locked="0"/>
    </xf>
    <xf numFmtId="0" fontId="1" fillId="5" borderId="2" xfId="0" applyFont="1" applyFill="1" applyBorder="1" applyAlignment="1" applyProtection="1">
      <alignment/>
      <protection locked="0"/>
    </xf>
    <xf numFmtId="0" fontId="1" fillId="5" borderId="3" xfId="0" applyFont="1" applyFill="1" applyBorder="1" applyAlignment="1" applyProtection="1">
      <alignment/>
      <protection locked="0"/>
    </xf>
    <xf numFmtId="0" fontId="1" fillId="5" borderId="4" xfId="0" applyFont="1" applyFill="1" applyBorder="1" applyAlignment="1" applyProtection="1">
      <alignment/>
      <protection locked="0"/>
    </xf>
    <xf numFmtId="0" fontId="0" fillId="0" borderId="0" xfId="0" applyAlignment="1" applyProtection="1">
      <alignment horizontal="center"/>
      <protection/>
    </xf>
    <xf numFmtId="2" fontId="1" fillId="0" borderId="1" xfId="0" applyNumberFormat="1" applyFont="1" applyFill="1" applyBorder="1" applyAlignment="1" applyProtection="1">
      <alignment/>
      <protection locked="0"/>
    </xf>
    <xf numFmtId="0" fontId="0" fillId="6" borderId="0" xfId="0" applyFill="1" applyAlignment="1" applyProtection="1" quotePrefix="1">
      <alignment/>
      <protection/>
    </xf>
    <xf numFmtId="0" fontId="14" fillId="6" borderId="0" xfId="0" applyFont="1" applyFill="1" applyAlignment="1" applyProtection="1" quotePrefix="1">
      <alignment/>
      <protection/>
    </xf>
    <xf numFmtId="0" fontId="17" fillId="6" borderId="0" xfId="0" applyFont="1" applyFill="1" applyAlignment="1" applyProtection="1">
      <alignment/>
      <protection/>
    </xf>
    <xf numFmtId="0" fontId="0" fillId="6" borderId="0" xfId="0" applyFill="1" applyAlignment="1" applyProtection="1">
      <alignment/>
      <protection locked="0"/>
    </xf>
    <xf numFmtId="0" fontId="0" fillId="6" borderId="0" xfId="0" applyFill="1" applyAlignment="1" applyProtection="1">
      <alignment/>
      <protection/>
    </xf>
    <xf numFmtId="0" fontId="0" fillId="6" borderId="0" xfId="0" applyFill="1" applyAlignment="1" applyProtection="1">
      <alignment horizontal="center"/>
      <protection/>
    </xf>
    <xf numFmtId="0" fontId="14" fillId="6" borderId="0" xfId="0" applyFont="1" applyFill="1" applyAlignment="1" applyProtection="1">
      <alignment/>
      <protection/>
    </xf>
    <xf numFmtId="0" fontId="0" fillId="6" borderId="0" xfId="0" applyFill="1" applyAlignment="1" applyProtection="1">
      <alignment horizontal="center"/>
      <protection locked="0"/>
    </xf>
    <xf numFmtId="0" fontId="1" fillId="5" borderId="1" xfId="0" applyFont="1" applyFill="1" applyBorder="1" applyAlignment="1" applyProtection="1">
      <alignment horizontal="center"/>
      <protection locked="0"/>
    </xf>
    <xf numFmtId="0" fontId="1" fillId="2" borderId="0" xfId="0" applyFont="1" applyFill="1" applyAlignment="1" applyProtection="1">
      <alignment horizontal="center"/>
      <protection/>
    </xf>
    <xf numFmtId="0" fontId="13" fillId="0" borderId="1" xfId="0" applyFont="1" applyFill="1" applyBorder="1" applyAlignment="1" applyProtection="1">
      <alignment/>
      <protection locked="0"/>
    </xf>
    <xf numFmtId="1" fontId="1" fillId="0" borderId="1" xfId="0" applyNumberFormat="1" applyFont="1" applyBorder="1" applyAlignment="1" applyProtection="1">
      <alignment/>
      <protection locked="0"/>
    </xf>
    <xf numFmtId="0" fontId="2" fillId="2" borderId="0" xfId="0" applyFont="1" applyFill="1" applyAlignment="1" applyProtection="1">
      <alignment horizontal="right" vertical="center"/>
      <protection/>
    </xf>
    <xf numFmtId="0" fontId="0" fillId="2" borderId="0" xfId="0" applyFill="1" applyAlignment="1" applyProtection="1">
      <alignment horizontal="right" vertical="center"/>
      <protection/>
    </xf>
    <xf numFmtId="0" fontId="2" fillId="2" borderId="0" xfId="0" applyFont="1" applyFill="1" applyAlignment="1" applyProtection="1">
      <alignment vertical="center"/>
      <protection/>
    </xf>
    <xf numFmtId="17" fontId="0" fillId="2" borderId="0" xfId="0" applyNumberFormat="1" applyFill="1" applyAlignment="1" applyProtection="1" quotePrefix="1">
      <alignment horizontal="right" vertical="center"/>
      <protection/>
    </xf>
    <xf numFmtId="14" fontId="1" fillId="5" borderId="1" xfId="0" applyNumberFormat="1" applyFont="1" applyFill="1" applyBorder="1" applyAlignment="1" applyProtection="1">
      <alignment horizontal="center"/>
      <protection locked="0"/>
    </xf>
    <xf numFmtId="0" fontId="0" fillId="7" borderId="0" xfId="0" applyFill="1" applyAlignment="1" applyProtection="1">
      <alignment/>
      <protection/>
    </xf>
    <xf numFmtId="0" fontId="14" fillId="2" borderId="0" xfId="0" applyFont="1" applyFill="1" applyAlignment="1" applyProtection="1" quotePrefix="1">
      <alignment vertical="top"/>
      <protection/>
    </xf>
    <xf numFmtId="0" fontId="1" fillId="0" borderId="1" xfId="0" applyFont="1" applyFill="1" applyBorder="1" applyAlignment="1" applyProtection="1">
      <alignment horizontal="center"/>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1" fillId="0" borderId="2" xfId="0" applyFont="1" applyFill="1" applyBorder="1" applyAlignment="1" applyProtection="1">
      <alignment/>
      <protection locked="0"/>
    </xf>
    <xf numFmtId="0" fontId="1" fillId="0" borderId="3" xfId="0" applyFont="1" applyFill="1" applyBorder="1" applyAlignment="1" applyProtection="1">
      <alignment/>
      <protection locked="0"/>
    </xf>
    <xf numFmtId="0" fontId="9" fillId="0" borderId="2" xfId="0" applyFont="1" applyBorder="1" applyAlignment="1" applyProtection="1">
      <alignment/>
      <protection locked="0"/>
    </xf>
    <xf numFmtId="0" fontId="9" fillId="0" borderId="4" xfId="0" applyFont="1" applyBorder="1" applyAlignment="1" applyProtection="1">
      <alignment/>
      <protection locked="0"/>
    </xf>
    <xf numFmtId="0" fontId="1" fillId="0" borderId="1" xfId="0" applyFont="1" applyFill="1" applyBorder="1" applyAlignment="1" applyProtection="1">
      <alignment/>
      <protection locked="0"/>
    </xf>
    <xf numFmtId="0" fontId="1" fillId="0" borderId="1" xfId="0" applyFont="1" applyBorder="1" applyAlignment="1" applyProtection="1">
      <alignment/>
      <protection locked="0"/>
    </xf>
    <xf numFmtId="0" fontId="1" fillId="0" borderId="2" xfId="0" applyFont="1" applyBorder="1" applyAlignment="1" applyProtection="1">
      <alignment/>
      <protection locked="0"/>
    </xf>
    <xf numFmtId="0" fontId="1" fillId="0" borderId="4" xfId="0" applyFont="1" applyBorder="1" applyAlignment="1" applyProtection="1">
      <alignment/>
      <protection locked="0"/>
    </xf>
    <xf numFmtId="0" fontId="1" fillId="5" borderId="3" xfId="0" applyFont="1" applyFill="1" applyBorder="1" applyAlignment="1" applyProtection="1">
      <alignment/>
      <protection locked="0"/>
    </xf>
    <xf numFmtId="0" fontId="1" fillId="5" borderId="4" xfId="0" applyFont="1" applyFill="1" applyBorder="1" applyAlignment="1" applyProtection="1">
      <alignment/>
      <protection locked="0"/>
    </xf>
    <xf numFmtId="0" fontId="1" fillId="2" borderId="0" xfId="0" applyFont="1" applyFill="1" applyBorder="1" applyAlignment="1" applyProtection="1">
      <alignment horizontal="left"/>
      <protection/>
    </xf>
    <xf numFmtId="0" fontId="9" fillId="0" borderId="0" xfId="0" applyFont="1" applyAlignment="1" applyProtection="1">
      <alignment horizontal="left"/>
      <protection/>
    </xf>
    <xf numFmtId="0" fontId="9" fillId="0" borderId="5" xfId="0" applyFont="1" applyBorder="1" applyAlignment="1" applyProtection="1">
      <alignment horizontal="left"/>
      <protection/>
    </xf>
    <xf numFmtId="0" fontId="1" fillId="2" borderId="0" xfId="0" applyFont="1" applyFill="1" applyBorder="1" applyAlignment="1" applyProtection="1">
      <alignment/>
      <protection/>
    </xf>
    <xf numFmtId="0" fontId="1" fillId="0" borderId="0" xfId="0" applyFont="1" applyAlignment="1" applyProtection="1">
      <alignment/>
      <protection/>
    </xf>
    <xf numFmtId="0" fontId="1" fillId="0" borderId="4" xfId="0" applyFont="1" applyFill="1" applyBorder="1" applyAlignment="1" applyProtection="1">
      <alignment/>
      <protection locked="0"/>
    </xf>
    <xf numFmtId="14" fontId="1" fillId="0" borderId="1" xfId="0" applyNumberFormat="1" applyFont="1" applyFill="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1" fillId="0" borderId="8" xfId="0" applyFont="1" applyBorder="1" applyAlignment="1" applyProtection="1">
      <alignment/>
      <protection locked="0"/>
    </xf>
    <xf numFmtId="0" fontId="1" fillId="5" borderId="1" xfId="0" applyFont="1"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104775</xdr:rowOff>
    </xdr:from>
    <xdr:to>
      <xdr:col>0</xdr:col>
      <xdr:colOff>2619375</xdr:colOff>
      <xdr:row>1</xdr:row>
      <xdr:rowOff>152400</xdr:rowOff>
    </xdr:to>
    <xdr:pic>
      <xdr:nvPicPr>
        <xdr:cNvPr id="1" name="Picture 1"/>
        <xdr:cNvPicPr preferRelativeResize="1">
          <a:picLocks noChangeAspect="1"/>
        </xdr:cNvPicPr>
      </xdr:nvPicPr>
      <xdr:blipFill>
        <a:blip r:embed="rId1"/>
        <a:stretch>
          <a:fillRect/>
        </a:stretch>
      </xdr:blipFill>
      <xdr:spPr>
        <a:xfrm>
          <a:off x="9525" y="104775"/>
          <a:ext cx="260985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104775</xdr:rowOff>
    </xdr:from>
    <xdr:to>
      <xdr:col>1</xdr:col>
      <xdr:colOff>2619375</xdr:colOff>
      <xdr:row>1</xdr:row>
      <xdr:rowOff>219075</xdr:rowOff>
    </xdr:to>
    <xdr:pic>
      <xdr:nvPicPr>
        <xdr:cNvPr id="1" name="Picture 192"/>
        <xdr:cNvPicPr preferRelativeResize="1">
          <a:picLocks noChangeAspect="1"/>
        </xdr:cNvPicPr>
      </xdr:nvPicPr>
      <xdr:blipFill>
        <a:blip r:embed="rId1"/>
        <a:stretch>
          <a:fillRect/>
        </a:stretch>
      </xdr:blipFill>
      <xdr:spPr>
        <a:xfrm>
          <a:off x="590550" y="104775"/>
          <a:ext cx="26098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0"/>
  <sheetViews>
    <sheetView zoomScale="75" zoomScaleNormal="75" workbookViewId="0" topLeftCell="A1">
      <selection activeCell="A1" sqref="A1:A2"/>
    </sheetView>
  </sheetViews>
  <sheetFormatPr defaultColWidth="9.140625" defaultRowHeight="12.75"/>
  <cols>
    <col min="1" max="1" width="120.7109375" style="13" bestFit="1" customWidth="1"/>
    <col min="2" max="2" width="1.28515625" style="0" customWidth="1"/>
  </cols>
  <sheetData>
    <row r="1" spans="1:2" ht="24.75" customHeight="1">
      <c r="A1" s="1"/>
      <c r="B1" s="62" t="s">
        <v>89</v>
      </c>
    </row>
    <row r="2" spans="1:2" ht="24.75" customHeight="1">
      <c r="A2" s="1"/>
      <c r="B2" s="64" t="s">
        <v>90</v>
      </c>
    </row>
    <row r="3" ht="18.75">
      <c r="A3" s="7" t="s">
        <v>5</v>
      </c>
    </row>
    <row r="4" ht="18.75">
      <c r="A4" s="7" t="s">
        <v>6</v>
      </c>
    </row>
    <row r="5" ht="18.75">
      <c r="A5" s="7" t="s">
        <v>7</v>
      </c>
    </row>
    <row r="6" ht="18.75">
      <c r="A6" s="7" t="s">
        <v>8</v>
      </c>
    </row>
    <row r="8" ht="18.75">
      <c r="A8" s="7" t="s">
        <v>65</v>
      </c>
    </row>
    <row r="9" ht="18.75">
      <c r="A9" s="7"/>
    </row>
    <row r="10" ht="18.75">
      <c r="A10" s="7" t="s">
        <v>97</v>
      </c>
    </row>
  </sheetData>
  <sheetProtection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72"/>
  <sheetViews>
    <sheetView tabSelected="1" zoomScale="75" zoomScaleNormal="75" workbookViewId="0" topLeftCell="A1">
      <selection activeCell="C6" sqref="C6"/>
    </sheetView>
  </sheetViews>
  <sheetFormatPr defaultColWidth="9.140625" defaultRowHeight="12.75"/>
  <cols>
    <col min="1" max="1" width="8.7109375" style="16" customWidth="1"/>
    <col min="2" max="2" width="41.7109375" style="16" customWidth="1"/>
    <col min="3" max="3" width="18.28125" style="16" customWidth="1"/>
    <col min="4" max="6" width="10.57421875" style="16" customWidth="1"/>
    <col min="7" max="7" width="10.140625" style="16" customWidth="1"/>
    <col min="8" max="9" width="10.57421875" style="16" customWidth="1"/>
    <col min="10" max="10" width="12.7109375" style="16" customWidth="1"/>
    <col min="11" max="11" width="9.140625" style="16" customWidth="1"/>
    <col min="12" max="20" width="2.421875" style="16" hidden="1" customWidth="1"/>
    <col min="21" max="16384" width="9.140625" style="16" customWidth="1"/>
  </cols>
  <sheetData>
    <row r="1" spans="1:11" ht="19.5" customHeight="1">
      <c r="A1" s="1"/>
      <c r="B1" s="1"/>
      <c r="C1" s="1"/>
      <c r="D1" s="1"/>
      <c r="E1" s="1"/>
      <c r="F1" s="1"/>
      <c r="G1" s="1"/>
      <c r="H1" s="1"/>
      <c r="I1" s="1"/>
      <c r="J1" s="62" t="s">
        <v>89</v>
      </c>
      <c r="K1" s="1"/>
    </row>
    <row r="2" spans="1:11" ht="19.5" customHeight="1">
      <c r="A2" s="1"/>
      <c r="B2" s="1"/>
      <c r="C2" s="1"/>
      <c r="D2" s="1"/>
      <c r="E2" s="1"/>
      <c r="F2" s="1"/>
      <c r="G2" s="1"/>
      <c r="H2" s="1"/>
      <c r="I2" s="1"/>
      <c r="J2" s="64" t="s">
        <v>90</v>
      </c>
      <c r="K2" s="1"/>
    </row>
    <row r="3" spans="1:12" ht="22.5">
      <c r="A3" s="5"/>
      <c r="B3" s="14" t="s">
        <v>10</v>
      </c>
      <c r="C3" s="9"/>
      <c r="D3" s="9"/>
      <c r="E3" s="9"/>
      <c r="F3" s="9"/>
      <c r="G3" s="9"/>
      <c r="H3" s="9"/>
      <c r="I3" s="9"/>
      <c r="J3" s="9"/>
      <c r="K3" s="9"/>
      <c r="L3" s="15" t="s">
        <v>5</v>
      </c>
    </row>
    <row r="4" spans="1:12" ht="15.75">
      <c r="A4" s="1"/>
      <c r="B4" s="1"/>
      <c r="C4" s="1"/>
      <c r="D4" s="9"/>
      <c r="E4" s="9"/>
      <c r="F4" s="9"/>
      <c r="G4" s="9"/>
      <c r="H4" s="9"/>
      <c r="I4" s="9"/>
      <c r="J4" s="9"/>
      <c r="K4" s="9"/>
      <c r="L4" s="15" t="s">
        <v>6</v>
      </c>
    </row>
    <row r="5" spans="1:12" ht="17.25" customHeight="1">
      <c r="A5" s="1"/>
      <c r="B5" s="3" t="str">
        <f>IF(TRIM(C5)="","*** ","")&amp;"EPA Engine Family"</f>
        <v>EPA Engine Family</v>
      </c>
      <c r="C5" s="4" t="s">
        <v>3</v>
      </c>
      <c r="D5" s="3"/>
      <c r="E5" s="3" t="str">
        <f>IF(TRIM(H5)="","*** ","")&amp;"Engine Model"</f>
        <v>Engine Model</v>
      </c>
      <c r="F5" s="3"/>
      <c r="G5" s="3"/>
      <c r="H5" s="91" t="s">
        <v>53</v>
      </c>
      <c r="I5" s="76"/>
      <c r="J5" s="9"/>
      <c r="K5" s="9"/>
      <c r="L5" s="15" t="s">
        <v>7</v>
      </c>
    </row>
    <row r="6" spans="1:12" ht="17.25" customHeight="1">
      <c r="A6" s="1"/>
      <c r="B6" s="3" t="str">
        <f>IF(TRIM(C6)="","*** ","")&amp;"Manufacturer Code"</f>
        <v>Manufacturer Code</v>
      </c>
      <c r="C6" s="10" t="s">
        <v>52</v>
      </c>
      <c r="D6" s="3"/>
      <c r="E6" s="3" t="str">
        <f>IF(TRIM(H6)="","*** ","")&amp;"Engine Serial Number"</f>
        <v>Engine Serial Number</v>
      </c>
      <c r="F6" s="1"/>
      <c r="G6" s="1"/>
      <c r="H6" s="91">
        <v>95</v>
      </c>
      <c r="I6" s="76"/>
      <c r="J6" s="9"/>
      <c r="K6" s="9"/>
      <c r="L6" s="15" t="s">
        <v>8</v>
      </c>
    </row>
    <row r="7" spans="1:12" ht="17.25" customHeight="1">
      <c r="A7" s="5"/>
      <c r="B7" s="3" t="str">
        <f>IF(TRIM(C7)="","*** ","")&amp;"Engine Manufacturer"</f>
        <v>Engine Manufacturer</v>
      </c>
      <c r="C7" s="4" t="s">
        <v>2</v>
      </c>
      <c r="D7" s="3"/>
      <c r="E7" s="3" t="str">
        <f>IF(TRIM(H7)="","*** ","")&amp;"Engine Emission Control System"</f>
        <v>Engine Emission Control System</v>
      </c>
      <c r="F7" s="3"/>
      <c r="G7" s="3"/>
      <c r="H7" s="76" t="s">
        <v>71</v>
      </c>
      <c r="I7" s="76"/>
      <c r="J7" s="9"/>
      <c r="K7" s="9"/>
      <c r="L7" s="17"/>
    </row>
    <row r="8" spans="1:14" s="18" customFormat="1" ht="11.25">
      <c r="A8" s="11"/>
      <c r="B8" s="11"/>
      <c r="C8" s="11"/>
      <c r="D8" s="11"/>
      <c r="E8" s="11"/>
      <c r="F8" s="11"/>
      <c r="G8" s="11"/>
      <c r="H8" s="11"/>
      <c r="I8" s="11"/>
      <c r="J8" s="11"/>
      <c r="K8" s="11"/>
      <c r="L8" s="51" t="s">
        <v>49</v>
      </c>
      <c r="N8" s="19" t="s">
        <v>67</v>
      </c>
    </row>
    <row r="9" spans="1:14" ht="17.25" customHeight="1">
      <c r="A9" s="1"/>
      <c r="B9" s="3" t="str">
        <f>IF(TRIM(C9)="","*** ","")&amp;IF(ISTEXT(C9),"*** Numeric***","")&amp;"Accumulated Engine Hours (to nearest 10th)"</f>
        <v>Accumulated Engine Hours (to nearest 10th)</v>
      </c>
      <c r="C9" s="8">
        <v>11</v>
      </c>
      <c r="D9" s="3" t="s">
        <v>9</v>
      </c>
      <c r="E9" s="3" t="str">
        <f>IF(TRIM(H9)="","*** ","")&amp;IF(ISTEXT(H9),"*** Numeric***","")&amp;"Idle Speed"</f>
        <v>Idle Speed</v>
      </c>
      <c r="F9" s="3"/>
      <c r="G9" s="3"/>
      <c r="H9" s="75">
        <v>600</v>
      </c>
      <c r="I9" s="76"/>
      <c r="J9" s="3" t="str">
        <f>IF(TRIM(H9)="","*** ","")&amp;IF(ISTEXT(H9),"*** Numeric***","")&amp;"rpm"</f>
        <v>rpm</v>
      </c>
      <c r="K9" s="9"/>
      <c r="L9" s="52">
        <v>3</v>
      </c>
      <c r="N9" s="16" t="s">
        <v>38</v>
      </c>
    </row>
    <row r="10" spans="1:14" ht="17.25" customHeight="1">
      <c r="A10" s="1"/>
      <c r="B10" s="3" t="str">
        <f>IF(TRIM(C10)="","*** ","")&amp;"Starter Type (electric or pull)"</f>
        <v>Starter Type (electric or pull)</v>
      </c>
      <c r="C10" s="10" t="s">
        <v>66</v>
      </c>
      <c r="D10" s="3"/>
      <c r="E10" s="3" t="str">
        <f>IF(TRIM(H10)="","*** ","")&amp;IF(ISTEXT(H10),"*** Numeric***","")&amp;"Engine Over-Speed Alarm Point"</f>
        <v>Engine Over-Speed Alarm Point</v>
      </c>
      <c r="F10" s="3"/>
      <c r="G10" s="3"/>
      <c r="H10" s="76">
        <v>3900</v>
      </c>
      <c r="I10" s="76"/>
      <c r="J10" s="3" t="str">
        <f>IF(TRIM(H10)="","*** ","")&amp;IF(ISTEXT(H10),"*** Numeric***","")&amp;"rpm"</f>
        <v>rpm</v>
      </c>
      <c r="K10" s="9"/>
      <c r="L10" s="49" t="s">
        <v>33</v>
      </c>
      <c r="N10" s="16" t="s">
        <v>39</v>
      </c>
    </row>
    <row r="11" spans="1:14" ht="17.25" customHeight="1">
      <c r="A11" s="1"/>
      <c r="B11" s="3" t="str">
        <f>IF(TRIM(C11)="","*** ","")&amp;"Engine Operation (fixed throttle or governor)"</f>
        <v>Engine Operation (fixed throttle or governor)</v>
      </c>
      <c r="C11" s="4" t="s">
        <v>76</v>
      </c>
      <c r="D11" s="3"/>
      <c r="E11" s="3" t="str">
        <f>IF(TRIM(H11)="","*** ","")&amp;IF(ISTEXT(H11),"*** Numeric***","")&amp;"Number of Cylinders"</f>
        <v>Number of Cylinders</v>
      </c>
      <c r="F11" s="9"/>
      <c r="G11" s="3"/>
      <c r="H11" s="75">
        <v>2</v>
      </c>
      <c r="I11" s="76"/>
      <c r="J11" s="3" t="s">
        <v>13</v>
      </c>
      <c r="K11" s="9"/>
      <c r="L11" s="49" t="s">
        <v>31</v>
      </c>
      <c r="N11" s="16" t="s">
        <v>40</v>
      </c>
    </row>
    <row r="12" spans="1:14" ht="17.25" customHeight="1">
      <c r="A12" s="1"/>
      <c r="B12" s="3" t="str">
        <f>IF(TRIM(C12)="","*** ","")&amp;"Governor Type (or none)"</f>
        <v>Governor Type (or none)</v>
      </c>
      <c r="C12" s="4" t="s">
        <v>75</v>
      </c>
      <c r="D12" s="3"/>
      <c r="E12" s="3"/>
      <c r="F12" s="3"/>
      <c r="G12" s="3"/>
      <c r="H12" s="3"/>
      <c r="I12" s="3"/>
      <c r="J12" s="3"/>
      <c r="K12" s="9"/>
      <c r="L12" s="49" t="s">
        <v>32</v>
      </c>
      <c r="M12" s="47" t="s">
        <v>72</v>
      </c>
      <c r="N12" s="16" t="s">
        <v>41</v>
      </c>
    </row>
    <row r="13" spans="1:14" ht="17.25" customHeight="1">
      <c r="A13" s="1"/>
      <c r="B13" s="3" t="str">
        <f>IF(TRIM(C13)="","*** ","")&amp;IF(ISTEXT(C13),"*** Numeric***","")&amp;"Rated Speed - Speed at Max Rated Power"</f>
        <v>Rated Speed - Speed at Max Rated Power</v>
      </c>
      <c r="C13" s="4">
        <v>2500</v>
      </c>
      <c r="D13" s="3" t="str">
        <f>IF(TRIM(C13)="","*** ","")&amp;IF(ISTEXT(C13),"*** Numeric***","")&amp;"rpm"</f>
        <v>rpm</v>
      </c>
      <c r="E13" s="4">
        <v>40</v>
      </c>
      <c r="F13" s="3" t="str">
        <f>IF(TRIM(E13)="","*** ","")&amp;IF(ISTEXT(E13),"*** Numeric***","")&amp;"Nm"</f>
        <v>Nm</v>
      </c>
      <c r="G13" s="48">
        <f>C13*E13/9549.143987</f>
        <v>10.47214285763602</v>
      </c>
      <c r="H13" s="3" t="str">
        <f>IF(TRIM(G13)="","*** ","")&amp;IF(ISTEXT(G13),"*** Numeric***","")&amp;"kW"</f>
        <v>kW</v>
      </c>
      <c r="I13" s="3"/>
      <c r="J13" s="3"/>
      <c r="K13" s="9"/>
      <c r="L13" s="49" t="s">
        <v>37</v>
      </c>
      <c r="M13" s="47">
        <f>C13*E13/9549.143987</f>
        <v>10.47214285763602</v>
      </c>
      <c r="N13" s="16" t="s">
        <v>42</v>
      </c>
    </row>
    <row r="14" spans="1:14" ht="17.25" customHeight="1">
      <c r="A14" s="1"/>
      <c r="B14" s="3" t="str">
        <f>IF(TRIM(C14)="","*** ","")&amp;IF(ISTEXT(C14),"*** Numeric***","")&amp;"Max Torque - Speed &amp; Power @ Max Torq"</f>
        <v>Max Torque - Speed &amp; Power @ Max Torq</v>
      </c>
      <c r="C14" s="4">
        <v>2600</v>
      </c>
      <c r="D14" s="3" t="str">
        <f>IF(TRIM(C14)="","*** ","")&amp;IF(ISTEXT(C14),"*** Numeric***","")&amp;"rpm"</f>
        <v>rpm</v>
      </c>
      <c r="E14" s="4">
        <v>40</v>
      </c>
      <c r="F14" s="3" t="str">
        <f>IF(TRIM(E14)="","*** ","")&amp;IF(ISTEXT(E14),"*** Numeric***","")&amp;"Nm"</f>
        <v>Nm</v>
      </c>
      <c r="G14" s="48">
        <f>C14*E14/9549.143987</f>
        <v>10.891028571941462</v>
      </c>
      <c r="H14" s="3" t="str">
        <f>IF(TRIM(G14)="","*** ","")&amp;IF(ISTEXT(G14),"*** Numeric***","")&amp;"kW"</f>
        <v>kW</v>
      </c>
      <c r="I14" s="3"/>
      <c r="J14" s="3"/>
      <c r="K14" s="9"/>
      <c r="L14" s="49" t="s">
        <v>34</v>
      </c>
      <c r="M14" s="47">
        <f>C15*E15/9549.143987</f>
        <v>11.126651786238272</v>
      </c>
      <c r="N14" s="18" t="s">
        <v>43</v>
      </c>
    </row>
    <row r="15" spans="1:19" ht="17.25" customHeight="1">
      <c r="A15" s="1"/>
      <c r="B15" s="3" t="str">
        <f>IF(TRIM(C15)="","*** ","")&amp;IF(ISTEXT(C15),"*** Numeric***","")&amp;"Intermediate Speed and Torque"</f>
        <v>Intermediate Speed and Torque</v>
      </c>
      <c r="C15" s="4">
        <f>0.85*C13</f>
        <v>2125</v>
      </c>
      <c r="D15" s="3" t="str">
        <f>IF(TRIM(C15)="","*** ","")&amp;IF(ISTEXT(C15),"*** Numeric***","")&amp;"rpm"</f>
        <v>rpm</v>
      </c>
      <c r="E15" s="4">
        <v>50</v>
      </c>
      <c r="F15" s="3" t="str">
        <f>IF(TRIM(E15)="","*** ","")&amp;IF(ISTEXT(E15),"*** Numeric***","")&amp;"Nm"</f>
        <v>Nm</v>
      </c>
      <c r="G15" s="3"/>
      <c r="H15" s="3"/>
      <c r="I15" s="3"/>
      <c r="J15" s="3"/>
      <c r="K15" s="9"/>
      <c r="L15" s="50" t="s">
        <v>35</v>
      </c>
      <c r="N15" s="16" t="s">
        <v>44</v>
      </c>
      <c r="O15" s="18"/>
      <c r="P15" s="18"/>
      <c r="Q15" s="18"/>
      <c r="R15" s="18"/>
      <c r="S15" s="18"/>
    </row>
    <row r="16" spans="1:19" s="18" customFormat="1" ht="12.75">
      <c r="A16" s="20"/>
      <c r="B16" s="12"/>
      <c r="C16" s="12"/>
      <c r="D16" s="12"/>
      <c r="E16" s="12"/>
      <c r="F16" s="12"/>
      <c r="G16" s="21"/>
      <c r="H16" s="21"/>
      <c r="I16" s="21"/>
      <c r="J16" s="21"/>
      <c r="K16" s="21"/>
      <c r="L16" s="53" t="s">
        <v>36</v>
      </c>
      <c r="M16" s="16"/>
      <c r="N16" s="16" t="s">
        <v>45</v>
      </c>
      <c r="O16" s="16"/>
      <c r="P16" s="16"/>
      <c r="Q16" s="16"/>
      <c r="R16" s="16"/>
      <c r="S16" s="16"/>
    </row>
    <row r="17" spans="1:14" ht="15.75">
      <c r="A17" s="1"/>
      <c r="B17" s="3" t="str">
        <f>IF(TRIM(C17)="","*** ","")&amp;IF(ISTEXT(C17),"*** Numeric***","")&amp;"Engine Phase"</f>
        <v>Engine Phase</v>
      </c>
      <c r="C17" s="4">
        <v>2</v>
      </c>
      <c r="D17" s="3"/>
      <c r="E17" s="3" t="str">
        <f>IF(TRIM(H17)="","*** ","")&amp;"Engine Installation Angle"</f>
        <v>Engine Installation Angle</v>
      </c>
      <c r="F17" s="3"/>
      <c r="G17" s="3"/>
      <c r="H17" s="75">
        <v>60</v>
      </c>
      <c r="I17" s="76"/>
      <c r="J17" s="3" t="str">
        <f>IF(TRIM(H17)="","*** ","")&amp;IF(ISTEXT(H17),"*** Numeric***","")&amp;"degrees"</f>
        <v>degrees</v>
      </c>
      <c r="K17" s="9"/>
      <c r="L17" s="16" t="s">
        <v>11</v>
      </c>
      <c r="N17" s="16" t="s">
        <v>46</v>
      </c>
    </row>
    <row r="18" spans="1:14" ht="15.75">
      <c r="A18" s="1"/>
      <c r="B18" s="3" t="str">
        <f>IF(TRIM(C18)="","*** ","")&amp;IF(ISTEXT(C18),"*** Numeric***","")&amp;IF(ISTEXT(C18),"*** Numeric***","")&amp;"Displacement"&amp;IF(OR(AND(L9=1,C18&gt;65),AND(L9=2,OR(C18&lt;66,C18&gt;99)),AND(L9=3,OR(C18&lt;100,C18&gt;224)),AND(L9=4,C18&lt;225),AND(L9=5,C18&gt;19),AND(L9=6,OR(C18&lt;20,C18&gt;49)),AND(L9=7,C18&lt;29)),"*** see Class","")&amp;"                    enter first"</f>
        <v>Displacement                    enter first</v>
      </c>
      <c r="C18" s="4">
        <v>224</v>
      </c>
      <c r="D18" s="3" t="str">
        <f>IF(TRIM(C18)="","*** ","")&amp;IF(ISTEXT(C18),"*** Numeric***","")&amp;"cc"</f>
        <v>cc</v>
      </c>
      <c r="E18" s="3" t="str">
        <f>IF(TRIM(H18)="","*** ","")&amp;"Engine Shaft Orientation"</f>
        <v>Engine Shaft Orientation</v>
      </c>
      <c r="F18" s="3"/>
      <c r="G18" s="3"/>
      <c r="H18" s="75">
        <v>1</v>
      </c>
      <c r="I18" s="76"/>
      <c r="J18" s="3"/>
      <c r="K18" s="9"/>
      <c r="L18" s="16" t="str">
        <f>C19</f>
        <v>I nonhandheld 100 to 224 cc</v>
      </c>
      <c r="N18" s="16" t="s">
        <v>47</v>
      </c>
    </row>
    <row r="19" spans="1:14" ht="15.75">
      <c r="A19" s="1"/>
      <c r="B19" s="3" t="str">
        <f>IF(OR(L9=8,TRIM(C19)=""),"*** ","")&amp;"Engine Class                     enter second"</f>
        <v>Engine Class                     enter second</v>
      </c>
      <c r="C19" s="59" t="str">
        <f ca="1">OFFSET(L9,L9,0)</f>
        <v>I nonhandheld 100 to 224 cc</v>
      </c>
      <c r="D19" s="3"/>
      <c r="E19" s="84" t="str">
        <f>IF(TRIM(H19)="","*** ","")&amp;"Engine Shaft Diameter"</f>
        <v>Engine Shaft Diameter</v>
      </c>
      <c r="F19" s="85"/>
      <c r="G19" s="85"/>
      <c r="H19" s="75">
        <v>0.5</v>
      </c>
      <c r="I19" s="76"/>
      <c r="J19" s="3" t="str">
        <f>IF(TRIM(H19)="","*** ","")&amp;IF(ISTEXT(H19),"*** Numeric***","")&amp;"Inches"</f>
        <v>Inches</v>
      </c>
      <c r="K19" s="9"/>
      <c r="N19" s="16" t="s">
        <v>48</v>
      </c>
    </row>
    <row r="20" spans="1:11" ht="17.25" customHeight="1">
      <c r="A20" s="1"/>
      <c r="B20" s="3" t="str">
        <f>IF(OR(C20="select",TRIM(C20)=""),"*** ","")&amp;"Useful Life                        enter third"</f>
        <v>Useful Life                        enter third</v>
      </c>
      <c r="C20" s="10">
        <f>IF(S31=1,S32,IF(S31=2,S33,IF(S31=3,S34,S35)))</f>
        <v>250</v>
      </c>
      <c r="D20" s="2" t="str">
        <f>IF(TRIM(C20)="","*** ","")&amp;"hrs  "</f>
        <v>hrs  </v>
      </c>
      <c r="E20" s="84" t="str">
        <f>IF(TRIM(H20)="","*** ","")&amp;"Engine Shaft Length"</f>
        <v>Engine Shaft Length</v>
      </c>
      <c r="F20" s="85"/>
      <c r="G20" s="85"/>
      <c r="H20" s="75">
        <v>11</v>
      </c>
      <c r="I20" s="76"/>
      <c r="J20" s="3" t="str">
        <f>IF(TRIM(H20)="","*** ","")&amp;IF(ISTEXT(H20),"*** Numeric***","")&amp;"Inches"</f>
        <v>Inches</v>
      </c>
      <c r="K20" s="9"/>
    </row>
    <row r="21" spans="1:12" ht="17.25" customHeight="1">
      <c r="A21" s="1"/>
      <c r="B21" s="3" t="str">
        <f>IF(OR(TRIM(C21)="",C21="select"),"*** ","")&amp;"Test Cycle                        enter fourth"</f>
        <v>Test Cycle                        enter fourth</v>
      </c>
      <c r="C21" s="10" t="str">
        <f>IF(T31=1,T32,IF(T31=2,T33,IF(T31=3,T34,T34)))</f>
        <v>A</v>
      </c>
      <c r="D21" s="23"/>
      <c r="E21" s="84" t="str">
        <f>IF(TRIM(H21)="","*** ","")&amp;"Shaft Key-way Dimensions"</f>
        <v>Shaft Key-way Dimensions</v>
      </c>
      <c r="F21" s="85"/>
      <c r="G21" s="85"/>
      <c r="H21" s="75">
        <v>2</v>
      </c>
      <c r="I21" s="76"/>
      <c r="J21" s="3" t="str">
        <f>IF(TRIM(H21)="","*** ","")&amp;IF(ISTEXT(H21),"*** Numeric***","")&amp;"Inches"</f>
        <v>Inches</v>
      </c>
      <c r="K21" s="9"/>
      <c r="L21" s="66" t="s">
        <v>94</v>
      </c>
    </row>
    <row r="22" spans="1:12" ht="17.25" customHeight="1">
      <c r="A22" s="1"/>
      <c r="B22" s="1"/>
      <c r="C22" s="1"/>
      <c r="D22" s="3"/>
      <c r="E22" s="3"/>
      <c r="F22" s="3"/>
      <c r="G22" s="3"/>
      <c r="H22" s="3"/>
      <c r="I22" s="3"/>
      <c r="J22" s="3"/>
      <c r="K22" s="9"/>
      <c r="L22" s="66" t="s">
        <v>95</v>
      </c>
    </row>
    <row r="23" spans="1:12" ht="17.25" customHeight="1">
      <c r="A23" s="1"/>
      <c r="B23" s="1"/>
      <c r="C23" s="1"/>
      <c r="D23" s="1"/>
      <c r="E23" s="6" t="str">
        <f>IF(ISERROR(FIND("Numeric",B9&amp;B13&amp;B14&amp;B15&amp;F13&amp;F15&amp;H13&amp;B17&amp;B18&amp;B20&amp;J9&amp;J10&amp;J11&amp;J17&amp;J19&amp;J20&amp;J21&amp;J27&amp;B30&amp;E30&amp;G30&amp;B34&amp;B35&amp;E34&amp;E35&amp;G34&amp;G35&amp;B37&amp;B41&amp;B44&amp;B45&amp;B47&amp;D58&amp;E58&amp;F58&amp;G58&amp;H58&amp;I58&amp;J58&amp;IF(C21="A",J58,""))),"All required numeric values are numeric.","A non-numeric value was entered in a numeric field.")</f>
        <v>All required numeric values are numeric.</v>
      </c>
      <c r="F23" s="1"/>
      <c r="G23" s="1"/>
      <c r="H23" s="1"/>
      <c r="I23" s="1"/>
      <c r="J23" s="1"/>
      <c r="K23" s="9"/>
      <c r="L23" s="66" t="s">
        <v>96</v>
      </c>
    </row>
    <row r="24" spans="1:11" ht="17.25" customHeight="1">
      <c r="A24" s="1"/>
      <c r="B24" s="1"/>
      <c r="C24" s="1"/>
      <c r="D24" s="1"/>
      <c r="E24" s="6" t="str">
        <f>IF(ISERROR(FIND("***",B5&amp;B6&amp;B7&amp;B9&amp;B10&amp;B11&amp;B12&amp;B13&amp;B14&amp;B15&amp;B17&amp;B18&amp;B19&amp;B20&amp;B21&amp;E5&amp;E6&amp;E7&amp;E9&amp;E10&amp;E11&amp;F13&amp;F14&amp;F15&amp;H13&amp;H14&amp;E17&amp;E18&amp;E19&amp;E20&amp;E21&amp;E17&amp;E18&amp;E19&amp;E20&amp;E21&amp;IF(C27=2,E27&amp;B30&amp;E30&amp;G30,"")&amp;B34&amp;B35&amp;E34&amp;E35&amp;G34&amp;G35&amp;B37&amp;B38&amp;B39&amp;B41&amp;B42&amp;B44&amp;B45&amp;B46&amp;B47&amp;G45&amp;G46&amp;B49&amp;D57&amp;E57&amp;F57&amp;G57&amp;H57&amp;I57&amp;J57&amp;C57&amp;IF(C21="A",J57,"N/A")&amp;A61&amp;A62&amp;D61&amp;D62&amp;H61&amp;D63)),"All mandatory values have been entered.","A mandatory entry was not provided - look for ***'s.")</f>
        <v>All mandatory values have been entered.</v>
      </c>
      <c r="F24" s="1"/>
      <c r="G24" s="1"/>
      <c r="H24" s="1"/>
      <c r="I24" s="1"/>
      <c r="J24" s="1"/>
      <c r="K24" s="9"/>
    </row>
    <row r="25" spans="1:15" ht="17.25" customHeight="1">
      <c r="A25" s="1"/>
      <c r="B25" s="20"/>
      <c r="C25" s="20"/>
      <c r="D25" s="20"/>
      <c r="E25" s="24"/>
      <c r="F25" s="24"/>
      <c r="G25" s="24"/>
      <c r="H25" s="24"/>
      <c r="I25" s="24"/>
      <c r="J25" s="21"/>
      <c r="K25" s="9"/>
      <c r="L25" s="25" t="s">
        <v>50</v>
      </c>
      <c r="M25" s="25"/>
      <c r="N25" s="25">
        <v>9.308</v>
      </c>
      <c r="O25" s="25"/>
    </row>
    <row r="26" spans="1:18" ht="20.25">
      <c r="A26" s="1"/>
      <c r="B26" s="26" t="str">
        <f>"Engine Cooling Information"</f>
        <v>Engine Cooling Information</v>
      </c>
      <c r="C26" s="27" t="str">
        <f>IF(C27=2," MFR will need to supply cooling system for testing liquid cooled engines at NVFEL","")</f>
        <v> MFR will need to supply cooling system for testing liquid cooled engines at NVFEL</v>
      </c>
      <c r="D26" s="23"/>
      <c r="E26" s="23"/>
      <c r="F26" s="23"/>
      <c r="G26" s="9"/>
      <c r="H26" s="23"/>
      <c r="I26" s="23"/>
      <c r="J26" s="3"/>
      <c r="K26" s="9"/>
      <c r="L26" s="25" t="s">
        <v>14</v>
      </c>
      <c r="M26" s="25"/>
      <c r="N26" s="25"/>
      <c r="O26" s="25"/>
      <c r="P26" s="31"/>
      <c r="Q26" s="32" t="s">
        <v>57</v>
      </c>
      <c r="R26" s="32" t="s">
        <v>61</v>
      </c>
    </row>
    <row r="27" spans="1:18" s="18" customFormat="1" ht="15.75">
      <c r="A27" s="20"/>
      <c r="B27" s="3" t="str">
        <f>"Engine Cooling Type (air/liquid)"&amp;IF(AND(C27&lt;&gt;1,C27&lt;&gt;2)," *SELECT*","")</f>
        <v>Engine Cooling Type (air/liquid)</v>
      </c>
      <c r="C27" s="43">
        <v>2</v>
      </c>
      <c r="D27" s="28"/>
      <c r="E27" s="81" t="str">
        <f>IF(C27=2,IF(TRIM(H27)="","*** ","")&amp;"Coolant mixture","--")</f>
        <v>Coolant mixture</v>
      </c>
      <c r="F27" s="82"/>
      <c r="G27" s="83"/>
      <c r="H27" s="79">
        <v>5</v>
      </c>
      <c r="I27" s="80"/>
      <c r="J27" s="3" t="str">
        <f>IF(TRIM(H27)="","*** ","")&amp;IF(ISTEXT(H27),"*** Numeric***","")&amp;"ratio "&amp;IF(OR(ISTEXT(H27),ISBLANK(H27)),"","("&amp;TEXT(H27,"0")&amp;":1)")</f>
        <v>ratio (5:1)</v>
      </c>
      <c r="K27" s="21"/>
      <c r="L27" s="25" t="s">
        <v>51</v>
      </c>
      <c r="M27" s="29"/>
      <c r="N27" s="29"/>
      <c r="O27" s="29"/>
      <c r="P27" s="31" t="s">
        <v>62</v>
      </c>
      <c r="Q27" s="32" t="s">
        <v>58</v>
      </c>
      <c r="R27" s="32">
        <v>6</v>
      </c>
    </row>
    <row r="28" spans="1:18" ht="12.75">
      <c r="A28" s="30"/>
      <c r="B28" s="30"/>
      <c r="C28" s="30"/>
      <c r="D28" s="30"/>
      <c r="E28" s="30"/>
      <c r="F28" s="30"/>
      <c r="G28" s="30"/>
      <c r="H28" s="30"/>
      <c r="I28" s="30"/>
      <c r="J28" s="30"/>
      <c r="K28" s="9"/>
      <c r="L28" s="25"/>
      <c r="M28" s="25"/>
      <c r="N28" s="25"/>
      <c r="O28" s="25"/>
      <c r="P28" s="31" t="s">
        <v>62</v>
      </c>
      <c r="Q28" s="32" t="s">
        <v>59</v>
      </c>
      <c r="R28" s="32">
        <v>6</v>
      </c>
    </row>
    <row r="29" spans="1:18" ht="15.75">
      <c r="A29" s="33"/>
      <c r="B29" s="34" t="s">
        <v>0</v>
      </c>
      <c r="C29" s="9"/>
      <c r="D29" s="9"/>
      <c r="E29" s="9"/>
      <c r="F29" s="9"/>
      <c r="G29" s="9"/>
      <c r="H29" s="9"/>
      <c r="I29" s="9"/>
      <c r="J29" s="9"/>
      <c r="K29" s="9"/>
      <c r="L29" s="25" t="s">
        <v>27</v>
      </c>
      <c r="M29" s="25"/>
      <c r="N29" s="25"/>
      <c r="O29" s="25" t="s">
        <v>29</v>
      </c>
      <c r="P29" s="31" t="s">
        <v>12</v>
      </c>
      <c r="Q29" s="32" t="s">
        <v>60</v>
      </c>
      <c r="R29" s="32">
        <v>2</v>
      </c>
    </row>
    <row r="30" spans="1:20" ht="15.75">
      <c r="A30" s="34"/>
      <c r="B30" s="3" t="str">
        <f>IF(C27=2,IF(TRIM(C30)="","*** ","")&amp;"Coolant Supply Temperature         Set Point","---")</f>
        <v>Coolant Supply Temperature         Set Point</v>
      </c>
      <c r="C30" s="4">
        <v>95</v>
      </c>
      <c r="D30" s="3" t="str">
        <f>IF(C27=2,IF(TRIM(C30)="","*** ","")&amp;IF(ISTEXT(C30),"*** Numeric***","")&amp;"ºC","N/A")</f>
        <v>ºC</v>
      </c>
      <c r="E30" s="2" t="str">
        <f>IF(C27=2,IF(TRIM(F30)="","*** ","")&amp;"Min","---")</f>
        <v>Min</v>
      </c>
      <c r="F30" s="4">
        <v>95</v>
      </c>
      <c r="G30" s="2" t="str">
        <f>IF(C27=2,IF(TRIM(H30)="","*** ","")&amp;"Max","---")</f>
        <v>Max</v>
      </c>
      <c r="H30" s="4">
        <v>95</v>
      </c>
      <c r="I30" s="3" t="str">
        <f>IF(C27=2,IF(TRIM(H30)="","*** ","")&amp;IF(ISTEXT(H30),"*** Numeric***","")&amp;"ºC","N/A")</f>
        <v>ºC</v>
      </c>
      <c r="J30" s="9"/>
      <c r="K30" s="9"/>
      <c r="L30" s="25" t="s">
        <v>15</v>
      </c>
      <c r="M30" s="25"/>
      <c r="N30" s="25"/>
      <c r="O30" s="25" t="s">
        <v>15</v>
      </c>
      <c r="S30" s="54" t="s">
        <v>79</v>
      </c>
      <c r="T30" s="54" t="s">
        <v>80</v>
      </c>
    </row>
    <row r="31" spans="1:20" ht="12.75">
      <c r="A31" s="33"/>
      <c r="B31" s="33"/>
      <c r="C31" s="33"/>
      <c r="D31" s="33"/>
      <c r="E31" s="33"/>
      <c r="F31" s="33"/>
      <c r="G31" s="33"/>
      <c r="H31" s="33"/>
      <c r="I31" s="33"/>
      <c r="J31" s="33"/>
      <c r="K31" s="33"/>
      <c r="L31" s="25" t="s">
        <v>18</v>
      </c>
      <c r="M31" s="25" t="s">
        <v>19</v>
      </c>
      <c r="N31" s="25" t="s">
        <v>23</v>
      </c>
      <c r="O31" s="25" t="s">
        <v>30</v>
      </c>
      <c r="P31" s="31" t="s">
        <v>81</v>
      </c>
      <c r="Q31" s="32" t="s">
        <v>82</v>
      </c>
      <c r="R31" s="31" t="s">
        <v>23</v>
      </c>
      <c r="S31" s="56">
        <v>2</v>
      </c>
      <c r="T31" s="56">
        <v>1</v>
      </c>
    </row>
    <row r="32" spans="1:20" ht="17.25" customHeight="1">
      <c r="A32" s="1"/>
      <c r="B32" s="26" t="s">
        <v>56</v>
      </c>
      <c r="C32" s="9"/>
      <c r="D32" s="9"/>
      <c r="E32" s="9"/>
      <c r="F32" s="9"/>
      <c r="G32" s="9"/>
      <c r="H32" s="9"/>
      <c r="I32" s="9"/>
      <c r="J32" s="9"/>
      <c r="K32" s="9"/>
      <c r="L32" s="25" t="s">
        <v>16</v>
      </c>
      <c r="M32" s="25" t="s">
        <v>20</v>
      </c>
      <c r="N32" s="25" t="s">
        <v>24</v>
      </c>
      <c r="O32" s="25" t="s">
        <v>16</v>
      </c>
      <c r="P32" s="16">
        <v>50</v>
      </c>
      <c r="Q32" s="16">
        <v>125</v>
      </c>
      <c r="R32" s="16">
        <v>250</v>
      </c>
      <c r="S32" s="54">
        <f>IF(OR(L$9=1,L$9=5,L$9=6),P32,IF(OR(L$9=2,L$9=3),Q32,R32))</f>
        <v>125</v>
      </c>
      <c r="T32" s="54" t="str">
        <f>IF(OR(L$9=5,L$9=6,L$9=7),"C","A")</f>
        <v>A</v>
      </c>
    </row>
    <row r="33" spans="1:20" ht="12.75">
      <c r="A33" s="1"/>
      <c r="B33" s="9" t="s">
        <v>98</v>
      </c>
      <c r="C33" s="9"/>
      <c r="D33" s="9"/>
      <c r="E33" s="9"/>
      <c r="F33" s="9"/>
      <c r="G33" s="9"/>
      <c r="H33" s="9"/>
      <c r="I33" s="9"/>
      <c r="J33" s="9"/>
      <c r="K33" s="9"/>
      <c r="L33" s="25" t="s">
        <v>17</v>
      </c>
      <c r="M33" s="25" t="s">
        <v>21</v>
      </c>
      <c r="N33" s="25" t="s">
        <v>25</v>
      </c>
      <c r="O33" s="25" t="s">
        <v>17</v>
      </c>
      <c r="P33" s="16">
        <v>125</v>
      </c>
      <c r="Q33" s="16">
        <v>250</v>
      </c>
      <c r="R33" s="16">
        <v>500</v>
      </c>
      <c r="S33" s="54">
        <f>IF(OR(L$9=1,L$9=5,L$9=6),P33,IF(OR(L$9=2,L$9=3),Q33,R33))</f>
        <v>250</v>
      </c>
      <c r="T33" s="54" t="str">
        <f>IF(OR(L$9=5,L$9=6,L$9=7),"select","B")</f>
        <v>B</v>
      </c>
    </row>
    <row r="34" spans="1:20" ht="20.25" customHeight="1">
      <c r="A34" s="1"/>
      <c r="B34" s="3" t="str">
        <f>IF(TRIM(C34)="","*** ","")&amp;IF(ISTEXT(C34),"*** Numeric***","")&amp;"Fuel Supply Pressure                    Set Point"</f>
        <v>Fuel Supply Pressure                    Set Point</v>
      </c>
      <c r="C34" s="4">
        <v>20</v>
      </c>
      <c r="D34" s="3" t="str">
        <f>IF(TRIM(C34)="","*** ","")&amp;IF(ISTEXT(C34),"*** Numeric***","")&amp;"kPa"</f>
        <v>kPa</v>
      </c>
      <c r="E34" s="2" t="str">
        <f>IF(TRIM(F34)="","*** ","")&amp;IF(ISTEXT(F34),"*** Numeric***","")&amp;"Min"</f>
        <v>Min</v>
      </c>
      <c r="F34" s="4">
        <v>10</v>
      </c>
      <c r="G34" s="2" t="str">
        <f>IF(TRIM(H34)="","*** ","")&amp;IF(ISTEXT(H34),"*** Numeric***","")&amp;"Max"</f>
        <v>Max</v>
      </c>
      <c r="H34" s="4">
        <v>40</v>
      </c>
      <c r="I34" s="3" t="str">
        <f>IF(TRIM(H34)="","*** ","")&amp;IF(ISTEXT(H34),"*** Numeric***","")&amp;"kPa"</f>
        <v>kPa</v>
      </c>
      <c r="J34" s="9"/>
      <c r="K34" s="9"/>
      <c r="L34" s="25" t="s">
        <v>28</v>
      </c>
      <c r="M34" s="25" t="s">
        <v>22</v>
      </c>
      <c r="N34" s="25" t="s">
        <v>26</v>
      </c>
      <c r="O34" s="25" t="s">
        <v>28</v>
      </c>
      <c r="P34" s="16">
        <v>300</v>
      </c>
      <c r="Q34" s="16">
        <v>500</v>
      </c>
      <c r="R34" s="16">
        <v>1000</v>
      </c>
      <c r="S34" s="54">
        <f>IF(OR(L$9=1,L$9=5,L$9=6),P34,IF(OR(L$9=2,L$9=3),Q34,R34))</f>
        <v>500</v>
      </c>
      <c r="T34" s="54" t="s">
        <v>83</v>
      </c>
    </row>
    <row r="35" spans="1:20" ht="15.75">
      <c r="A35" s="1"/>
      <c r="B35" s="3" t="str">
        <f>IF(TRIM(C35)="","*** ","")&amp;IF(ISTEXT(C35),"*** Numeric***","")&amp;"Fuel Return Pressure                     Set Point"</f>
        <v>Fuel Return Pressure                     Set Point</v>
      </c>
      <c r="C35" s="4">
        <v>20</v>
      </c>
      <c r="D35" s="3" t="str">
        <f>IF(TRIM(C35)="","*** ","")&amp;IF(ISTEXT(C35),"*** Numeric***","")&amp;"kPa"</f>
        <v>kPa</v>
      </c>
      <c r="E35" s="2" t="str">
        <f>IF(TRIM(F35)="","*** ","")&amp;IF(ISTEXT(F35),"*** Numeric***","")&amp;"Min"</f>
        <v>Min</v>
      </c>
      <c r="F35" s="4">
        <v>10</v>
      </c>
      <c r="G35" s="2" t="str">
        <f>IF(TRIM(H35)="","*** ","")&amp;IF(ISTEXT(H35),"*** Numeric***","")&amp;"Max"</f>
        <v>Max</v>
      </c>
      <c r="H35" s="4">
        <v>40</v>
      </c>
      <c r="I35" s="3" t="str">
        <f>IF(TRIM(H35)="","*** ","")&amp;IF(ISTEXT(H35),"*** Numeric***","")&amp;"kPa"</f>
        <v>kPa</v>
      </c>
      <c r="J35" s="9"/>
      <c r="K35" s="9"/>
      <c r="L35" s="18" t="s">
        <v>68</v>
      </c>
      <c r="M35" s="18"/>
      <c r="N35" s="18"/>
      <c r="O35" s="18"/>
      <c r="P35" s="18"/>
      <c r="Q35" s="18"/>
      <c r="R35" s="18"/>
      <c r="S35" s="55" t="s">
        <v>83</v>
      </c>
      <c r="T35" s="18"/>
    </row>
    <row r="36" spans="1:11" s="18" customFormat="1" ht="11.25">
      <c r="A36" s="20"/>
      <c r="B36" s="21"/>
      <c r="C36" s="35"/>
      <c r="D36" s="21"/>
      <c r="E36" s="36"/>
      <c r="F36" s="35"/>
      <c r="G36" s="36"/>
      <c r="H36" s="35"/>
      <c r="I36" s="21"/>
      <c r="J36" s="21"/>
      <c r="K36" s="21"/>
    </row>
    <row r="37" spans="1:11" ht="17.25" customHeight="1">
      <c r="A37" s="1"/>
      <c r="B37" s="3" t="str">
        <f>IF(TRIM(C37)="","*** ","")&amp;IF(ISTEXT(C37),"*** Numeric***","")&amp;"Fuel Tank Capacity"</f>
        <v>Fuel Tank Capacity</v>
      </c>
      <c r="C37" s="42">
        <v>1.5</v>
      </c>
      <c r="D37" s="3" t="str">
        <f>IF(TRIM(C37)="","*** ","")&amp;IF(ISTEXT(C37),"*** Numeric***","")&amp;"Quarts"</f>
        <v>Quarts</v>
      </c>
      <c r="E37" s="37"/>
      <c r="F37" s="37"/>
      <c r="G37" s="37"/>
      <c r="H37" s="38"/>
      <c r="I37" s="3"/>
      <c r="J37" s="3"/>
      <c r="K37" s="9"/>
    </row>
    <row r="38" spans="1:11" s="39" customFormat="1" ht="15.75">
      <c r="A38" s="1"/>
      <c r="B38" s="3" t="str">
        <f>IF(TRIM(C38)="","*** ","")&amp;"Fuel System Type"</f>
        <v>Fuel System Type</v>
      </c>
      <c r="C38" s="10" t="s">
        <v>70</v>
      </c>
      <c r="D38" s="3"/>
      <c r="E38" s="3"/>
      <c r="F38" s="3"/>
      <c r="G38" s="3"/>
      <c r="H38" s="3"/>
      <c r="I38" s="3"/>
      <c r="J38" s="3"/>
      <c r="K38" s="9"/>
    </row>
    <row r="39" spans="1:11" ht="17.25" customHeight="1">
      <c r="A39" s="1"/>
      <c r="B39" s="3" t="str">
        <f>IF(TRIM(C39)="","*** ","")&amp;"Fuel Identification"</f>
        <v>Fuel Identification</v>
      </c>
      <c r="C39" s="43" t="s">
        <v>69</v>
      </c>
      <c r="D39" s="3"/>
      <c r="E39" s="37"/>
      <c r="F39" s="37"/>
      <c r="G39" s="37"/>
      <c r="H39" s="38"/>
      <c r="I39" s="3"/>
      <c r="J39" s="3"/>
      <c r="K39" s="9"/>
    </row>
    <row r="40" spans="1:11" ht="17.25" customHeight="1">
      <c r="A40" s="37"/>
      <c r="B40" s="3"/>
      <c r="C40" s="37"/>
      <c r="D40" s="3"/>
      <c r="E40" s="3"/>
      <c r="F40" s="3"/>
      <c r="G40" s="3"/>
      <c r="H40" s="3"/>
      <c r="I40" s="3"/>
      <c r="J40" s="3"/>
      <c r="K40" s="3"/>
    </row>
    <row r="41" spans="1:11" ht="17.25" customHeight="1">
      <c r="A41" s="1"/>
      <c r="B41" s="3" t="str">
        <f>IF(TRIM(C41)="","*** ","")&amp;IF(ISTEXT(C41),"*** Numeric***","")&amp;"Fuel/Oil Mixture"</f>
        <v>Fuel/Oil Mixture</v>
      </c>
      <c r="C41" s="60">
        <v>50</v>
      </c>
      <c r="D41" s="3" t="str">
        <f>IF(TRIM(C41)="","*** ","")&amp;IF(ISTEXT(C41),"*** Numeric***","")&amp;"ratio "&amp;IF(OR(ISTEXT(C41),ISBLANK(C41)),"","("&amp;TEXT(C41,"0")&amp;":1)")</f>
        <v>ratio (50:1)</v>
      </c>
      <c r="E41" s="37"/>
      <c r="F41" s="37"/>
      <c r="G41" s="37"/>
      <c r="H41" s="38"/>
      <c r="I41" s="3"/>
      <c r="J41" s="3"/>
      <c r="K41" s="9"/>
    </row>
    <row r="42" spans="1:11" ht="17.25" customHeight="1">
      <c r="A42" s="1"/>
      <c r="B42" s="3" t="str">
        <f>IF(TRIM(C42)="","*** ","")&amp;"Two-Cycle Oil Specification"</f>
        <v>Two-Cycle Oil Specification</v>
      </c>
      <c r="C42" s="10" t="s">
        <v>64</v>
      </c>
      <c r="D42" s="3"/>
      <c r="E42" s="37"/>
      <c r="F42" s="37"/>
      <c r="G42" s="37"/>
      <c r="H42" s="38"/>
      <c r="I42" s="3"/>
      <c r="J42" s="3"/>
      <c r="K42" s="9"/>
    </row>
    <row r="43" spans="1:11" s="39" customFormat="1" ht="17.25" customHeight="1">
      <c r="A43" s="1"/>
      <c r="B43" s="6" t="s">
        <v>97</v>
      </c>
      <c r="C43" s="22"/>
      <c r="D43" s="3"/>
      <c r="E43" s="1"/>
      <c r="F43" s="37"/>
      <c r="G43" s="37"/>
      <c r="H43" s="38"/>
      <c r="I43" s="3"/>
      <c r="J43" s="3"/>
      <c r="K43" s="9"/>
    </row>
    <row r="44" spans="1:11" ht="17.25" customHeight="1">
      <c r="A44" s="1"/>
      <c r="B44" s="3" t="str">
        <f>IF(TRIM(C44)="","*** ","")&amp;IF(ISTEXT(C44),"*** Numeric***","")&amp;"Oil Temperature Maximum"</f>
        <v>Oil Temperature Maximum</v>
      </c>
      <c r="C44" s="4">
        <v>125</v>
      </c>
      <c r="D44" s="3" t="str">
        <f>IF(TRIM(C44)="","*** ","")&amp;IF(ISTEXT(C44),"*** Numeric***","")&amp;"ºC"</f>
        <v>ºC</v>
      </c>
      <c r="E44" s="3"/>
      <c r="F44" s="3"/>
      <c r="G44" s="3"/>
      <c r="H44" s="3"/>
      <c r="I44" s="3"/>
      <c r="J44" s="3"/>
      <c r="K44" s="9"/>
    </row>
    <row r="45" spans="1:11" ht="17.25" customHeight="1">
      <c r="A45" s="1"/>
      <c r="B45" s="3" t="str">
        <f>IF(TRIM(C45)="","*** ","")&amp;IF(ISTEXT(C45),"*** Numeric***","")&amp;"Oil Capacity"</f>
        <v>Oil Capacity</v>
      </c>
      <c r="C45" s="4">
        <v>1.5</v>
      </c>
      <c r="D45" s="3" t="str">
        <f>IF(TRIM(C45)="","*** ","")&amp;IF(ISTEXT(C45),"*** Numeric***","")&amp;"Quarts"</f>
        <v>Quarts</v>
      </c>
      <c r="E45" s="3"/>
      <c r="F45" s="3"/>
      <c r="G45" s="2" t="str">
        <f>IF(TRIM(H45)="","*** ","")&amp;"API Oil Specification"</f>
        <v>API Oil Specification</v>
      </c>
      <c r="H45" s="4" t="s">
        <v>63</v>
      </c>
      <c r="I45" s="3"/>
      <c r="J45" s="3"/>
      <c r="K45" s="9"/>
    </row>
    <row r="46" spans="1:11" ht="17.25" customHeight="1">
      <c r="A46" s="1"/>
      <c r="B46" s="3" t="str">
        <f>IF(TRIM(C46)="","*** ","")&amp;"Type of oil supplied"</f>
        <v>Type of oil supplied</v>
      </c>
      <c r="C46" s="4" t="s">
        <v>54</v>
      </c>
      <c r="D46" s="1"/>
      <c r="E46" s="1"/>
      <c r="F46" s="1"/>
      <c r="G46" s="2" t="str">
        <f>IF(TRIM(H46)="","*** ","")&amp;"SAE Oil Grade"</f>
        <v>SAE Oil Grade</v>
      </c>
      <c r="H46" s="4" t="s">
        <v>55</v>
      </c>
      <c r="I46" s="3"/>
      <c r="J46" s="3"/>
      <c r="K46" s="9"/>
    </row>
    <row r="47" spans="1:11" ht="17.25" customHeight="1">
      <c r="A47" s="1"/>
      <c r="B47" s="40" t="str">
        <f>IF(TRIM(C47)="","*** ","")&amp;"Amount of oil supplied"</f>
        <v>Amount of oil supplied</v>
      </c>
      <c r="C47" s="4">
        <v>3</v>
      </c>
      <c r="D47" s="3" t="str">
        <f>IF(TRIM(C47)="","*** ","")&amp;IF(ISTEXT(C47),"*** Numeric***","")&amp;"Quarts "&amp;IF(OR(ISTEXT(C41),ISBLANK(C41)),"","   * MSDS must accompany oil.")</f>
        <v>Quarts    * MSDS must accompany oil.</v>
      </c>
      <c r="E47" s="1"/>
      <c r="F47" s="1"/>
      <c r="G47" s="3"/>
      <c r="H47" s="1"/>
      <c r="I47" s="2"/>
      <c r="J47" s="3"/>
      <c r="K47" s="9"/>
    </row>
    <row r="48" spans="1:11" s="18" customFormat="1" ht="11.25">
      <c r="A48" s="20"/>
      <c r="B48" s="21"/>
      <c r="C48" s="20"/>
      <c r="D48" s="21"/>
      <c r="E48" s="21"/>
      <c r="F48" s="21"/>
      <c r="G48" s="21"/>
      <c r="H48" s="21"/>
      <c r="I48" s="21"/>
      <c r="J48" s="21"/>
      <c r="K48" s="21"/>
    </row>
    <row r="49" spans="1:11" ht="15.75">
      <c r="A49" s="1"/>
      <c r="B49" s="34" t="s">
        <v>4</v>
      </c>
      <c r="C49" s="3"/>
      <c r="D49" s="3"/>
      <c r="E49" s="3"/>
      <c r="F49" s="3"/>
      <c r="G49" s="3"/>
      <c r="H49" s="3"/>
      <c r="I49" s="3"/>
      <c r="J49" s="3"/>
      <c r="K49" s="9"/>
    </row>
    <row r="50" spans="1:11" ht="12.75" customHeight="1">
      <c r="A50" s="1"/>
      <c r="B50" s="72"/>
      <c r="C50" s="77"/>
      <c r="D50" s="77"/>
      <c r="E50" s="77"/>
      <c r="F50" s="77"/>
      <c r="G50" s="77"/>
      <c r="H50" s="77"/>
      <c r="I50" s="77"/>
      <c r="J50" s="78"/>
      <c r="K50" s="9"/>
    </row>
    <row r="51" spans="1:11" ht="15.75">
      <c r="A51" s="1"/>
      <c r="B51" s="72"/>
      <c r="C51" s="77"/>
      <c r="D51" s="77"/>
      <c r="E51" s="77"/>
      <c r="F51" s="77"/>
      <c r="G51" s="77"/>
      <c r="H51" s="77"/>
      <c r="I51" s="77"/>
      <c r="J51" s="78"/>
      <c r="K51" s="9"/>
    </row>
    <row r="52" spans="1:11" ht="15.75">
      <c r="A52" s="1"/>
      <c r="B52" s="72"/>
      <c r="C52" s="73"/>
      <c r="D52" s="73"/>
      <c r="E52" s="73"/>
      <c r="F52" s="73"/>
      <c r="G52" s="73"/>
      <c r="H52" s="73"/>
      <c r="I52" s="73"/>
      <c r="J52" s="74"/>
      <c r="K52" s="9"/>
    </row>
    <row r="53" spans="1:11" ht="15.75">
      <c r="A53" s="1"/>
      <c r="B53" s="72"/>
      <c r="C53" s="73"/>
      <c r="D53" s="73"/>
      <c r="E53" s="73"/>
      <c r="F53" s="73"/>
      <c r="G53" s="73"/>
      <c r="H53" s="73"/>
      <c r="I53" s="73"/>
      <c r="J53" s="74"/>
      <c r="K53" s="9"/>
    </row>
    <row r="54" spans="1:11" ht="15.75">
      <c r="A54" s="1"/>
      <c r="B54" s="72"/>
      <c r="C54" s="73"/>
      <c r="D54" s="73"/>
      <c r="E54" s="73"/>
      <c r="F54" s="73"/>
      <c r="G54" s="73"/>
      <c r="H54" s="73"/>
      <c r="I54" s="73"/>
      <c r="J54" s="74"/>
      <c r="K54" s="9"/>
    </row>
    <row r="55" spans="1:11" ht="15.75">
      <c r="A55" s="1"/>
      <c r="B55" s="72"/>
      <c r="C55" s="77"/>
      <c r="D55" s="77"/>
      <c r="E55" s="77"/>
      <c r="F55" s="77"/>
      <c r="G55" s="77"/>
      <c r="H55" s="77"/>
      <c r="I55" s="77"/>
      <c r="J55" s="78"/>
      <c r="K55" s="9"/>
    </row>
    <row r="56" spans="1:11" ht="15.75">
      <c r="A56" s="1"/>
      <c r="B56" s="9"/>
      <c r="C56" s="9"/>
      <c r="D56" s="9"/>
      <c r="E56" s="9"/>
      <c r="F56" s="9"/>
      <c r="G56" s="9"/>
      <c r="H56" s="9"/>
      <c r="I56" s="9"/>
      <c r="J56" s="58" t="str">
        <f>IF(C21="A","Actual",".")</f>
        <v>Actual</v>
      </c>
      <c r="K56" s="9"/>
    </row>
    <row r="57" spans="1:11" ht="20.25">
      <c r="A57" s="1"/>
      <c r="B57" s="26" t="s">
        <v>84</v>
      </c>
      <c r="C57" s="58" t="str">
        <f>IF(TRIM(C59)="","*** ","")&amp;"Test"</f>
        <v>Test</v>
      </c>
      <c r="D57" s="58" t="str">
        <f>IF(TRIM(D59)="","*** ","")&amp;"HC-FID"</f>
        <v>HC-FID</v>
      </c>
      <c r="E57" s="58" t="s">
        <v>85</v>
      </c>
      <c r="F57" s="58" t="s">
        <v>86</v>
      </c>
      <c r="G57" s="58" t="str">
        <f>IF(TRIM(G59)="","*** ","")&amp;"NOx"</f>
        <v>NOx</v>
      </c>
      <c r="H57" s="58" t="str">
        <f>IF(TRIM(H59)="","*** ","")&amp;"CO"</f>
        <v>CO</v>
      </c>
      <c r="I57" s="58" t="str">
        <f>IF(TRIM(I59)="","*** ","")&amp;"CO2"</f>
        <v>CO2</v>
      </c>
      <c r="J57" s="58" t="str">
        <f>IF(C21="A",IF(TRIM(J59)="","*** ","")&amp;"IdleSpeed",".")</f>
        <v>IdleSpeed</v>
      </c>
      <c r="K57" s="9"/>
    </row>
    <row r="58" spans="1:11" ht="15.75">
      <c r="A58" s="1"/>
      <c r="B58" s="9" t="s">
        <v>91</v>
      </c>
      <c r="C58" s="58" t="s">
        <v>93</v>
      </c>
      <c r="D58" s="58" t="str">
        <f aca="true" t="shared" si="0" ref="D58:I58">IF(TRIM(D59)="","*** ","")&amp;IF(ISTEXT(D59),"*** Numeric***","")&amp;"g/kW-hr"</f>
        <v>g/kW-hr</v>
      </c>
      <c r="E58" s="58" t="str">
        <f t="shared" si="0"/>
        <v>g/kW-hr</v>
      </c>
      <c r="F58" s="58" t="str">
        <f t="shared" si="0"/>
        <v>g/kW-hr</v>
      </c>
      <c r="G58" s="58" t="str">
        <f t="shared" si="0"/>
        <v>g/kW-hr</v>
      </c>
      <c r="H58" s="58" t="str">
        <f t="shared" si="0"/>
        <v>g/kW-hr</v>
      </c>
      <c r="I58" s="58" t="str">
        <f t="shared" si="0"/>
        <v>g/kW-hr</v>
      </c>
      <c r="J58" s="58" t="str">
        <f>IF(TRIM(J59)="","*** ","")&amp;IF(ISTEXT(J59),"*** Numeric***","")&amp;IF(C21="A","Mode 6, rpm","N/A")</f>
        <v>Mode 6, rpm</v>
      </c>
      <c r="K58" s="9"/>
    </row>
    <row r="59" spans="1:11" ht="15.75">
      <c r="A59" s="1"/>
      <c r="B59" s="9" t="s">
        <v>92</v>
      </c>
      <c r="C59" s="65">
        <v>39463</v>
      </c>
      <c r="D59" s="57">
        <v>0.62</v>
      </c>
      <c r="E59" s="57">
        <v>0.6</v>
      </c>
      <c r="F59" s="57">
        <v>0.02</v>
      </c>
      <c r="G59" s="57">
        <v>5.4</v>
      </c>
      <c r="H59" s="57">
        <v>8</v>
      </c>
      <c r="I59" s="57">
        <v>2345</v>
      </c>
      <c r="J59" s="68">
        <v>0</v>
      </c>
      <c r="K59" s="9"/>
    </row>
    <row r="60" spans="1:11" ht="21" customHeight="1">
      <c r="A60" s="1"/>
      <c r="B60" s="26" t="s">
        <v>1</v>
      </c>
      <c r="C60" s="1"/>
      <c r="D60" s="1"/>
      <c r="E60" s="1"/>
      <c r="F60" s="1"/>
      <c r="G60" s="1"/>
      <c r="H60" s="1"/>
      <c r="I60" s="1"/>
      <c r="J60" s="67" t="s">
        <v>99</v>
      </c>
      <c r="K60" s="1"/>
    </row>
    <row r="61" spans="1:11" ht="15.75">
      <c r="A61" s="2" t="str">
        <f>IF(TRIM(B61)="","*** ","")&amp;"Name"</f>
        <v>Name</v>
      </c>
      <c r="B61" s="72" t="s">
        <v>77</v>
      </c>
      <c r="C61" s="86"/>
      <c r="D61" s="2" t="str">
        <f>IF(TRIM(E61)="","*** ","")&amp;"Title"</f>
        <v>Title</v>
      </c>
      <c r="E61" s="72" t="s">
        <v>73</v>
      </c>
      <c r="F61" s="71"/>
      <c r="G61" s="86"/>
      <c r="H61" s="2" t="str">
        <f>IF(TRIM(I61)="","*** ","")&amp;"Date"</f>
        <v>Date</v>
      </c>
      <c r="I61" s="87">
        <v>39375</v>
      </c>
      <c r="J61" s="75"/>
      <c r="K61" s="9"/>
    </row>
    <row r="62" spans="1:11" ht="15.75">
      <c r="A62" s="2" t="str">
        <f>IF(TRIM(B62)="","*** ","")&amp;IF(ISERROR(FIND("@",B62)),"*** Invalid email address***","")&amp;"E-Mail"</f>
        <v>E-Mail</v>
      </c>
      <c r="B62" s="69" t="s">
        <v>78</v>
      </c>
      <c r="C62" s="70"/>
      <c r="D62" s="2" t="str">
        <f>IF(TRIM(E62)="","*** ","")&amp;"Phone"</f>
        <v>Phone</v>
      </c>
      <c r="E62" s="88" t="s">
        <v>74</v>
      </c>
      <c r="F62" s="89"/>
      <c r="G62" s="90"/>
      <c r="H62" s="3"/>
      <c r="I62" s="3"/>
      <c r="J62" s="3"/>
      <c r="K62" s="9"/>
    </row>
    <row r="63" spans="1:11" ht="16.5" customHeight="1">
      <c r="A63" s="37"/>
      <c r="B63" s="3"/>
      <c r="C63" s="3"/>
      <c r="D63" s="2" t="str">
        <f>IF(TRIM(E63)="","*** ","")&amp;"Company Name"</f>
        <v>Company Name</v>
      </c>
      <c r="E63" s="45" t="s">
        <v>100</v>
      </c>
      <c r="F63" s="44"/>
      <c r="G63" s="44"/>
      <c r="H63" s="44"/>
      <c r="I63" s="44"/>
      <c r="J63" s="46"/>
      <c r="K63" s="9"/>
    </row>
    <row r="64" spans="1:11" ht="12.75">
      <c r="A64" s="1"/>
      <c r="B64" s="9"/>
      <c r="C64" s="9"/>
      <c r="D64" s="9"/>
      <c r="E64" s="9"/>
      <c r="F64" s="9"/>
      <c r="G64" s="9"/>
      <c r="H64" s="9"/>
      <c r="I64" s="9"/>
      <c r="J64" s="9"/>
      <c r="K64" s="9"/>
    </row>
    <row r="65" spans="1:11" ht="12.75">
      <c r="A65" s="1"/>
      <c r="B65" s="63" t="s">
        <v>87</v>
      </c>
      <c r="C65" s="63"/>
      <c r="D65" s="63"/>
      <c r="E65" s="63"/>
      <c r="F65" s="63"/>
      <c r="G65" s="63"/>
      <c r="H65" s="63"/>
      <c r="I65" s="63"/>
      <c r="J65" s="61" t="s">
        <v>88</v>
      </c>
      <c r="K65" s="9"/>
    </row>
    <row r="66" spans="2:11" ht="12.75">
      <c r="B66" s="41"/>
      <c r="C66" s="41"/>
      <c r="D66" s="41"/>
      <c r="E66" s="41"/>
      <c r="F66" s="41"/>
      <c r="G66" s="41"/>
      <c r="H66" s="41"/>
      <c r="I66" s="41"/>
      <c r="J66" s="41"/>
      <c r="K66" s="41"/>
    </row>
    <row r="67" spans="2:11" ht="12.75">
      <c r="B67" s="41"/>
      <c r="C67" s="41"/>
      <c r="D67" s="41"/>
      <c r="E67" s="41"/>
      <c r="F67" s="41"/>
      <c r="G67" s="41"/>
      <c r="H67" s="41"/>
      <c r="I67" s="41"/>
      <c r="J67" s="41"/>
      <c r="K67" s="41"/>
    </row>
    <row r="68" spans="2:11" ht="12.75">
      <c r="B68" s="41"/>
      <c r="C68" s="41"/>
      <c r="D68" s="41"/>
      <c r="E68" s="41"/>
      <c r="F68" s="41"/>
      <c r="G68" s="41"/>
      <c r="H68" s="41"/>
      <c r="I68" s="41"/>
      <c r="J68" s="41"/>
      <c r="K68" s="41"/>
    </row>
    <row r="69" spans="2:11" ht="12.75">
      <c r="B69" s="41"/>
      <c r="C69" s="41"/>
      <c r="D69" s="41"/>
      <c r="E69" s="41"/>
      <c r="F69" s="41"/>
      <c r="G69" s="41"/>
      <c r="H69" s="41"/>
      <c r="I69" s="41"/>
      <c r="J69" s="41"/>
      <c r="K69" s="41"/>
    </row>
    <row r="70" spans="2:11" ht="12.75">
      <c r="B70" s="41"/>
      <c r="C70" s="41"/>
      <c r="D70" s="41"/>
      <c r="E70" s="41"/>
      <c r="F70" s="41"/>
      <c r="G70" s="41"/>
      <c r="H70" s="41"/>
      <c r="I70" s="41"/>
      <c r="J70" s="41"/>
      <c r="K70" s="41"/>
    </row>
    <row r="71" spans="2:11" ht="12.75">
      <c r="B71" s="41"/>
      <c r="C71" s="41"/>
      <c r="D71" s="41"/>
      <c r="E71" s="41"/>
      <c r="F71" s="41"/>
      <c r="G71" s="41"/>
      <c r="H71" s="41"/>
      <c r="I71" s="41"/>
      <c r="J71" s="41"/>
      <c r="K71" s="41"/>
    </row>
    <row r="72" spans="2:11" ht="12.75">
      <c r="B72" s="41"/>
      <c r="C72" s="41"/>
      <c r="D72" s="41"/>
      <c r="E72" s="41"/>
      <c r="F72" s="41"/>
      <c r="G72" s="41"/>
      <c r="H72" s="41"/>
      <c r="I72" s="41"/>
      <c r="J72" s="41"/>
      <c r="K72" s="41"/>
    </row>
  </sheetData>
  <sheetProtection sheet="1" objects="1" scenarios="1" selectLockedCells="1"/>
  <mergeCells count="27">
    <mergeCell ref="E21:G21"/>
    <mergeCell ref="H20:I20"/>
    <mergeCell ref="H21:I21"/>
    <mergeCell ref="H6:I6"/>
    <mergeCell ref="E19:G19"/>
    <mergeCell ref="H19:I19"/>
    <mergeCell ref="H18:I18"/>
    <mergeCell ref="H5:I5"/>
    <mergeCell ref="H9:I9"/>
    <mergeCell ref="H10:I10"/>
    <mergeCell ref="H7:I7"/>
    <mergeCell ref="B61:C61"/>
    <mergeCell ref="B62:C62"/>
    <mergeCell ref="E61:G61"/>
    <mergeCell ref="B55:J55"/>
    <mergeCell ref="I61:J61"/>
    <mergeCell ref="E62:G62"/>
    <mergeCell ref="B54:J54"/>
    <mergeCell ref="H11:I11"/>
    <mergeCell ref="B50:J50"/>
    <mergeCell ref="B51:J51"/>
    <mergeCell ref="H17:I17"/>
    <mergeCell ref="B53:J53"/>
    <mergeCell ref="B52:J52"/>
    <mergeCell ref="H27:I27"/>
    <mergeCell ref="E27:G27"/>
    <mergeCell ref="E20:G20"/>
  </mergeCells>
  <dataValidations count="40">
    <dataValidation errorStyle="warning" type="decimal" allowBlank="1" showInputMessage="1" showErrorMessage="1" promptTitle="Oil Capacity" prompt="Enter Oil Capacity, Quarts value." errorTitle="Oil Capacity" error="Oil Capacity is typically within .5 to 4 Quarts." sqref="C45">
      <formula1>0.5</formula1>
      <formula2>4</formula2>
    </dataValidation>
    <dataValidation errorStyle="warning" type="decimal" allowBlank="1" showInputMessage="1" showErrorMessage="1" promptTitle="Fuel Return Pressure Set Point" prompt="Enter KPa value" errorTitle="Fuel Return Pressure Set Point" error="Fuel Return Pressure Set Point is typically within 0 to 90 kPa." sqref="C35">
      <formula1>0</formula1>
      <formula2>90</formula2>
    </dataValidation>
    <dataValidation errorStyle="warning" type="decimal" allowBlank="1" showInputMessage="1" showErrorMessage="1" promptTitle="Fuel Supply Pressure Set Point" prompt="Enter KPa value" errorTitle="Fuel Supply Pressure Set Point" error="Fuel Supply Pressure Set Point is typically within 10 to 100 kPa." sqref="C34">
      <formula1>0</formula1>
      <formula2>100</formula2>
    </dataValidation>
    <dataValidation errorStyle="warning" type="decimal" allowBlank="1" showInputMessage="1" showErrorMessage="1" promptTitle="Fuel Return Pressure Alarm Min" prompt="Enter KPa value" errorTitle="Fuel Return Pressure Alarm Min" error="Fuel Return Pressure Alarm Minimum is typically within 0 to 90 kPa." sqref="F35">
      <formula1>0</formula1>
      <formula2>90</formula2>
    </dataValidation>
    <dataValidation errorStyle="warning" type="decimal" allowBlank="1" showInputMessage="1" showErrorMessage="1" promptTitle="Fuel Supply Pressure Alarm Min" prompt="Enter KPa value" errorTitle="Fuel Supply Pressure Alarm Min" error="Fuel Supply Pressure Alarm Minimum is typically within 0 to 100 kPa." sqref="F34">
      <formula1>0</formula1>
      <formula2>100</formula2>
    </dataValidation>
    <dataValidation errorStyle="warning" type="decimal" allowBlank="1" showInputMessage="1" showErrorMessage="1" promptTitle="Fuel Return Pressure Alarm Max" prompt="Enter KPa value" errorTitle="Fuel Return Pressure Alarm Max" error="Fuel Return Pressure Alarm Maximum is typically within 0 to 90 kPa." sqref="H35">
      <formula1>0</formula1>
      <formula2>90</formula2>
    </dataValidation>
    <dataValidation errorStyle="warning" type="decimal" allowBlank="1" showInputMessage="1" showErrorMessage="1" promptTitle="Fuel Supply Pressure Alarm Max" prompt="Enter KPa value" errorTitle="Fuel Supply Pressure Alarm Max" error="Fuel Supply Pressure Alarm Maximum is typically within 0 to 100 kPa." sqref="H34">
      <formula1>0</formula1>
      <formula2>100</formula2>
    </dataValidation>
    <dataValidation errorStyle="information" type="decimal" allowBlank="1" showInputMessage="1" showErrorMessage="1" promptTitle="Accumulated Engine Hours" prompt="Enter Accumulated Engine Hour which is normally under 12 hours." errorTitle="Accumulated Engine Hours" error="Accumulated Engine Hours are normally less than 12 hours." sqref="C9">
      <formula1>0</formula1>
      <formula2>12</formula2>
    </dataValidation>
    <dataValidation errorStyle="warning" type="decimal" allowBlank="1" showInputMessage="1" showErrorMessage="1" promptTitle="Installation Angle" prompt="its in the CFR" errorTitle="Installation Angle" error="its in the CFR" sqref="H17:I17">
      <formula1>-90</formula1>
      <formula2>90</formula2>
    </dataValidation>
    <dataValidation errorStyle="warning" type="whole" allowBlank="1" showInputMessage="1" showErrorMessage="1" promptTitle="Useful Life - Hours" prompt="Usually with 50 to 1000 hours." errorTitle="Useful Life - Hours" error="Usually with 50 to 1000 hours." sqref="C20">
      <formula1>50</formula1>
      <formula2>1001</formula2>
    </dataValidation>
    <dataValidation errorStyle="warning" type="whole" allowBlank="1" showInputMessage="1" showErrorMessage="1" promptTitle="Engine Displacement" prompt="Enter Engine Displacement value, cubic centimeters." errorTitle="Engine Displacement" error="Engine Displacement values are normally under 1000 cc's." sqref="C18">
      <formula1>20</formula1>
      <formula2>1000</formula2>
    </dataValidation>
    <dataValidation allowBlank="1" showInputMessage="1" showErrorMessage="1" promptTitle="Phase engine" prompt="Phase 1 (or 2) engine means any handheld or nonhandheld engine, that was produced under a certificate of conformity under the regulation in CFR part 90 to the standards defined for Phase 1 (or 2).&#10;" sqref="C17"/>
    <dataValidation errorStyle="warning" type="whole" allowBlank="1" showInputMessage="1" showErrorMessage="1" promptTitle="Number of Cylinders" prompt="1 to 4" errorTitle="Number of Cylinders" error="1 to 4&#10;" sqref="H11:I11">
      <formula1>1</formula1>
      <formula2>4</formula2>
    </dataValidation>
    <dataValidation allowBlank="1" showInputMessage="1" showErrorMessage="1" promptTitle="Engine Manufacturer" prompt="any person engaged in the manufacturing or assembling of new nonroad engines or the importing of such engines for resale, or hwo acts for and is under the control of any such person in connection with the distribution of such engines." sqref="C7"/>
    <dataValidation errorStyle="warning" type="decimal" allowBlank="1" showInputMessage="1" showErrorMessage="1" promptTitle="Torque at Intermediate" prompt="Torque at Intermediate Speed" errorTitle="Intermediate Torque" error="Intermediate Torque values are usually within 500 to 2500 Newton-Meters." sqref="E15">
      <formula1>1</formula1>
      <formula2>50</formula2>
    </dataValidation>
    <dataValidation errorStyle="warning" type="decimal" allowBlank="1" showInputMessage="1" showErrorMessage="1" promptTitle="Intermediate Speed" prompt="Intermediate speed means the engine speed which is 85 percent of the rated engine speed." errorTitle="Intermediate Speed" error="Intermediate Speed values are usually within 1000 to 4000 RPMs." sqref="C15">
      <formula1>1000</formula1>
      <formula2>10000</formula2>
    </dataValidation>
    <dataValidation errorStyle="warning" type="decimal" allowBlank="1" showInputMessage="1" showErrorMessage="1" promptTitle="Rated Power - Torque" prompt="Torque at rated speed" errorTitle="Rated Power - Torque" error="Rated Power - Torque values are usually within 1 to 50 Newton-Meters.&#10;" sqref="E13">
      <formula1>1</formula1>
      <formula2>50</formula2>
    </dataValidation>
    <dataValidation errorStyle="warning" type="decimal" allowBlank="1" showInputMessage="1" showErrorMessage="1" promptTitle="Rated Power - kW" prompt="Rated Power valule, kW" errorTitle="Rated Power - kW" error="Rated Power - Rated Power values are non-zero within 0 to 19 kW.&#10;&#10;" sqref="G13">
      <formula1>0</formula1>
      <formula2>19</formula2>
    </dataValidation>
    <dataValidation allowBlank="1" showInputMessage="1" showErrorMessage="1" promptTitle="Engine Family" prompt="a group of engines, as specified in CFR 90.116" sqref="C5"/>
    <dataValidation errorStyle="warning" type="decimal" allowBlank="1" showInputMessage="1" showErrorMessage="1" promptTitle="Maximum Oil Temperature" prompt="Enter the Maximum Oil Temperatue, xx" errorTitle="Maximum Oil Temperature" error="Maximum Oil Temperature, degrees Centigrade is normally within 50 to 20 degrees Centigrade." sqref="C44">
      <formula1>50</formula1>
      <formula2>200</formula2>
    </dataValidation>
    <dataValidation errorStyle="warning" type="decimal" allowBlank="1" showInputMessage="1" showErrorMessage="1" promptTitle="Quantity of Oil Supplied" prompt="Enter Quantity of Oil to be Supplied to EPA, Quarts value." errorTitle="Quantity of Oil Supplied" error="Quantity of Oil Supplied to EPA NVFEL  is typically within 1 to 10 Quarts." sqref="C47">
      <formula1>0.5</formula1>
      <formula2>10</formula2>
    </dataValidation>
    <dataValidation errorStyle="warning" type="whole" allowBlank="1" showInputMessage="1" showErrorMessage="1" promptTitle="Idle Speed" prompt="Enter Idle Speed, rpm value." errorTitle="Idle Speed" error="Idle Engine Speed is normally within 500 to 2000 rpm's." sqref="H9:I9 J59">
      <formula1>500</formula1>
      <formula2>2000</formula2>
    </dataValidation>
    <dataValidation errorStyle="warning" type="whole" allowBlank="1" showInputMessage="1" showErrorMessage="1" promptTitle="Engine Over-speed Alarm Point" prompt="Enter Engine Over-Speed Alarm Point, rpm value." errorTitle="Engine Over-Speed Alarm Point" error="The Engine Over-Speed Alarm Point is normally withing 2000 to 10,000 rpm's." sqref="H10:I10">
      <formula1>2000</formula1>
      <formula2>10000</formula2>
    </dataValidation>
    <dataValidation type="decimal" allowBlank="1" showInputMessage="1" showErrorMessage="1" promptTitle="Engine Shaft Diameter" prompt="Enter the Engine Shaft Diameter value, inches." errorTitle="Engine Shaft Diameter" error="The Engine Shaft Diameter is normally within 0.5 to 2 inches." sqref="H19:I19">
      <formula1>0.5</formula1>
      <formula2>2</formula2>
    </dataValidation>
    <dataValidation type="decimal" allowBlank="1" showInputMessage="1" showErrorMessage="1" promptTitle="Engine Shaft Length" prompt="Enter the Engine Shaft Length value, inches." errorTitle="Engine Shaft Length" error="The Engine Shaft Legth is normally within 4 to 20 inches." sqref="H20:I20">
      <formula1>4</formula1>
      <formula2>20</formula2>
    </dataValidation>
    <dataValidation type="decimal" allowBlank="1" showInputMessage="1" showErrorMessage="1" promptTitle="Shaft Key-way Dimensions" prompt="Enter the Shaft Key-way Dimension value, inches." errorTitle="Shaft Key-way Dimension" error="The Shaft Key-way Dimension is normally within 0.5 to 2 inches." sqref="H21:I21">
      <formula1>0.5</formula1>
      <formula2>2</formula2>
    </dataValidation>
    <dataValidation errorStyle="warning" type="whole" allowBlank="1" showInputMessage="1" showErrorMessage="1" promptTitle="Coolant Supply Temp Set Point" prompt="Coolant Supply Temp Set Point value, degrees Centigrade." errorTitle="Coolant Supply Temp Set Point" error="Coolant Supply Temp Set Point is normally within 90 to 180 degrees Centigrade." sqref="C30">
      <formula1>90</formula1>
      <formula2>180</formula2>
    </dataValidation>
    <dataValidation errorStyle="warning" type="whole" allowBlank="1" showInputMessage="1" showErrorMessage="1" promptTitle="Coolant Supply Temp Minimum" prompt="Coolant Supply Temp Minimum value, degrees Centigrade." errorTitle="Coolant Supply Temp Minimum" error="Coolant Supply Temp Minimum is normally within 90 to 180 degrees Centigrade." sqref="F30">
      <formula1>90</formula1>
      <formula2>180</formula2>
    </dataValidation>
    <dataValidation errorStyle="warning" type="whole" allowBlank="1" showInputMessage="1" showErrorMessage="1" promptTitle="Coolant Supply Temp Maximum" prompt="Coolant Supply Temp Maximum value, degrees Centigrade." errorTitle="Coolant Supply Temp Maximum" error="Coolant Supply Temp Maximum is normally within 90 to 180 degrees Centigrade." sqref="H30">
      <formula1>90</formula1>
      <formula2>180</formula2>
    </dataValidation>
    <dataValidation errorStyle="warning" type="decimal" allowBlank="1" showInputMessage="1" showErrorMessage="1" promptTitle="CO2 Mass Emission" prompt="Enter manufacturer CO2 test result, gm/kW.hr." errorTitle="CO2  Mass Emission" error="Enter manufacturer CO2 test result, gm/kW.hr.&#10;Typical values are below emission standards.&#10;" sqref="I59">
      <formula1>0</formula1>
      <formula2>10000</formula2>
    </dataValidation>
    <dataValidation errorStyle="warning" type="decimal" allowBlank="1" showInputMessage="1" showErrorMessage="1" promptTitle="Manufacturer CH4  Emission" prompt="Enter manufacturerCH4 test result, gm/kW.hr" errorTitle="CH4 Mass Emission" error="Enter manufacturer CH4 test result, gm/kW.hr.&#10;Typical values are below emission standards.&#10;" sqref="F59">
      <formula1>0</formula1>
      <formula2>100</formula2>
    </dataValidation>
    <dataValidation errorStyle="warning" type="decimal" allowBlank="1" showInputMessage="1" showErrorMessage="1" promptTitle="Manufacturer NMHC Emission" prompt="Enter manufacturer NMHC test result, gm/kW.hr" errorTitle="NMCH Mass Emission" error="Enter manufacturer NMHC test result, gm/kW.hr.&#10;Typical values are below emission standards.&#10;" sqref="E59">
      <formula1>0</formula1>
      <formula2>100</formula2>
    </dataValidation>
    <dataValidation errorStyle="warning" type="decimal" allowBlank="1" showInputMessage="1" showErrorMessage="1" promptTitle="CO Mass Emission" prompt="Enter manufacturer CO  test result, gm/kW.hr.&#10;" errorTitle="CO Mass Emission" error="Enter manufacturer CO test result, gm/kW.hr.&#10;Typical values are below emission standards.&#10;" sqref="H59">
      <formula1>0</formula1>
      <formula2>100</formula2>
    </dataValidation>
    <dataValidation errorStyle="warning" type="decimal" allowBlank="1" showInputMessage="1" showErrorMessage="1" promptTitle="NOx Mass Emission" prompt="Enter manufacturer NOx test result, gm/kW.hr.&#10;" errorTitle="NOx Mass Emission" error="Enter manufacturer NOx test result, gm/kW.hr.&#10;Typical values are below emission standards.&#10;" sqref="G59">
      <formula1>0</formula1>
      <formula2>100</formula2>
    </dataValidation>
    <dataValidation errorStyle="warning" type="decimal" allowBlank="1" showInputMessage="1" showErrorMessage="1" promptTitle="Manufacturer HC-FID Emission" prompt="Enter manufacturer HC-FID test result, gm/kW.hr" errorTitle="HC-FID Mass Emission" error="Enter manufacturer HC-FID test result, gm/kW.hr.&#10;Typical values are below emission standards.&#10;" sqref="D59">
      <formula1>0</formula1>
      <formula2>100</formula2>
    </dataValidation>
    <dataValidation errorStyle="warning" type="date" allowBlank="1" showInputMessage="1" showErrorMessage="1" promptTitle="Test Date" prompt="Enter a test date for the most recent results from the actual test engine sent for confirmatory testing." errorTitle="Test Date" error="Enter a test date for the most recent results from the actual test engine sent for confirmatory testing." sqref="C59">
      <formula1>39356</formula1>
      <formula2>40909</formula2>
    </dataValidation>
    <dataValidation errorStyle="warning" type="decimal" allowBlank="1" showInputMessage="1" showErrorMessage="1" promptTitle="Rated Speed - Torque" prompt="Torque at rated speed" errorTitle="Maximum Torque" error="Maximum - Torque values are usually within 1 to 50 Newton-Meters.&#10;" sqref="E14">
      <formula1>1</formula1>
      <formula2>50</formula2>
    </dataValidation>
    <dataValidation errorStyle="warning" type="decimal" allowBlank="1" showInputMessage="1" showErrorMessage="1" promptTitle="Rated Power - kW" prompt="Rated Power valule, kW" errorTitle="Power at Maximum Torque,  kW" error="Power at Maximum Torque values are non-zero within 0 to 19 kW.&#10;&#10;" sqref="G14">
      <formula1>0</formula1>
      <formula2>19</formula2>
    </dataValidation>
    <dataValidation errorStyle="warning" type="decimal" allowBlank="1" showInputMessage="1" showErrorMessage="1" promptTitle="Speed at Maximum Torque" prompt="Enter the speed at maximum engine torque.   Note:   Rated Speed, means the speed at which the manufacturer specifies the maximum rated power of an engine." errorTitle="Speed at Maximum Torque" error="Enter the speed at maximum engine torque.   - values are usually within 300 to 10000 RPMs." sqref="C14">
      <formula1>300</formula1>
      <formula2>10000</formula2>
    </dataValidation>
    <dataValidation errorStyle="warning" type="decimal" allowBlank="1" showInputMessage="1" showErrorMessage="1" promptTitle="Rated Speed" prompt="Rated Speed, means the speed at which the manufacturer specifies the maximum rated power of an engine." errorTitle="Rated Power" error="Rated Speed - Speed at Rated Power values are usually within 300 to 10000 RPMs." sqref="C13">
      <formula1>300</formula1>
      <formula2>10000</formula2>
    </dataValidation>
  </dataValidations>
  <printOptions/>
  <pageMargins left="0.5" right="0.25" top="0.75" bottom="0.5" header="0.5" footer="0.5"/>
  <pageSetup fitToHeight="1" fitToWidth="1" horizontalDpi="600" verticalDpi="600" orientation="portrait" scale="65" r:id="rId4"/>
  <headerFooter alignWithMargins="0">
    <oddHeader>&amp;L&amp;G&amp;ROffice of Transportation and Air Quality
December 2007</oddHeader>
    <oddFooter>&amp;L&amp;F&amp;R&amp;P/&amp;N</oddFoot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mperalta</dc:creator>
  <cp:keywords/>
  <dc:description/>
  <cp:lastModifiedBy>epa</cp:lastModifiedBy>
  <cp:lastPrinted>2007-12-18T17:20:04Z</cp:lastPrinted>
  <dcterms:created xsi:type="dcterms:W3CDTF">2007-03-26T22:00:47Z</dcterms:created>
  <dcterms:modified xsi:type="dcterms:W3CDTF">2008-01-16T19:16:47Z</dcterms:modified>
  <cp:category/>
  <cp:version/>
  <cp:contentType/>
  <cp:contentStatus/>
</cp:coreProperties>
</file>