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7410" windowHeight="8445" firstSheet="1" activeTab="1"/>
  </bookViews>
  <sheets>
    <sheet name="COMBINED IHEP &amp; PNPI KIT LISTS" sheetId="1" r:id="rId1"/>
    <sheet name="IHEP 7.01 shipkit" sheetId="2" r:id="rId2"/>
    <sheet name="IHEP 11.01 shipkit" sheetId="3" r:id="rId3"/>
    <sheet name="IHEP 10.02 shipkit" sheetId="4" r:id="rId4"/>
    <sheet name="PNPI 7.01 shipkit" sheetId="5" r:id="rId5"/>
    <sheet name="PNPI 11.01 shipkit" sheetId="6" r:id="rId6"/>
    <sheet name="PNPI 10.02 shipkit" sheetId="7" r:id="rId7"/>
    <sheet name="1.3, 3.1, 4.1 Cu Pts to Order" sheetId="8" r:id="rId8"/>
  </sheets>
  <externalReferences>
    <externalReference r:id="rId11"/>
  </externalReferences>
  <definedNames>
    <definedName name="CKL">'COMBINED IHEP &amp; PNPI KIT LISTS'!$A$8:$E$207</definedName>
    <definedName name="_xlnm.Print_Titles" localSheetId="1">'IHEP 7.01 shipkit'!$1:$2</definedName>
    <definedName name="_xlnm.Print_Titles" localSheetId="4">'PNPI 7.01 shipkit'!$1:$2</definedName>
  </definedNames>
  <calcPr fullCalcOnLoad="1"/>
</workbook>
</file>

<file path=xl/sharedStrings.xml><?xml version="1.0" encoding="utf-8"?>
<sst xmlns="http://schemas.openxmlformats.org/spreadsheetml/2006/main" count="3133" uniqueCount="623">
  <si>
    <t>ME3/1 Label, Chamber Nameplate</t>
  </si>
  <si>
    <t>PNPI Gap Bar, Wide End (IP)</t>
  </si>
  <si>
    <t>PNPI Gap Bar, Wide End (OP)</t>
  </si>
  <si>
    <t>1/4" Stainless Gas Flow Tube, Lower, except IHEP</t>
  </si>
  <si>
    <t>1/4" Stainless Stl Gas Flow Tube, Upper, except IHEP</t>
  </si>
  <si>
    <t>Pin, brass .84" lg for cathode strip connector</t>
  </si>
  <si>
    <t>Chamber ME 1/3</t>
  </si>
  <si>
    <t>Chamber ME 3/1</t>
  </si>
  <si>
    <t>Chamber ME 4/1</t>
  </si>
  <si>
    <t>ME4/1 Wire Fixation Bar LHWE L1 from 368487 artwork</t>
  </si>
  <si>
    <t>ME4/1 Wire Fixation Bar RHWE R1 from 368489 artwork</t>
  </si>
  <si>
    <t>ME4/1 Wire Fixation Bar LHC L2 from 368491 artwork</t>
  </si>
  <si>
    <t>ME4/1 Wire Fixation Bar RHC R2 from 368493 artwork</t>
  </si>
  <si>
    <t>ME4/1 Wire Fixation Bar LHNE L3 from 368495 artwork</t>
  </si>
  <si>
    <t>ME4/1 Wire Fixation Bar RHNE R3 from 368497 artwork</t>
  </si>
  <si>
    <t>ME1/3 Wire Fixation Bar LHWE L1 from 368449 artwork</t>
  </si>
  <si>
    <t>ME1/3 Wire Fixation Bar RHWE R1 from 368451 artwork</t>
  </si>
  <si>
    <t>ME1/3 Wire Fixation Bar LHC L2 from 368453 artwork</t>
  </si>
  <si>
    <t>ME1/3 Wire Fixation Bar RHC R2 from 368455 artwork</t>
  </si>
  <si>
    <t>ME1/3 Wire Fixation Bar LHNE L3 from 368457 artwork</t>
  </si>
  <si>
    <t>ME1/3 Wire Fixation Bar RHNE R3 from 368459 artwork</t>
  </si>
  <si>
    <t>ME3/1 Wire Fixation Bar LHWE L1 from 368469 artwork</t>
  </si>
  <si>
    <t>ME3/1 Wire Fixation Bar RHWE R2 from 368471 artwork</t>
  </si>
  <si>
    <t>ME3/1 Wire Fixation Bar LHC L2 from 368473 artwork</t>
  </si>
  <si>
    <t>ME3/1 Wire Fixation Bar RHC R2 from 368475 artwork</t>
  </si>
  <si>
    <t>ME3/1 Wire Fixation Bar LHNE L3 from 368477 artwork</t>
  </si>
  <si>
    <t>ME3/1 Wire Fixation Bar RHNE R3 from 368479 artwork</t>
  </si>
  <si>
    <t>Unique Parts to be Ordered
ME 1/3, ME 3/1, and ME4/1 Chambers</t>
  </si>
  <si>
    <t>Add'l
Spare</t>
  </si>
  <si>
    <t>Sets</t>
  </si>
  <si>
    <t>Total
Sets to</t>
  </si>
  <si>
    <t xml:space="preserve">type </t>
  </si>
  <si>
    <t>ME1/3 (sst) Gas Flow Tube, Lower</t>
  </si>
  <si>
    <t>ME1/3 (sst) Gas Flow Tube, Upper</t>
  </si>
  <si>
    <t>not available</t>
  </si>
  <si>
    <t>41 bag</t>
  </si>
  <si>
    <t>250/bag</t>
  </si>
  <si>
    <t>485 bag</t>
  </si>
  <si>
    <t>Silicone Paste Catalyst RTV 9811 (0.5 gal can=1.5 qt. Can)</t>
  </si>
  <si>
    <t>ME4/1 Label Nameplate</t>
  </si>
  <si>
    <t xml:space="preserve">Grommet Buna-N </t>
  </si>
  <si>
    <t>IHEP</t>
  </si>
  <si>
    <t>PNPI</t>
  </si>
  <si>
    <t>Total Panel Sets</t>
  </si>
  <si>
    <t>Total Part Sets</t>
  </si>
  <si>
    <t>Cable Holding/Interlock Block Assembly</t>
  </si>
  <si>
    <t xml:space="preserve">Part Spares Required </t>
  </si>
  <si>
    <t>Total Sets Required</t>
  </si>
  <si>
    <t>Total</t>
  </si>
  <si>
    <t>Cable Assembly, Small Chamber, High Voltage</t>
  </si>
  <si>
    <t>MA</t>
  </si>
  <si>
    <t>Florida</t>
  </si>
  <si>
    <t>Detector Requirements</t>
  </si>
  <si>
    <t xml:space="preserve">Spares Required </t>
  </si>
  <si>
    <t>Ring, Connector Lifting, use with MA-368078</t>
  </si>
  <si>
    <t>Extrusion, Side/WE Frame Profile, 78" +.125/-000 ( Bars)</t>
  </si>
  <si>
    <t>Extrusion, NE Frame Profile, 112.5" +.125/-000 (Bars)</t>
  </si>
  <si>
    <t>Extrusion, WE Frame Profile, PNPI, 53" +.125/-000 (Bars)</t>
  </si>
  <si>
    <t>SEE  368341</t>
  </si>
  <si>
    <t>St. Adapter, 12 mm OD tube compess to 1/4" female NPT</t>
  </si>
  <si>
    <t>ME4/1 Gap Bar, Narrow End (ALL)</t>
  </si>
  <si>
    <t>ME4/1 Gap Bar, Left Hand Side (ALL)</t>
  </si>
  <si>
    <t>ME4/1 Gap Bar, Right Hand Side (ALL)</t>
  </si>
  <si>
    <t>ME4/1 Isolation Strip, Outer Panels</t>
  </si>
  <si>
    <t>ME4/1 Isolation Strip, Inner Panels</t>
  </si>
  <si>
    <t>50 roll</t>
  </si>
  <si>
    <t>IHEP KIT LIST -  ME 1/2 - July, 2001 Shipment</t>
  </si>
  <si>
    <t>SORT</t>
  </si>
  <si>
    <t>COMMENTS</t>
  </si>
  <si>
    <t>3.5 bag</t>
  </si>
  <si>
    <t>50 rolls</t>
  </si>
  <si>
    <t>size</t>
  </si>
  <si>
    <t>Rev.</t>
  </si>
  <si>
    <t>Description</t>
  </si>
  <si>
    <t>Qty.</t>
  </si>
  <si>
    <t>Order</t>
  </si>
  <si>
    <t>ME1/3</t>
  </si>
  <si>
    <t>ME4/1</t>
  </si>
  <si>
    <t>Comments</t>
  </si>
  <si>
    <t>A</t>
  </si>
  <si>
    <t>Stud, Center Gap Bar, 5-40 UNC x 5.93"</t>
  </si>
  <si>
    <t>2</t>
  </si>
  <si>
    <t>EPQ</t>
  </si>
  <si>
    <t>B</t>
  </si>
  <si>
    <t>Nut, Center Gap Bar Stud, 5-40 UNC</t>
  </si>
  <si>
    <t>4</t>
  </si>
  <si>
    <t>Mounting Plate, HV Terminal</t>
  </si>
  <si>
    <t>3</t>
  </si>
  <si>
    <t>-</t>
  </si>
  <si>
    <t>Screw, Pan Head Phillips, Stainless 6-32UNC x 3/8"</t>
  </si>
  <si>
    <t>Wire, Gold Plated Tungsten, 50 micron dia.(.002") 2.6km</t>
  </si>
  <si>
    <t xml:space="preserve">Bulkhead Connector, male 1/4 NPT to 1/4" tube </t>
  </si>
  <si>
    <t>Dwg. #</t>
  </si>
  <si>
    <t>Pc</t>
  </si>
  <si>
    <t>partials required</t>
  </si>
  <si>
    <t>ME-368130 ME1/3</t>
  </si>
  <si>
    <t xml:space="preserve">Req'd
IHEP </t>
  </si>
  <si>
    <t xml:space="preserve">Req'd
PNPI </t>
  </si>
  <si>
    <t>Date:
11/1/01</t>
  </si>
  <si>
    <t>Date:
10/1/02</t>
  </si>
  <si>
    <t>Date:
1/1/02</t>
  </si>
  <si>
    <t>Date:
4/1/02</t>
  </si>
  <si>
    <t>Copper Foil Roll 2.75" x .002" x 235 ft.  (rolls)</t>
  </si>
  <si>
    <t>196</t>
  </si>
  <si>
    <t>See comment</t>
  </si>
  <si>
    <t>114 by special shipments</t>
  </si>
  <si>
    <t>420</t>
  </si>
  <si>
    <t>228</t>
  </si>
  <si>
    <t>Tape, Dbl Sided Adhesive, .002" x 1" wide 3M  966 (36yd) (rolls)</t>
  </si>
  <si>
    <t>Shipping</t>
  </si>
  <si>
    <t xml:space="preserve">Units </t>
  </si>
  <si>
    <t xml:space="preserve">of </t>
  </si>
  <si>
    <t>Measure</t>
  </si>
  <si>
    <t>Units</t>
  </si>
  <si>
    <t>Be</t>
  </si>
  <si>
    <t>Shipped</t>
  </si>
  <si>
    <t>rolls</t>
  </si>
  <si>
    <t>Mylar Tape, 3 mil x .375" wide no adhesive (1650 ft.) (rolls)</t>
  </si>
  <si>
    <t>cans</t>
  </si>
  <si>
    <t>Tape, Dbl Sided Adhesive, .002" x 1/4" wide x 72 yds. (rolls)</t>
  </si>
  <si>
    <t>Tape, Teflon Sealing, 1/2" x 260" roll (rolls)</t>
  </si>
  <si>
    <t>panels</t>
  </si>
  <si>
    <t>PNPI Kapton, Adhes Back, 1.0" x .002" x 36 yd. (rolls)</t>
  </si>
  <si>
    <t>Screw, Pan Head Phillips, clear polycarb. #4-40 x 3/8</t>
  </si>
  <si>
    <t xml:space="preserve">Cable Tie, Nylon, 4" lg x .100",  Mc Mast #7130K12 </t>
  </si>
  <si>
    <t>Label, Test Strip Connector</t>
  </si>
  <si>
    <t>1</t>
  </si>
  <si>
    <t>Nut, Hex, DIN 439B M10-1.5, A2/18-8 SST</t>
  </si>
  <si>
    <t>Lead Wire Assembly, High Voltage (4" per piece)</t>
  </si>
  <si>
    <t>EPL</t>
  </si>
  <si>
    <t xml:space="preserve">Bolt, Panel 'B', M10 x 201.5 mm lg (7.93") </t>
  </si>
  <si>
    <t>Bolt, Panel 'A', M 10 x 195 mm lg (7.68")</t>
  </si>
  <si>
    <t>Nut, Jam, STL 3/8-24-UNF, 18-8 SST</t>
  </si>
  <si>
    <t>Washer, Flat M10, DIN 125, 18-8 SST</t>
  </si>
  <si>
    <t>Washer, Lock Tooth, .25 Dia., Int/Ext, Z/P Steel</t>
  </si>
  <si>
    <t>Screw, Hex Washer Hd Thd Forming M6-1 x 16, Z/P Steel</t>
  </si>
  <si>
    <t xml:space="preserve">Screw, Soc/Hd. Flat/Hd. Cap M6-1 x 12 mm;  Steel </t>
  </si>
  <si>
    <t>Shim, Light, 2 Slot</t>
  </si>
  <si>
    <t>Shim, Medium, 2 Slot</t>
  </si>
  <si>
    <t>Shim, Heavy, 2 Slot</t>
  </si>
  <si>
    <t>Shim, Light, 3 Slot</t>
  </si>
  <si>
    <t>Shim, Medium, 3 Slot</t>
  </si>
  <si>
    <t>Shim, Heavy, 3 Slot</t>
  </si>
  <si>
    <t>6</t>
  </si>
  <si>
    <t>Connector, Adapter, Mini Lemo Socket</t>
  </si>
  <si>
    <t>Cable Assembly, Test</t>
  </si>
  <si>
    <t>Target, Retro-Reflective</t>
  </si>
  <si>
    <t>Street Elbow 1/4" male to 1/4" female NPT</t>
  </si>
  <si>
    <t>HV Cable Mounting Block</t>
  </si>
  <si>
    <t>HV Chamber Cable Connector Channel Cover</t>
  </si>
  <si>
    <t>Screw, Pan Hd Thd Form M6-40 for Cable Cover</t>
  </si>
  <si>
    <t>CAPLUG .75 Inside Dia.polyethylene/red</t>
  </si>
  <si>
    <t>Pin, Fiberglass, 1/8" dia. For Wire fixation bar location</t>
  </si>
  <si>
    <t>60</t>
  </si>
  <si>
    <t>Resistor, Carbon 4.7 M ohm, 1/2 W</t>
  </si>
  <si>
    <t>Resistor, Carbon 1.0 Mohm, 1/2 W</t>
  </si>
  <si>
    <t>C</t>
  </si>
  <si>
    <t>D</t>
  </si>
  <si>
    <t>Extrusion, 'Z' Mounting Bracket Profile 12 lg. Bars (bars)</t>
  </si>
  <si>
    <t>Not needed forME 1/2 Wide End; Finished Parts Supplied by FNAL</t>
  </si>
  <si>
    <t>Send Later</t>
  </si>
  <si>
    <t>Spring Pin, SS 0.1" dia x 1/2"</t>
  </si>
  <si>
    <t>Connector, Latch Ejector, 34 Pin w/ long latch</t>
  </si>
  <si>
    <t>30</t>
  </si>
  <si>
    <t>Shim, Corner Heavy</t>
  </si>
  <si>
    <t>Shim, Corner Medium</t>
  </si>
  <si>
    <t>Shim, Corner Light</t>
  </si>
  <si>
    <t>Screw, Pan Head Phillips, Polycarb 6-32UNC x 3/8"</t>
  </si>
  <si>
    <t xml:space="preserve">Bolt, Panel 'C', M10 x 212.7mm lg (8.38") </t>
  </si>
  <si>
    <t>Dwg.</t>
  </si>
  <si>
    <t>0</t>
  </si>
  <si>
    <t>Washer, Flat, M10 x 30mm O.D. DIN 9021B, Z/P Stl</t>
  </si>
  <si>
    <t>To</t>
  </si>
  <si>
    <t>Sort
Code</t>
  </si>
  <si>
    <t>Chamber common =</t>
  </si>
  <si>
    <t>Chamber unnique =</t>
  </si>
  <si>
    <t>Frame common =</t>
  </si>
  <si>
    <t>Frame unique =</t>
  </si>
  <si>
    <t>PNPI common =</t>
  </si>
  <si>
    <t>Ring, Retaining Ext., 3/8 Dia.Z/P Stl, McM #98410A117</t>
  </si>
  <si>
    <t>O-Ring, Fluorocarb.,  9/16"ID x 3/4" OD, #2-113 parker</t>
  </si>
  <si>
    <t>184</t>
  </si>
  <si>
    <t>Budget</t>
  </si>
  <si>
    <t>Codes</t>
  </si>
  <si>
    <t>Epoxy, 3M-2216, Parts A and B (50/50%) (qt. cans each part)</t>
  </si>
  <si>
    <t>23/23</t>
  </si>
  <si>
    <t>cans each</t>
  </si>
  <si>
    <t>24
24</t>
  </si>
  <si>
    <t>6
6</t>
  </si>
  <si>
    <t>12
12</t>
  </si>
  <si>
    <t>cans
cans</t>
  </si>
  <si>
    <t>1.05</t>
  </si>
  <si>
    <t>Silicone Rubber RTV 41  (2.5 gal can=12 lb. can)</t>
  </si>
  <si>
    <t>Braid, Flat Copper, Chem Wik #10-100L  (100' spool)</t>
  </si>
  <si>
    <t>Lug, Ground, .25 push on, male</t>
  </si>
  <si>
    <t>8</t>
  </si>
  <si>
    <t>E</t>
  </si>
  <si>
    <t>Resistor, 51 ohm, 1/2w carbon (2x6)</t>
  </si>
  <si>
    <t>Ring, Retng, 10mm 'E' Style SP stl, McM # 98543A117</t>
  </si>
  <si>
    <t>Resistor Network, SIP 1 Meg Ohm, 8 pin</t>
  </si>
  <si>
    <t>Resistor Network, SIP 1 Meg Ohm, 10 pin</t>
  </si>
  <si>
    <t>ME1/2 Muon Chamber Anode Panel</t>
  </si>
  <si>
    <t>ME1/2 Muon Chamber Upper Cathode Panel</t>
  </si>
  <si>
    <t>ME1/2 Muon Chamber Inner Cathode Panel</t>
  </si>
  <si>
    <t xml:space="preserve">ME1/2 Muon Chamber Lower Cathode Panel </t>
  </si>
  <si>
    <t>ME1/3 Muon Chamber Anode Panel</t>
  </si>
  <si>
    <t>ME1/3 Muon Chamber Upper Cathode Panel</t>
  </si>
  <si>
    <t>ME1/3 Muon Chamber Inner Cathode Panel</t>
  </si>
  <si>
    <t xml:space="preserve">ME1/3 Muon Chamber Lower Cathode Panel </t>
  </si>
  <si>
    <t>ME2/1 Gap Bar, Narrow End (ALL)</t>
  </si>
  <si>
    <t>ME2/1 Gap Bar, Left Hand Side (ALL)</t>
  </si>
  <si>
    <t>ME2/1 Gap Bar, Right Hand Side (ALL)</t>
  </si>
  <si>
    <t>ME2/1 Isolation Strip, Outer Panels</t>
  </si>
  <si>
    <t>ME2/1 Isolation Strip, Inner Panels</t>
  </si>
  <si>
    <t>ME2/1 Muon Chamber Anode Panel</t>
  </si>
  <si>
    <t>ME2/1 Muon Chamber Upper Cathode Panel</t>
  </si>
  <si>
    <t>ME2/1 Muon Chamber Inner Cathode Panel</t>
  </si>
  <si>
    <t xml:space="preserve">ME2/1 Muon Chamber Lower Cathode Panel </t>
  </si>
  <si>
    <t>PNPI fabs.</t>
  </si>
  <si>
    <t>150+</t>
  </si>
  <si>
    <t>PNPI Fabs. ME 3/1, 4/1</t>
  </si>
  <si>
    <t>99 bag</t>
  </si>
  <si>
    <t>182 bags</t>
  </si>
  <si>
    <t>35 bag</t>
  </si>
  <si>
    <t>117 bag</t>
  </si>
  <si>
    <t>9 box</t>
  </si>
  <si>
    <t>740 bag</t>
  </si>
  <si>
    <t>24/24</t>
  </si>
  <si>
    <t>8 bag</t>
  </si>
  <si>
    <t>370 roll</t>
  </si>
  <si>
    <t>77 bag</t>
  </si>
  <si>
    <r>
      <t xml:space="preserve">Ring, Swivel McMaster Carr # 29495T42  </t>
    </r>
    <r>
      <rPr>
        <b/>
        <i/>
        <sz val="10"/>
        <color indexed="12"/>
        <rFont val="Arial"/>
        <family val="2"/>
      </rPr>
      <t>Check stock</t>
    </r>
  </si>
  <si>
    <t xml:space="preserve">Capacitor  - Ceramic DHR15 Y5P 102M 7.5kV </t>
  </si>
  <si>
    <t>ME3/1 Muon Chamber Anode Panel</t>
  </si>
  <si>
    <t>ME3/1 Muon Chamber Upper Cathode Panel</t>
  </si>
  <si>
    <t>Date Parts Needed</t>
  </si>
  <si>
    <t>ME3/1 Muon Chamber Inner Cathode Panel</t>
  </si>
  <si>
    <t xml:space="preserve">ME3/1 Muon Chamber Lower Cathode Panel </t>
  </si>
  <si>
    <t>ME1/2 Gap Bar, Narrow End (ALL) (1+2+2+1)</t>
  </si>
  <si>
    <t>ME1/2 Gap Bar, Wide End (OP)  (1+1)</t>
  </si>
  <si>
    <t>ME1/2 Gap Bar, Left Hand Side (ALL)  (1+2+2+1)</t>
  </si>
  <si>
    <t>ME1/2 Gap Bar, Right Hand Side (ALL)  (1+2+2+1)</t>
  </si>
  <si>
    <t>ME1/2 Gap Bar, Wide (IP)  (2x2)</t>
  </si>
  <si>
    <t>ME1/2 Isolation Strip, Outer Panels  (2x2)</t>
  </si>
  <si>
    <t>ME1/2 Isolation Strip, Inner Panels  (4x2)</t>
  </si>
  <si>
    <t>ME4/1 Muon Chamber Anode Panel</t>
  </si>
  <si>
    <t>ME4/1 Muon Chamber Upper Cathode Panel</t>
  </si>
  <si>
    <t>ME4/1 Muon Chamber Inner Cathode Panel</t>
  </si>
  <si>
    <t xml:space="preserve">ME4/1 Muon Chamber Lower Cathode Panel </t>
  </si>
  <si>
    <t>ME1/2 Tube, Gas Flow, Upper</t>
  </si>
  <si>
    <t>ME1/2 Tube, Gas Flow, Lower</t>
  </si>
  <si>
    <t>ME1/3 Chamber Nameplate Label</t>
  </si>
  <si>
    <t>ME1/3 Gap Bar, Narrow End (ALL)</t>
  </si>
  <si>
    <t>ME1/3 Gap Bar, Wide End (OP)</t>
  </si>
  <si>
    <t>ME1/3 Gap Bar, Left Hand Side (ALL)</t>
  </si>
  <si>
    <t>ME1/3 Gap Bar, Right Hand Side (ALL)</t>
  </si>
  <si>
    <t>ME1/3 Gap Bar, Wide End (IP)</t>
  </si>
  <si>
    <t>ME1/3 Isolation Strip, Outer Panels</t>
  </si>
  <si>
    <t>ME1/3 Isolation Strip, Inner Panels</t>
  </si>
  <si>
    <t>ME3/1 Gap Bar, Narrow End (ALL)</t>
  </si>
  <si>
    <t>ME3/1 Gap Bar, Left Hand Side (ALL)</t>
  </si>
  <si>
    <t>ME3/1 Gap Bar, Right Hand Side (ALL)</t>
  </si>
  <si>
    <t>ME3/1 Isolation Strip, Outer Panels</t>
  </si>
  <si>
    <t>ME3/1 Isolation Strip, Inner Panels</t>
  </si>
  <si>
    <t>Mounting Bracket, 'YZ' Fixed Top LLE</t>
  </si>
  <si>
    <t>Mounting Bracket, 'Z' Fixed Top RLE</t>
  </si>
  <si>
    <t>Mounting Bracket, 'XYZ' Fixed Top Mounting</t>
  </si>
  <si>
    <t>Mounting Bracket, 'XYZ' Fixed Bottom Mounting</t>
  </si>
  <si>
    <t>ME2/1 Extrusion, HV Side Bottom</t>
  </si>
  <si>
    <t>ME2/1 Extrusion, Small End Bottom</t>
  </si>
  <si>
    <t>ME2/1 Extrusion, Small End Top</t>
  </si>
  <si>
    <t>ME2/1 Extrusion, Anode Side Bottom</t>
  </si>
  <si>
    <t>Common ME2/1, 3/1, 4/1 Extrusion, Top Big End</t>
  </si>
  <si>
    <t>Common ME2/1, 3/1, 4/1 Extrusion, Bottom Big End</t>
  </si>
  <si>
    <t>Plate, End, Small</t>
  </si>
  <si>
    <t>Plate, End, Big</t>
  </si>
  <si>
    <t>Washer, Lock, M6 Int. Tooth, 18-8 SST</t>
  </si>
  <si>
    <t>Screw, Hex Wash Hd Thrd Form M6-1 x 10, Z/P Steel</t>
  </si>
  <si>
    <t>PNPI 1/4" Stainless Gas Flow Tube, Lower</t>
  </si>
  <si>
    <t>PNPI 1/4" Stainless Stl Gas Flow Tube</t>
  </si>
  <si>
    <t>ME-368120
ME1/2</t>
  </si>
  <si>
    <t>ME-368210
ME2/1</t>
  </si>
  <si>
    <t>ME-368310
ME3/1</t>
  </si>
  <si>
    <t>ME-368410
ME4/1</t>
  </si>
  <si>
    <t xml:space="preserve">Pin, Alignment     </t>
  </si>
  <si>
    <r>
      <t xml:space="preserve">Board, Protection, Assembly </t>
    </r>
    <r>
      <rPr>
        <b/>
        <i/>
        <sz val="10"/>
        <rFont val="Arial"/>
        <family val="2"/>
      </rPr>
      <t>"All Except ME234/2"</t>
    </r>
  </si>
  <si>
    <t>Fc</t>
  </si>
  <si>
    <t>Fu</t>
  </si>
  <si>
    <t>ME1/2 Label, Chamber Nameplate</t>
  </si>
  <si>
    <t>Spacer Bar (4+4+4), (8+8+8)</t>
  </si>
  <si>
    <t>Cc</t>
  </si>
  <si>
    <t>Cu</t>
  </si>
  <si>
    <t>No. 1</t>
  </si>
  <si>
    <t>No. 2</t>
  </si>
  <si>
    <t>No. 3</t>
  </si>
  <si>
    <t>ment</t>
  </si>
  <si>
    <t>Ship</t>
  </si>
  <si>
    <t>ALMIT Solder, Resin Flux cored, KR-19 SHrma, .65mm (Rolls)</t>
  </si>
  <si>
    <t>ME2/1 avail @ FNAL</t>
  </si>
  <si>
    <t>PNPI Fabs.from 368286</t>
  </si>
  <si>
    <t>PNPI Fabs.from 368341</t>
  </si>
  <si>
    <t>PNPI Fabs.from 368423</t>
  </si>
  <si>
    <t>Finished Parts Supplied to PNPI</t>
  </si>
  <si>
    <t>ME1/2 Wire Fixation Bar LHC L2</t>
  </si>
  <si>
    <t>ME1/2 Wire Fixation Bar LHNE L3</t>
  </si>
  <si>
    <t>ME1/2 Wire Fixation Bar LHWE L1</t>
  </si>
  <si>
    <t>ME1/2 Wire Fixation Bar RHC R2</t>
  </si>
  <si>
    <t>ME1/2 Wire Fixation Bar RHNE R3</t>
  </si>
  <si>
    <t>ME1/2 Wire Fixation Bar RHWE R1</t>
  </si>
  <si>
    <t>ME2/1 Label, Chamber Nameplate</t>
  </si>
  <si>
    <t>ME2/1 Wire Fixation Bar LHC L2</t>
  </si>
  <si>
    <t>ME1/3 Wire Fixation Bar LHWE (2+2+2) L1</t>
  </si>
  <si>
    <t>ME1/3 Wire Fixation Bar RHWE (2+2+2) R1</t>
  </si>
  <si>
    <t>Mounting Bracket, 'YZ' Fixed Bot Mounting LLE</t>
  </si>
  <si>
    <t>Mounting Bracket, 'Z' Fixed Bot Mounting RLE</t>
  </si>
  <si>
    <t>Common ME2/1, 3/1, 4/1 Plate, Stiffening, Frame</t>
  </si>
  <si>
    <t>ME1/3 Wire Fixation Bar LHC (2+2+2) L2</t>
  </si>
  <si>
    <t>ME1/3 Wire Fixation Bar RHC (2+2+2) R2</t>
  </si>
  <si>
    <t>ME1/3 Wire Fixation Bar LHNE (2+2+2) L3</t>
  </si>
  <si>
    <t>ME1/3 Wire Fixation Bar RHNE (2+2+2) R3</t>
  </si>
  <si>
    <t>ME3/1 Wire Fixation Bar LHWE L1</t>
  </si>
  <si>
    <t>ME3/1 Wire Fixation Bar RHWE R2</t>
  </si>
  <si>
    <t>ME3/1 Wire Fixation Bar LHC L2</t>
  </si>
  <si>
    <t>ME3/1 Wire Fixation Bar RHC R2</t>
  </si>
  <si>
    <t>ME3/1 Wire Fixation Bar LHNE L3</t>
  </si>
  <si>
    <t>ME3/1 Wire Fixation Bar RHNE R3</t>
  </si>
  <si>
    <t>ME4/1 Wire Fixation Bar LHWE L1</t>
  </si>
  <si>
    <t>ME4/1 Wire Fixation Bar RHWE R1</t>
  </si>
  <si>
    <t>ME4/1 Wire Fixation Bar LHC L2</t>
  </si>
  <si>
    <t>Wire, Gold Plated Tungsten, 50 micron dia.(.002") 1.5 km (rolls)</t>
  </si>
  <si>
    <t>Sleeve, Gas (0+4+6(5)+4+6(5)+4+0)</t>
  </si>
  <si>
    <t>ME4/1 Wire Fixation Bar RHC R2</t>
  </si>
  <si>
    <t>ME4/1 Wire Fixation Bar LHNE L3</t>
  </si>
  <si>
    <t>ME4/1 Wire Fixation Bar RHNE R3</t>
  </si>
  <si>
    <t>100/bag</t>
  </si>
  <si>
    <t>each</t>
  </si>
  <si>
    <t>2/bag</t>
  </si>
  <si>
    <t>12 bag</t>
  </si>
  <si>
    <t>150 bag</t>
  </si>
  <si>
    <t>500/bag</t>
  </si>
  <si>
    <t>100/box</t>
  </si>
  <si>
    <t>500/bag?</t>
  </si>
  <si>
    <t>4k/spool</t>
  </si>
  <si>
    <t>100/pack</t>
  </si>
  <si>
    <t>50/bag</t>
  </si>
  <si>
    <t>5/box</t>
  </si>
  <si>
    <t>Insulation Tubing, Mylar,Heat Shrink (26 x 7" pc. Pkg)</t>
  </si>
  <si>
    <t>26/bag</t>
  </si>
  <si>
    <t>6/bag</t>
  </si>
  <si>
    <t>25/box</t>
  </si>
  <si>
    <t>spool</t>
  </si>
  <si>
    <t>6 bag</t>
  </si>
  <si>
    <t>9 bag</t>
  </si>
  <si>
    <t>23 roll</t>
  </si>
  <si>
    <t>60 box</t>
  </si>
  <si>
    <t>36 bag</t>
  </si>
  <si>
    <t>20 bag</t>
  </si>
  <si>
    <t>18 bag</t>
  </si>
  <si>
    <t>12 box</t>
  </si>
  <si>
    <t>16 bag</t>
  </si>
  <si>
    <t>11 spool</t>
  </si>
  <si>
    <t>54 pack</t>
  </si>
  <si>
    <t>14 spool</t>
  </si>
  <si>
    <t>8 roll</t>
  </si>
  <si>
    <t>170 roll</t>
  </si>
  <si>
    <t>150 roll</t>
  </si>
  <si>
    <t>3 bag</t>
  </si>
  <si>
    <t>4.6 bag</t>
  </si>
  <si>
    <t>7 bag</t>
  </si>
  <si>
    <t>17 rolls</t>
  </si>
  <si>
    <t>46 box</t>
  </si>
  <si>
    <t>28 bag</t>
  </si>
  <si>
    <t>21 bag</t>
  </si>
  <si>
    <t>14 bag</t>
  </si>
  <si>
    <t>18 spool</t>
  </si>
  <si>
    <t>42 pack</t>
  </si>
  <si>
    <t>138 bag</t>
  </si>
  <si>
    <t>85 roll</t>
  </si>
  <si>
    <t>10 roll</t>
  </si>
  <si>
    <t>2.4 bag</t>
  </si>
  <si>
    <t>115 bag</t>
  </si>
  <si>
    <t>7 box</t>
  </si>
  <si>
    <t>ME2/1 Wire Fixation Bar LHNE L3</t>
  </si>
  <si>
    <t>ME2/1 Wire Fixation Bar LHWE L1</t>
  </si>
  <si>
    <t>ME2/1 Wire Fixation Bar RHC R2</t>
  </si>
  <si>
    <t>ME2/1 Wire Fixation Bar RHNE R3</t>
  </si>
  <si>
    <t>ME2/1 Wire Fixation Bar RHWE R1</t>
  </si>
  <si>
    <t xml:space="preserve">Switch, NO Momentary, </t>
  </si>
  <si>
    <t>UNITS of 
MEASURE</t>
  </si>
  <si>
    <t>2 rolls</t>
  </si>
  <si>
    <t>2 cans</t>
  </si>
  <si>
    <t>6 rolls</t>
  </si>
  <si>
    <t>6 cans
6 cans</t>
  </si>
  <si>
    <t>10 rolls</t>
  </si>
  <si>
    <t>24 cans ea.</t>
  </si>
  <si>
    <t>12 cans
12 cans</t>
  </si>
  <si>
    <t>TOTAL
UNITS</t>
  </si>
  <si>
    <t>TOTAL
PIECES</t>
  </si>
  <si>
    <t>TOTAL
COST</t>
  </si>
  <si>
    <t>UNIT
WT.</t>
  </si>
  <si>
    <t>TOTAL
WT.</t>
  </si>
  <si>
    <t>CRATE
NO.</t>
  </si>
  <si>
    <t>ROUTING
NO.</t>
  </si>
  <si>
    <t>DATE
PACKED</t>
  </si>
  <si>
    <t>CH'KED
BY</t>
  </si>
  <si>
    <t>DWG.
NO.</t>
  </si>
  <si>
    <t>REV.</t>
  </si>
  <si>
    <t>IHEP KIT LIST -  ME 1/2 - NOVEMBER, 2001 Shipment</t>
  </si>
  <si>
    <t>IHEP KIT LIST -  ME 1/3 - OCTOBER, 2002 Shipment</t>
  </si>
  <si>
    <t>PNPI KIT LIST -  ME 4/1 - OCTOBER, 2002 Shipment</t>
  </si>
  <si>
    <t>20 rolls</t>
  </si>
  <si>
    <t>1 can</t>
  </si>
  <si>
    <t>90 rolls</t>
  </si>
  <si>
    <t>12 rolls</t>
  </si>
  <si>
    <t>Screw, Pan Head Phillips</t>
  </si>
  <si>
    <t>Ring, Retaining</t>
  </si>
  <si>
    <t>Wire, Gold Plated Tungsten</t>
  </si>
  <si>
    <t>Washer, Flat</t>
  </si>
  <si>
    <t>Copper Foil Roll</t>
  </si>
  <si>
    <t>Bulkhead Connector</t>
  </si>
  <si>
    <t>Lug, Ground</t>
  </si>
  <si>
    <t>Mounting Bracket</t>
  </si>
  <si>
    <t>Washer, Lock</t>
  </si>
  <si>
    <t>Bolt, Panel</t>
  </si>
  <si>
    <t>Insulation Tubing</t>
  </si>
  <si>
    <t>Screw, Hex Wash Hd</t>
  </si>
  <si>
    <t>Washer, Lock Tooth</t>
  </si>
  <si>
    <t>Screw, Hex Washer Hd</t>
  </si>
  <si>
    <t>Screw, Soc/Hd</t>
  </si>
  <si>
    <t>Ring, Swivel</t>
  </si>
  <si>
    <t>Connector, Adapter</t>
  </si>
  <si>
    <t>Resistor Network,  8 pin</t>
  </si>
  <si>
    <t>Resistor Network, 10 pin</t>
  </si>
  <si>
    <t>Street Elbow</t>
  </si>
  <si>
    <t>Straight Adapter</t>
  </si>
  <si>
    <t>CAPLUG</t>
  </si>
  <si>
    <t>Spacer Bar</t>
  </si>
  <si>
    <t>Pin, Fiberglass</t>
  </si>
  <si>
    <t>Pin, brass</t>
  </si>
  <si>
    <t>Nut</t>
  </si>
  <si>
    <t>Braid, Flat Copper</t>
  </si>
  <si>
    <t>Spring Pin</t>
  </si>
  <si>
    <t>Connector, Latch</t>
  </si>
  <si>
    <t>Epoxy, Parts A and B</t>
  </si>
  <si>
    <t>Epoxy Resin and Hardener</t>
  </si>
  <si>
    <t>Solder Roll</t>
  </si>
  <si>
    <t>Tape Roll</t>
  </si>
  <si>
    <t>Mylar Tape Roll</t>
  </si>
  <si>
    <t>Sleeve, Gas</t>
  </si>
  <si>
    <t>ME1/2 Wire Fixation Bar L1</t>
  </si>
  <si>
    <t>ME1/2 Wire Fixation Bar R1</t>
  </si>
  <si>
    <t>ME1/2 Wire Fixation Bar L2</t>
  </si>
  <si>
    <t>ME1/2 Wire Fixation Bar R2</t>
  </si>
  <si>
    <t>ME1/2 Wire Fixation Bar L3</t>
  </si>
  <si>
    <t>ME1/2 Wire Fixation Bar R3</t>
  </si>
  <si>
    <t>ME1/2 Gap Bar</t>
  </si>
  <si>
    <t>ME1/2 Isolation Strip</t>
  </si>
  <si>
    <t>Tape, Dbl Sided Adhesive</t>
  </si>
  <si>
    <t>Screw, Pan Hd Thd Form</t>
  </si>
  <si>
    <t>Grommet</t>
  </si>
  <si>
    <t>Silicone Rubber</t>
  </si>
  <si>
    <t>Ring, Connector Lifting</t>
  </si>
  <si>
    <t>Silicone Paste Catalyst</t>
  </si>
  <si>
    <t>Epoxy Resin &amp; Hardener</t>
  </si>
  <si>
    <t>Solder roll</t>
  </si>
  <si>
    <t>TOTAL
ISSUED</t>
  </si>
  <si>
    <t>Resistor</t>
  </si>
  <si>
    <t>Epoxy Parts A and B</t>
  </si>
  <si>
    <t>ME1/3 Gap Bar</t>
  </si>
  <si>
    <t>ME1/3 Isolation Strip</t>
  </si>
  <si>
    <t>ME1/3 Wire Fixation Bar L1</t>
  </si>
  <si>
    <t>ME1/3 Wire Fixation Bar R1</t>
  </si>
  <si>
    <t>ME1/3 Wire Fixation Bar L2</t>
  </si>
  <si>
    <t>ME1/3 Wire Fixation Bar R2</t>
  </si>
  <si>
    <t>ME1/3 Wire Fixation Bar L3</t>
  </si>
  <si>
    <t>ME1/3 Wire Fixation Bar R3</t>
  </si>
  <si>
    <t>Stud</t>
  </si>
  <si>
    <t>Gas Flow Tube</t>
  </si>
  <si>
    <t>Mounting Plate</t>
  </si>
  <si>
    <t>O-Ring</t>
  </si>
  <si>
    <t>Cable Tie</t>
  </si>
  <si>
    <t>Lead Wire Assembly</t>
  </si>
  <si>
    <t xml:space="preserve">Bolt, Panel </t>
  </si>
  <si>
    <t>Screw, Soc. Hd</t>
  </si>
  <si>
    <t>Resistor Network, 8 pin</t>
  </si>
  <si>
    <t>ME2/1 Wire Fixation Bar L1</t>
  </si>
  <si>
    <t>ME2/1 Wire Fixation Bar R1</t>
  </si>
  <si>
    <t>ME2/1 Wire Fixation Bar L2</t>
  </si>
  <si>
    <t>ME2/1 Wire Fixation Bar R2</t>
  </si>
  <si>
    <t>ME2/1 Wire Fixation Bar L3</t>
  </si>
  <si>
    <t>ME2/1 Wire Fixation Bar R3</t>
  </si>
  <si>
    <t>ME2/1 Extrusion</t>
  </si>
  <si>
    <t>Common Extrusion</t>
  </si>
  <si>
    <t>Common Plate, Stiffening</t>
  </si>
  <si>
    <t>Gap Bar</t>
  </si>
  <si>
    <t>Isolation Strip</t>
  </si>
  <si>
    <t>Capacitor</t>
  </si>
  <si>
    <t>Epoxy Resin &amp; hardener</t>
  </si>
  <si>
    <t>Shim</t>
  </si>
  <si>
    <t>Board, Protection</t>
  </si>
  <si>
    <t>Screw, Pan Hd</t>
  </si>
  <si>
    <t>Ring, Connector</t>
  </si>
  <si>
    <t>ME3/1 Gap Bar</t>
  </si>
  <si>
    <t>ME3/1 Isolation Strip</t>
  </si>
  <si>
    <t>ME3/1 Wire Fixation Bar L1</t>
  </si>
  <si>
    <t>ME3/1 Wire Fixation Bar R2</t>
  </si>
  <si>
    <t>ME3/1 Wire Fixation Bar L2</t>
  </si>
  <si>
    <t>ME3/1 Wire Fixation Bar L3</t>
  </si>
  <si>
    <t>ME3/1 Wire Fixation Bar R3</t>
  </si>
  <si>
    <t>ME4/1 Wire Fixation Bar L1</t>
  </si>
  <si>
    <t>ME4/1 Wire Fixation Bar R1</t>
  </si>
  <si>
    <t>ME4/1 Wire Fixation Bar L2</t>
  </si>
  <si>
    <t>ME4/1 Wire Fixation Bar R2</t>
  </si>
  <si>
    <t>ME4/1 Wire Fixation Bar L3</t>
  </si>
  <si>
    <t>ME4/1 Wire Fixation Bar R3</t>
  </si>
  <si>
    <t>Extrusion</t>
  </si>
  <si>
    <t>Tape, Roll</t>
  </si>
  <si>
    <t>Switch, NO Momentary</t>
  </si>
  <si>
    <t>Plate</t>
  </si>
  <si>
    <t>Date:
7/1/01</t>
  </si>
  <si>
    <t>55/bag</t>
  </si>
  <si>
    <t>5 bag+25 pc</t>
  </si>
  <si>
    <t>4 bag+10 pc</t>
  </si>
  <si>
    <t>290 bag</t>
  </si>
  <si>
    <t>230 bag</t>
  </si>
  <si>
    <t>24/bag</t>
  </si>
  <si>
    <t>27 bag</t>
  </si>
  <si>
    <t>230/bag</t>
  </si>
  <si>
    <t>300/bag</t>
  </si>
  <si>
    <t>230 roll</t>
  </si>
  <si>
    <t>roll</t>
  </si>
  <si>
    <t>3600/bag</t>
  </si>
  <si>
    <t>2100/bag</t>
  </si>
  <si>
    <t>6700/bag</t>
  </si>
  <si>
    <t>7500/bag</t>
  </si>
  <si>
    <t>2800/bag</t>
  </si>
  <si>
    <t>400/box</t>
  </si>
  <si>
    <t>3 box</t>
  </si>
  <si>
    <t>2 box+150</t>
  </si>
  <si>
    <t>1800/bag</t>
  </si>
  <si>
    <t>1400/bag</t>
  </si>
  <si>
    <t>8000/bag</t>
  </si>
  <si>
    <t>8094/bag</t>
  </si>
  <si>
    <t>6388/bag</t>
  </si>
  <si>
    <t>12 spool</t>
  </si>
  <si>
    <t>6900/bag</t>
  </si>
  <si>
    <t>bottles
bottles</t>
  </si>
  <si>
    <t>Epoxy Resin Epolite 5313 (90%) &amp; (resin bottles 1 qt. ea.)
Hard, DETA (10%) [hardener bottles 2 oz. ea.]</t>
  </si>
  <si>
    <t>24 bottles
24 bottles</t>
  </si>
  <si>
    <t>23 cans each</t>
  </si>
  <si>
    <t>120 roll</t>
  </si>
  <si>
    <t>160 roll</t>
  </si>
  <si>
    <t>8/bag</t>
  </si>
  <si>
    <t>350 bag</t>
  </si>
  <si>
    <t>563 bag</t>
  </si>
  <si>
    <t>1000/bag</t>
  </si>
  <si>
    <t>800/bag</t>
  </si>
  <si>
    <t>1/bag</t>
  </si>
  <si>
    <t>8k/bag</t>
  </si>
  <si>
    <t>1 bag</t>
  </si>
  <si>
    <t>600/bag</t>
  </si>
  <si>
    <t>150/bag</t>
  </si>
  <si>
    <t>900/bag</t>
  </si>
  <si>
    <t>700/bag</t>
  </si>
  <si>
    <t>120/bag</t>
  </si>
  <si>
    <t>2box+30</t>
  </si>
  <si>
    <t>47 cans each</t>
  </si>
  <si>
    <t>3450/bag</t>
  </si>
  <si>
    <t>3 cans</t>
  </si>
  <si>
    <t>74/bag</t>
  </si>
  <si>
    <t>2600/bag</t>
  </si>
  <si>
    <t>41 box</t>
  </si>
  <si>
    <t>35 box</t>
  </si>
  <si>
    <t>bottles</t>
  </si>
  <si>
    <t>6 bottles
6 rolls</t>
  </si>
  <si>
    <t>bottles each</t>
  </si>
  <si>
    <t>12/12 bottles
12 cans</t>
  </si>
  <si>
    <t>12/12
12</t>
  </si>
  <si>
    <t>4 bag+10</t>
  </si>
  <si>
    <t>2 box+30</t>
  </si>
  <si>
    <t>6/6 bottles
6 cans</t>
  </si>
  <si>
    <t>UNIT
COST</t>
  </si>
  <si>
    <t>PNPI KIT LIST -  ME 2/1
 July, 2001 Shipment</t>
  </si>
  <si>
    <t>Cable Holding/Interlock Block Ass'y</t>
  </si>
  <si>
    <t>500/box</t>
  </si>
  <si>
    <t>1 box</t>
  </si>
  <si>
    <t>UoM
COST</t>
  </si>
  <si>
    <t>2bag+20</t>
  </si>
  <si>
    <t>Primer for RTV 41 (pt cans)</t>
  </si>
  <si>
    <t>4 cans</t>
  </si>
  <si>
    <r>
      <t xml:space="preserve">368018
</t>
    </r>
    <r>
      <rPr>
        <b/>
        <sz val="10"/>
        <color indexed="10"/>
        <rFont val="Arial"/>
        <family val="2"/>
      </rPr>
      <t>368684</t>
    </r>
  </si>
  <si>
    <r>
      <t xml:space="preserve">368106
</t>
    </r>
    <r>
      <rPr>
        <b/>
        <sz val="10"/>
        <color indexed="10"/>
        <rFont val="Arial"/>
        <family val="2"/>
      </rPr>
      <t>368685</t>
    </r>
  </si>
  <si>
    <t>1 cans</t>
  </si>
  <si>
    <r>
      <t>368018</t>
    </r>
    <r>
      <rPr>
        <b/>
        <strike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368684</t>
    </r>
  </si>
  <si>
    <r>
      <t>368106</t>
    </r>
    <r>
      <rPr>
        <b/>
        <strike/>
        <sz val="10"/>
        <color indexed="12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368685</t>
    </r>
  </si>
  <si>
    <t>Silicone Spray for Assy Bolt lubrication</t>
  </si>
  <si>
    <t>Silicone Spray for Assy Screw Lub.</t>
  </si>
  <si>
    <t>Silicone Spray for Assy Bolt Lubrication</t>
  </si>
  <si>
    <t>COMBINED IHEP &amp; PNPI KIT LISTS</t>
  </si>
  <si>
    <r>
      <t xml:space="preserve">4000
</t>
    </r>
    <r>
      <rPr>
        <b/>
        <sz val="10"/>
        <color indexed="10"/>
        <rFont val="Arial"/>
        <family val="2"/>
      </rPr>
      <t>2250</t>
    </r>
  </si>
  <si>
    <r>
      <t xml:space="preserve">16 bag
</t>
    </r>
    <r>
      <rPr>
        <b/>
        <sz val="10"/>
        <color indexed="10"/>
        <rFont val="Arial"/>
        <family val="2"/>
      </rPr>
      <t>9 bags</t>
    </r>
  </si>
  <si>
    <t>7 bags</t>
  </si>
  <si>
    <t xml:space="preserve">
1 box</t>
  </si>
  <si>
    <t xml:space="preserve">
100</t>
  </si>
  <si>
    <t>Kapton Insulator,no-adhes.4"w x .002" thk x100 yd roll</t>
  </si>
  <si>
    <t xml:space="preserve">Kapton, Adhes Bk, </t>
  </si>
  <si>
    <t>Kapton no-adhes.</t>
  </si>
  <si>
    <r>
      <t xml:space="preserve">Nut  </t>
    </r>
    <r>
      <rPr>
        <b/>
        <sz val="10"/>
        <color indexed="10"/>
        <rFont val="Arial"/>
        <family val="2"/>
      </rPr>
      <t xml:space="preserve">     OBSOLETE-10/2/01</t>
    </r>
  </si>
  <si>
    <t>3 box
2 box</t>
  </si>
  <si>
    <t>300
200</t>
  </si>
  <si>
    <r>
      <t xml:space="preserve">Nut </t>
    </r>
    <r>
      <rPr>
        <b/>
        <sz val="10"/>
        <color indexed="10"/>
        <rFont val="Arial"/>
        <family val="2"/>
      </rPr>
      <t xml:space="preserve">         OBSOLETE 10/2/01</t>
    </r>
  </si>
  <si>
    <r>
      <t xml:space="preserve">Nut, Bulkhead Connector, Chamfered </t>
    </r>
    <r>
      <rPr>
        <b/>
        <sz val="10"/>
        <color indexed="10"/>
        <rFont val="Arial"/>
        <family val="2"/>
      </rPr>
      <t xml:space="preserve">   OBSOLETE 10/02/01</t>
    </r>
  </si>
  <si>
    <t>ME 4/1 added parts</t>
  </si>
  <si>
    <t>PNPI KIT LIST -  ME 3/1, ME 4/1 - NOVEMBER, 2001 Shipment</t>
  </si>
  <si>
    <t>ME3/1 &amp; 4/1</t>
  </si>
  <si>
    <t>Gas Flow Tube, common</t>
  </si>
  <si>
    <t>Gap Bar, common</t>
  </si>
  <si>
    <t>PNPI Fabs.from 368174</t>
  </si>
  <si>
    <t>PNPI Fabs.from 368176</t>
  </si>
  <si>
    <t>ME2/1 Extrusion, Anode Side Top, Interim</t>
  </si>
  <si>
    <t>ME2/1 Extrusion, Anode Side Top, Complete</t>
  </si>
  <si>
    <t>ME2/1 Extrusion, HV Side Top, Complete</t>
  </si>
  <si>
    <t>ME2/1 Extrusion, HV Side Top, Interim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</si>
</sst>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_);[Red]\(0.00\)"/>
    <numFmt numFmtId="166" formatCode="0.0"/>
    <numFmt numFmtId="167" formatCode="000"/>
    <numFmt numFmtId="168" formatCode="0.00_);\(0.00\)"/>
    <numFmt numFmtId="169" formatCode="0_);\(0\)"/>
    <numFmt numFmtId="170" formatCode="0.0%"/>
    <numFmt numFmtId="171" formatCode="00000"/>
    <numFmt numFmtId="172" formatCode="&quot;$&quot;#,##0"/>
    <numFmt numFmtId="173" formatCode="0.00000"/>
    <numFmt numFmtId="174" formatCode="0;0;;@"/>
    <numFmt numFmtId="175" formatCode="m/d"/>
    <numFmt numFmtId="176" formatCode="&quot;$&quot;#,##0.00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i/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trike/>
      <sz val="10"/>
      <color indexed="12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strike/>
      <sz val="8"/>
      <color indexed="10"/>
      <name val="Arial"/>
      <family val="2"/>
    </font>
    <font>
      <b/>
      <strike/>
      <sz val="10"/>
      <color indexed="10"/>
      <name val="Arial"/>
      <family val="2"/>
    </font>
    <font>
      <b/>
      <u val="single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gray125">
        <bgColor indexed="9"/>
      </patternFill>
    </fill>
    <fill>
      <patternFill patternType="gray125">
        <bgColor indexed="43"/>
      </patternFill>
    </fill>
    <fill>
      <patternFill patternType="gray125">
        <bgColor indexed="26"/>
      </patternFill>
    </fill>
    <fill>
      <patternFill patternType="gray125">
        <bgColor indexed="41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Fill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166" fontId="16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2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74" fontId="18" fillId="0" borderId="0" xfId="0" applyNumberFormat="1" applyFont="1" applyBorder="1" applyAlignment="1">
      <alignment horizontal="center" wrapText="1"/>
    </xf>
    <xf numFmtId="174" fontId="18" fillId="0" borderId="0" xfId="0" applyNumberFormat="1" applyFont="1" applyAlignment="1">
      <alignment horizontal="center"/>
    </xf>
    <xf numFmtId="174" fontId="19" fillId="0" borderId="1" xfId="0" applyNumberFormat="1" applyFont="1" applyBorder="1" applyAlignment="1">
      <alignment horizontal="center" wrapText="1"/>
    </xf>
    <xf numFmtId="174" fontId="18" fillId="0" borderId="1" xfId="0" applyNumberFormat="1" applyFont="1" applyBorder="1" applyAlignment="1">
      <alignment horizontal="center" wrapText="1"/>
    </xf>
    <xf numFmtId="174" fontId="19" fillId="0" borderId="0" xfId="0" applyNumberFormat="1" applyFont="1" applyBorder="1" applyAlignment="1">
      <alignment horizontal="center" wrapText="1"/>
    </xf>
    <xf numFmtId="174" fontId="18" fillId="0" borderId="0" xfId="0" applyNumberFormat="1" applyFont="1" applyAlignment="1">
      <alignment horizontal="center" wrapText="1"/>
    </xf>
    <xf numFmtId="174" fontId="17" fillId="0" borderId="0" xfId="0" applyNumberFormat="1" applyFont="1" applyBorder="1" applyAlignment="1">
      <alignment horizontal="center" wrapText="1"/>
    </xf>
    <xf numFmtId="174" fontId="17" fillId="0" borderId="1" xfId="0" applyNumberFormat="1" applyFont="1" applyBorder="1" applyAlignment="1">
      <alignment horizontal="center" wrapText="1"/>
    </xf>
    <xf numFmtId="174" fontId="20" fillId="0" borderId="0" xfId="0" applyNumberFormat="1" applyFont="1" applyBorder="1" applyAlignment="1">
      <alignment horizontal="center" wrapText="1"/>
    </xf>
    <xf numFmtId="174" fontId="20" fillId="0" borderId="1" xfId="0" applyNumberFormat="1" applyFont="1" applyBorder="1" applyAlignment="1">
      <alignment horizontal="center" wrapText="1"/>
    </xf>
    <xf numFmtId="174" fontId="20" fillId="0" borderId="0" xfId="0" applyNumberFormat="1" applyFont="1" applyFill="1" applyBorder="1" applyAlignment="1">
      <alignment horizontal="center" wrapText="1"/>
    </xf>
    <xf numFmtId="174" fontId="17" fillId="0" borderId="0" xfId="0" applyNumberFormat="1" applyFont="1" applyFill="1" applyBorder="1" applyAlignment="1">
      <alignment horizontal="center" wrapText="1"/>
    </xf>
    <xf numFmtId="174" fontId="19" fillId="0" borderId="0" xfId="0" applyNumberFormat="1" applyFont="1" applyFill="1" applyBorder="1" applyAlignment="1">
      <alignment horizontal="center" wrapText="1"/>
    </xf>
    <xf numFmtId="174" fontId="18" fillId="0" borderId="0" xfId="0" applyNumberFormat="1" applyFont="1" applyFill="1" applyBorder="1" applyAlignment="1">
      <alignment horizontal="center" wrapText="1"/>
    </xf>
    <xf numFmtId="174" fontId="22" fillId="0" borderId="1" xfId="0" applyNumberFormat="1" applyFont="1" applyBorder="1" applyAlignment="1">
      <alignment horizontal="center" wrapText="1"/>
    </xf>
    <xf numFmtId="174" fontId="21" fillId="0" borderId="1" xfId="0" applyNumberFormat="1" applyFont="1" applyBorder="1" applyAlignment="1">
      <alignment horizontal="center" wrapText="1"/>
    </xf>
    <xf numFmtId="174" fontId="22" fillId="0" borderId="0" xfId="0" applyNumberFormat="1" applyFont="1" applyBorder="1" applyAlignment="1">
      <alignment horizontal="center" wrapText="1"/>
    </xf>
    <xf numFmtId="174" fontId="21" fillId="0" borderId="0" xfId="0" applyNumberFormat="1" applyFont="1" applyBorder="1" applyAlignment="1">
      <alignment horizontal="center" wrapText="1"/>
    </xf>
    <xf numFmtId="174" fontId="21" fillId="0" borderId="0" xfId="0" applyNumberFormat="1" applyFont="1" applyFill="1" applyBorder="1" applyAlignment="1">
      <alignment horizontal="center" wrapText="1"/>
    </xf>
    <xf numFmtId="174" fontId="22" fillId="0" borderId="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wrapText="1"/>
    </xf>
    <xf numFmtId="1" fontId="19" fillId="0" borderId="3" xfId="0" applyNumberFormat="1" applyFont="1" applyFill="1" applyBorder="1" applyAlignment="1">
      <alignment horizontal="center" wrapText="1"/>
    </xf>
    <xf numFmtId="174" fontId="22" fillId="0" borderId="3" xfId="0" applyNumberFormat="1" applyFont="1" applyFill="1" applyBorder="1" applyAlignment="1">
      <alignment horizontal="center" wrapText="1"/>
    </xf>
    <xf numFmtId="174" fontId="21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1" fontId="0" fillId="0" borderId="3" xfId="0" applyNumberFormat="1" applyFont="1" applyFill="1" applyBorder="1" applyAlignment="1">
      <alignment horizontal="center"/>
    </xf>
    <xf numFmtId="169" fontId="1" fillId="0" borderId="2" xfId="0" applyNumberFormat="1" applyFont="1" applyBorder="1" applyAlignment="1">
      <alignment horizontal="center" vertical="center"/>
    </xf>
    <xf numFmtId="174" fontId="19" fillId="0" borderId="2" xfId="0" applyNumberFormat="1" applyFont="1" applyBorder="1" applyAlignment="1">
      <alignment horizontal="center" wrapText="1"/>
    </xf>
    <xf numFmtId="174" fontId="18" fillId="0" borderId="2" xfId="0" applyNumberFormat="1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9" fillId="0" borderId="5" xfId="0" applyFont="1" applyBorder="1" applyAlignment="1">
      <alignment/>
    </xf>
    <xf numFmtId="0" fontId="18" fillId="0" borderId="5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169" fontId="24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16" fillId="0" borderId="5" xfId="0" applyFont="1" applyBorder="1" applyAlignment="1">
      <alignment wrapText="1"/>
    </xf>
    <xf numFmtId="0" fontId="11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25" fillId="0" borderId="5" xfId="0" applyFont="1" applyBorder="1" applyAlignment="1">
      <alignment horizontal="left" vertical="center" wrapText="1"/>
    </xf>
    <xf numFmtId="166" fontId="16" fillId="0" borderId="0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169" fontId="19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74" fontId="22" fillId="3" borderId="6" xfId="0" applyNumberFormat="1" applyFont="1" applyFill="1" applyBorder="1" applyAlignment="1">
      <alignment horizontal="center" wrapText="1"/>
    </xf>
    <xf numFmtId="174" fontId="21" fillId="3" borderId="6" xfId="0" applyNumberFormat="1" applyFont="1" applyFill="1" applyBorder="1" applyAlignment="1">
      <alignment horizontal="center" wrapText="1"/>
    </xf>
    <xf numFmtId="1" fontId="11" fillId="3" borderId="6" xfId="0" applyNumberFormat="1" applyFont="1" applyFill="1" applyBorder="1" applyAlignment="1">
      <alignment horizontal="center" wrapText="1"/>
    </xf>
    <xf numFmtId="1" fontId="1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3" borderId="6" xfId="0" applyNumberFormat="1" applyFont="1" applyFill="1" applyBorder="1" applyAlignment="1">
      <alignment horizontal="center"/>
    </xf>
    <xf numFmtId="169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174" fontId="19" fillId="2" borderId="6" xfId="0" applyNumberFormat="1" applyFont="1" applyFill="1" applyBorder="1" applyAlignment="1">
      <alignment horizontal="center" wrapText="1"/>
    </xf>
    <xf numFmtId="1" fontId="21" fillId="2" borderId="6" xfId="0" applyNumberFormat="1" applyFont="1" applyFill="1" applyBorder="1" applyAlignment="1">
      <alignment horizontal="center" wrapText="1"/>
    </xf>
    <xf numFmtId="1" fontId="11" fillId="2" borderId="6" xfId="0" applyNumberFormat="1" applyFont="1" applyFill="1" applyBorder="1" applyAlignment="1">
      <alignment horizontal="center" wrapText="1"/>
    </xf>
    <xf numFmtId="1" fontId="24" fillId="2" borderId="6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wrapText="1"/>
    </xf>
    <xf numFmtId="169" fontId="1" fillId="2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169" fontId="1" fillId="3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4" xfId="0" applyNumberFormat="1" applyFont="1" applyFill="1" applyBorder="1" applyAlignment="1">
      <alignment horizontal="center"/>
    </xf>
    <xf numFmtId="169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1" fontId="19" fillId="0" borderId="9" xfId="0" applyNumberFormat="1" applyFont="1" applyFill="1" applyBorder="1" applyAlignment="1">
      <alignment horizontal="center" wrapText="1"/>
    </xf>
    <xf numFmtId="174" fontId="22" fillId="0" borderId="9" xfId="0" applyNumberFormat="1" applyFont="1" applyFill="1" applyBorder="1" applyAlignment="1">
      <alignment horizontal="center" wrapText="1"/>
    </xf>
    <xf numFmtId="174" fontId="21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1" fillId="4" borderId="4" xfId="0" applyFont="1" applyFill="1" applyBorder="1" applyAlignment="1">
      <alignment horizontal="center"/>
    </xf>
    <xf numFmtId="169" fontId="1" fillId="4" borderId="4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wrapText="1"/>
    </xf>
    <xf numFmtId="1" fontId="19" fillId="4" borderId="6" xfId="0" applyNumberFormat="1" applyFont="1" applyFill="1" applyBorder="1" applyAlignment="1">
      <alignment horizontal="center" wrapText="1"/>
    </xf>
    <xf numFmtId="174" fontId="22" fillId="4" borderId="6" xfId="0" applyNumberFormat="1" applyFont="1" applyFill="1" applyBorder="1" applyAlignment="1">
      <alignment horizontal="center" wrapText="1"/>
    </xf>
    <xf numFmtId="174" fontId="21" fillId="4" borderId="6" xfId="0" applyNumberFormat="1" applyFont="1" applyFill="1" applyBorder="1" applyAlignment="1">
      <alignment horizontal="center" wrapText="1"/>
    </xf>
    <xf numFmtId="1" fontId="11" fillId="4" borderId="6" xfId="0" applyNumberFormat="1" applyFont="1" applyFill="1" applyBorder="1" applyAlignment="1">
      <alignment horizontal="center" wrapText="1"/>
    </xf>
    <xf numFmtId="1" fontId="0" fillId="4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wrapText="1"/>
    </xf>
    <xf numFmtId="169" fontId="1" fillId="4" borderId="8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 wrapText="1"/>
    </xf>
    <xf numFmtId="1" fontId="21" fillId="5" borderId="6" xfId="0" applyNumberFormat="1" applyFont="1" applyFill="1" applyBorder="1" applyAlignment="1">
      <alignment horizontal="center" wrapText="1"/>
    </xf>
    <xf numFmtId="1" fontId="11" fillId="5" borderId="6" xfId="0" applyNumberFormat="1" applyFont="1" applyFill="1" applyBorder="1" applyAlignment="1">
      <alignment horizontal="center" wrapText="1"/>
    </xf>
    <xf numFmtId="1" fontId="24" fillId="5" borderId="6" xfId="0" applyNumberFormat="1" applyFont="1" applyFill="1" applyBorder="1" applyAlignment="1">
      <alignment horizontal="center" wrapText="1"/>
    </xf>
    <xf numFmtId="1" fontId="5" fillId="5" borderId="6" xfId="0" applyNumberFormat="1" applyFont="1" applyFill="1" applyBorder="1" applyAlignment="1">
      <alignment horizontal="center" wrapText="1"/>
    </xf>
    <xf numFmtId="1" fontId="1" fillId="5" borderId="4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 wrapText="1"/>
    </xf>
    <xf numFmtId="1" fontId="1" fillId="5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5" borderId="8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9" fillId="5" borderId="6" xfId="0" applyNumberFormat="1" applyFont="1" applyFill="1" applyBorder="1" applyAlignment="1">
      <alignment horizontal="center" wrapText="1"/>
    </xf>
    <xf numFmtId="1" fontId="19" fillId="2" borderId="6" xfId="0" applyNumberFormat="1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5" fillId="5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1" fontId="12" fillId="0" borderId="3" xfId="0" applyNumberFormat="1" applyFont="1" applyFill="1" applyBorder="1" applyAlignment="1">
      <alignment horizontal="center" wrapText="1"/>
    </xf>
    <xf numFmtId="1" fontId="12" fillId="0" borderId="9" xfId="0" applyNumberFormat="1" applyFont="1" applyFill="1" applyBorder="1" applyAlignment="1">
      <alignment horizontal="center" wrapText="1"/>
    </xf>
    <xf numFmtId="1" fontId="12" fillId="4" borderId="6" xfId="0" applyNumberFormat="1" applyFont="1" applyFill="1" applyBorder="1" applyAlignment="1">
      <alignment horizontal="center" wrapText="1"/>
    </xf>
    <xf numFmtId="1" fontId="12" fillId="3" borderId="6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" fontId="12" fillId="5" borderId="6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" fontId="1" fillId="4" borderId="7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" fontId="19" fillId="3" borderId="7" xfId="0" applyNumberFormat="1" applyFont="1" applyFill="1" applyBorder="1" applyAlignment="1">
      <alignment horizontal="center" wrapText="1"/>
    </xf>
    <xf numFmtId="1" fontId="1" fillId="5" borderId="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1" fontId="19" fillId="4" borderId="3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169" fontId="1" fillId="0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vertical="center"/>
    </xf>
    <xf numFmtId="174" fontId="19" fillId="0" borderId="9" xfId="0" applyNumberFormat="1" applyFont="1" applyFill="1" applyBorder="1" applyAlignment="1">
      <alignment horizontal="center" wrapText="1"/>
    </xf>
    <xf numFmtId="1" fontId="21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6" fontId="1" fillId="0" borderId="3" xfId="0" applyNumberFormat="1" applyFont="1" applyFill="1" applyBorder="1" applyAlignment="1">
      <alignment horizontal="center" wrapText="1"/>
    </xf>
    <xf numFmtId="166" fontId="1" fillId="0" borderId="9" xfId="0" applyNumberFormat="1" applyFont="1" applyFill="1" applyBorder="1" applyAlignment="1">
      <alignment horizontal="center" wrapText="1"/>
    </xf>
    <xf numFmtId="166" fontId="1" fillId="4" borderId="6" xfId="0" applyNumberFormat="1" applyFont="1" applyFill="1" applyBorder="1" applyAlignment="1">
      <alignment horizontal="center" wrapText="1"/>
    </xf>
    <xf numFmtId="166" fontId="1" fillId="3" borderId="6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wrapText="1"/>
    </xf>
    <xf numFmtId="2" fontId="1" fillId="6" borderId="10" xfId="0" applyNumberFormat="1" applyFont="1" applyFill="1" applyBorder="1" applyAlignment="1">
      <alignment horizontal="center" wrapText="1"/>
    </xf>
    <xf numFmtId="1" fontId="1" fillId="6" borderId="10" xfId="0" applyNumberFormat="1" applyFont="1" applyFill="1" applyBorder="1" applyAlignment="1">
      <alignment horizontal="center" wrapText="1"/>
    </xf>
    <xf numFmtId="1" fontId="2" fillId="6" borderId="10" xfId="0" applyNumberFormat="1" applyFont="1" applyFill="1" applyBorder="1" applyAlignment="1">
      <alignment horizontal="center" wrapText="1"/>
    </xf>
    <xf numFmtId="49" fontId="1" fillId="6" borderId="10" xfId="0" applyNumberFormat="1" applyFont="1" applyFill="1" applyBorder="1" applyAlignment="1">
      <alignment horizontal="center" wrapText="1"/>
    </xf>
    <xf numFmtId="1" fontId="2" fillId="6" borderId="11" xfId="0" applyNumberFormat="1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left" wrapText="1"/>
    </xf>
    <xf numFmtId="2" fontId="1" fillId="6" borderId="10" xfId="0" applyNumberFormat="1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  <xf numFmtId="1" fontId="1" fillId="6" borderId="10" xfId="0" applyNumberFormat="1" applyFont="1" applyFill="1" applyBorder="1" applyAlignment="1">
      <alignment horizontal="center" vertical="top" wrapText="1"/>
    </xf>
    <xf numFmtId="1" fontId="1" fillId="6" borderId="11" xfId="0" applyNumberFormat="1" applyFont="1" applyFill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4" borderId="8" xfId="0" applyNumberFormat="1" applyFont="1" applyFill="1" applyBorder="1" applyAlignment="1">
      <alignment horizontal="center" wrapText="1"/>
    </xf>
    <xf numFmtId="166" fontId="1" fillId="3" borderId="8" xfId="0" applyNumberFormat="1" applyFont="1" applyFill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" fontId="1" fillId="5" borderId="8" xfId="0" applyNumberFormat="1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 wrapText="1"/>
    </xf>
    <xf numFmtId="166" fontId="1" fillId="2" borderId="8" xfId="0" applyNumberFormat="1" applyFont="1" applyFill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2" fontId="1" fillId="4" borderId="6" xfId="0" applyNumberFormat="1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 wrapText="1"/>
    </xf>
    <xf numFmtId="0" fontId="1" fillId="1" borderId="10" xfId="0" applyFont="1" applyFill="1" applyBorder="1" applyAlignment="1">
      <alignment horizontal="center" wrapText="1"/>
    </xf>
    <xf numFmtId="0" fontId="1" fillId="1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wrapText="1"/>
    </xf>
    <xf numFmtId="2" fontId="1" fillId="1" borderId="10" xfId="0" applyNumberFormat="1" applyFont="1" applyFill="1" applyBorder="1" applyAlignment="1">
      <alignment horizontal="center" wrapText="1"/>
    </xf>
    <xf numFmtId="1" fontId="1" fillId="1" borderId="10" xfId="0" applyNumberFormat="1" applyFont="1" applyFill="1" applyBorder="1" applyAlignment="1">
      <alignment horizontal="center" wrapText="1"/>
    </xf>
    <xf numFmtId="1" fontId="1" fillId="7" borderId="10" xfId="0" applyNumberFormat="1" applyFont="1" applyFill="1" applyBorder="1" applyAlignment="1">
      <alignment horizontal="center" wrapText="1"/>
    </xf>
    <xf numFmtId="1" fontId="1" fillId="8" borderId="10" xfId="0" applyNumberFormat="1" applyFont="1" applyFill="1" applyBorder="1" applyAlignment="1">
      <alignment horizontal="center" wrapText="1"/>
    </xf>
    <xf numFmtId="1" fontId="1" fillId="1" borderId="11" xfId="0" applyNumberFormat="1" applyFont="1" applyFill="1" applyBorder="1" applyAlignment="1">
      <alignment horizontal="center" wrapText="1"/>
    </xf>
    <xf numFmtId="1" fontId="1" fillId="9" borderId="10" xfId="0" applyNumberFormat="1" applyFont="1" applyFill="1" applyBorder="1" applyAlignment="1">
      <alignment horizontal="center" wrapText="1"/>
    </xf>
    <xf numFmtId="0" fontId="1" fillId="1" borderId="10" xfId="0" applyFont="1" applyFill="1" applyBorder="1" applyAlignment="1">
      <alignment/>
    </xf>
    <xf numFmtId="2" fontId="1" fillId="1" borderId="1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4" borderId="8" xfId="0" applyNumberFormat="1" applyFont="1" applyFill="1" applyBorder="1" applyAlignment="1">
      <alignment horizontal="center" wrapText="1"/>
    </xf>
    <xf numFmtId="1" fontId="1" fillId="3" borderId="8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174" fontId="5" fillId="0" borderId="3" xfId="0" applyNumberFormat="1" applyFont="1" applyFill="1" applyBorder="1" applyAlignment="1">
      <alignment horizontal="center" wrapText="1"/>
    </xf>
    <xf numFmtId="174" fontId="5" fillId="0" borderId="9" xfId="0" applyNumberFormat="1" applyFont="1" applyFill="1" applyBorder="1" applyAlignment="1">
      <alignment horizontal="center" wrapText="1"/>
    </xf>
    <xf numFmtId="174" fontId="5" fillId="4" borderId="6" xfId="0" applyNumberFormat="1" applyFont="1" applyFill="1" applyBorder="1" applyAlignment="1">
      <alignment horizontal="center" wrapText="1"/>
    </xf>
    <xf numFmtId="174" fontId="5" fillId="3" borderId="6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174" fontId="5" fillId="0" borderId="1" xfId="0" applyNumberFormat="1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Continuous"/>
    </xf>
    <xf numFmtId="1" fontId="26" fillId="0" borderId="0" xfId="0" applyNumberFormat="1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4" fontId="26" fillId="3" borderId="6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1" fontId="10" fillId="5" borderId="6" xfId="0" applyNumberFormat="1" applyFont="1" applyFill="1" applyBorder="1" applyAlignment="1">
      <alignment horizontal="left"/>
    </xf>
    <xf numFmtId="1" fontId="26" fillId="2" borderId="6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" fontId="1" fillId="5" borderId="10" xfId="0" applyNumberFormat="1" applyFont="1" applyFill="1" applyBorder="1" applyAlignment="1">
      <alignment horizontal="center" wrapText="1"/>
    </xf>
    <xf numFmtId="1" fontId="1" fillId="5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4" borderId="13" xfId="0" applyNumberFormat="1" applyFont="1" applyFill="1" applyBorder="1" applyAlignment="1">
      <alignment horizontal="center" wrapText="1"/>
    </xf>
    <xf numFmtId="1" fontId="11" fillId="0" borderId="4" xfId="0" applyNumberFormat="1" applyFont="1" applyFill="1" applyBorder="1" applyAlignment="1">
      <alignment horizont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 wrapText="1"/>
    </xf>
    <xf numFmtId="1" fontId="12" fillId="4" borderId="8" xfId="0" applyNumberFormat="1" applyFont="1" applyFill="1" applyBorder="1" applyAlignment="1">
      <alignment horizontal="center" wrapText="1"/>
    </xf>
    <xf numFmtId="1" fontId="12" fillId="3" borderId="8" xfId="0" applyNumberFormat="1" applyFont="1" applyFill="1" applyBorder="1" applyAlignment="1">
      <alignment horizontal="center" wrapText="1"/>
    </xf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 wrapText="1"/>
    </xf>
    <xf numFmtId="1" fontId="12" fillId="5" borderId="8" xfId="0" applyNumberFormat="1" applyFont="1" applyFill="1" applyBorder="1" applyAlignment="1">
      <alignment horizontal="center" wrapText="1"/>
    </xf>
    <xf numFmtId="1" fontId="12" fillId="2" borderId="8" xfId="0" applyNumberFormat="1" applyFont="1" applyFill="1" applyBorder="1" applyAlignment="1">
      <alignment horizontal="center" wrapText="1"/>
    </xf>
    <xf numFmtId="0" fontId="12" fillId="1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9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vertical="center" wrapText="1"/>
    </xf>
    <xf numFmtId="49" fontId="31" fillId="0" borderId="0" xfId="0" applyNumberFormat="1" applyFont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76" fontId="12" fillId="0" borderId="0" xfId="0" applyNumberFormat="1" applyFont="1" applyFill="1" applyBorder="1" applyAlignment="1">
      <alignment horizontal="center" wrapText="1"/>
    </xf>
    <xf numFmtId="1" fontId="33" fillId="0" borderId="0" xfId="0" applyNumberFormat="1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top"/>
    </xf>
    <xf numFmtId="1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12" fillId="0" borderId="0" xfId="0" applyNumberFormat="1" applyFont="1" applyBorder="1" applyAlignment="1">
      <alignment horizontal="center" wrapText="1"/>
    </xf>
    <xf numFmtId="1" fontId="12" fillId="2" borderId="6" xfId="0" applyNumberFormat="1" applyFont="1" applyFill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66" fontId="33" fillId="0" borderId="0" xfId="0" applyNumberFormat="1" applyFont="1" applyFill="1" applyBorder="1" applyAlignment="1">
      <alignment horizontal="center" wrapText="1"/>
    </xf>
    <xf numFmtId="176" fontId="33" fillId="0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" xfId="0" applyFont="1" applyBorder="1" applyAlignment="1">
      <alignment wrapText="1"/>
    </xf>
    <xf numFmtId="1" fontId="33" fillId="0" borderId="0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1" fontId="33" fillId="0" borderId="3" xfId="0" applyNumberFormat="1" applyFont="1" applyFill="1" applyBorder="1" applyAlignment="1">
      <alignment horizontal="center" wrapText="1"/>
    </xf>
    <xf numFmtId="1" fontId="33" fillId="0" borderId="9" xfId="0" applyNumberFormat="1" applyFont="1" applyFill="1" applyBorder="1" applyAlignment="1">
      <alignment horizontal="center" wrapText="1"/>
    </xf>
    <xf numFmtId="1" fontId="33" fillId="4" borderId="6" xfId="0" applyNumberFormat="1" applyFont="1" applyFill="1" applyBorder="1" applyAlignment="1">
      <alignment horizontal="center" wrapText="1"/>
    </xf>
    <xf numFmtId="0" fontId="17" fillId="2" borderId="6" xfId="0" applyFont="1" applyFill="1" applyBorder="1" applyAlignment="1">
      <alignment wrapText="1"/>
    </xf>
    <xf numFmtId="1" fontId="33" fillId="3" borderId="6" xfId="0" applyNumberFormat="1" applyFont="1" applyFill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166" fontId="33" fillId="5" borderId="6" xfId="0" applyNumberFormat="1" applyFont="1" applyFill="1" applyBorder="1" applyAlignment="1">
      <alignment horizontal="center" wrapText="1"/>
    </xf>
    <xf numFmtId="1" fontId="33" fillId="2" borderId="6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23" fillId="2" borderId="6" xfId="0" applyFont="1" applyFill="1" applyBorder="1" applyAlignment="1">
      <alignment vertical="center" wrapText="1"/>
    </xf>
    <xf numFmtId="1" fontId="12" fillId="2" borderId="17" xfId="0" applyNumberFormat="1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3" fillId="2" borderId="7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69" fontId="1" fillId="3" borderId="6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2" borderId="6" xfId="0" applyNumberFormat="1" applyFill="1" applyBorder="1" applyAlignment="1">
      <alignment horizontal="center"/>
    </xf>
    <xf numFmtId="169" fontId="1" fillId="2" borderId="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1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ased_Drawings\ChamberBasicBOM's07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berCommon Pts. (not frames)"/>
      <sheetName val="Chamber Frame Pts, Common"/>
      <sheetName val="Chamber Frame Pts, Unique"/>
      <sheetName val="1.2, 2.1 Cu Pts order 7.27.00"/>
      <sheetName val="1.3, 3.1, 4.1 Cu Pts to Order"/>
      <sheetName val="z bracket lengths"/>
      <sheetName val="Basic Chambers Combined  P.L."/>
      <sheetName val="ME1.2 BOM"/>
      <sheetName val="ME1.3 BOM"/>
      <sheetName val="ME2.1 BOM"/>
      <sheetName val="ME3.1 BOM"/>
      <sheetName val="ME4.1 BOM"/>
      <sheetName val="ME234.2 BOM"/>
    </sheetNames>
    <sheetDataSet>
      <sheetData sheetId="4">
        <row r="1">
          <cell r="A1" t="str">
            <v>N. Chester
Updated 8/7/01 </v>
          </cell>
        </row>
        <row r="8">
          <cell r="A8" t="str">
            <v>A</v>
          </cell>
          <cell r="B8">
            <v>368112</v>
          </cell>
          <cell r="C8" t="str">
            <v>A</v>
          </cell>
          <cell r="D8" t="str">
            <v>Cu</v>
          </cell>
          <cell r="E8" t="str">
            <v>ME1/3 SS Gas Flow Tube, Upper</v>
          </cell>
        </row>
        <row r="9">
          <cell r="A9" t="str">
            <v>B</v>
          </cell>
          <cell r="B9">
            <v>368113</v>
          </cell>
          <cell r="C9" t="str">
            <v>A</v>
          </cell>
          <cell r="D9" t="str">
            <v>Cu</v>
          </cell>
          <cell r="E9" t="str">
            <v>ME1/3 1/4 SS Gas Flow Tube, Lower</v>
          </cell>
        </row>
        <row r="10">
          <cell r="A10" t="str">
            <v>A</v>
          </cell>
          <cell r="B10">
            <v>368429</v>
          </cell>
          <cell r="C10" t="str">
            <v>A</v>
          </cell>
          <cell r="D10" t="str">
            <v>Cu</v>
          </cell>
          <cell r="E10" t="str">
            <v>ME1/3 Chamber Nameplate Label</v>
          </cell>
        </row>
        <row r="11">
          <cell r="A11" t="str">
            <v>C</v>
          </cell>
          <cell r="B11">
            <v>368440</v>
          </cell>
          <cell r="C11" t="str">
            <v>-</v>
          </cell>
          <cell r="D11" t="str">
            <v>Cu</v>
          </cell>
          <cell r="E11" t="str">
            <v>ME1/3 Gap Bar, Narrow End (ALL)</v>
          </cell>
        </row>
        <row r="12">
          <cell r="A12" t="str">
            <v>C</v>
          </cell>
          <cell r="B12">
            <v>368441</v>
          </cell>
          <cell r="C12" t="str">
            <v>-</v>
          </cell>
          <cell r="D12" t="str">
            <v>Cu</v>
          </cell>
          <cell r="E12" t="str">
            <v>ME1/3 Gap Bar, Wide End (OP)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7"/>
  <sheetViews>
    <sheetView workbookViewId="0" topLeftCell="B1">
      <pane xSplit="8460" ySplit="1980" topLeftCell="AK1" activePane="bottomLeft" state="split"/>
      <selection pane="topLeft" activeCell="E1" sqref="E1:E16384"/>
      <selection pane="topRight" activeCell="W1" sqref="W1:W16384"/>
      <selection pane="bottomLeft" activeCell="C111" sqref="C111"/>
      <selection pane="bottomRight" activeCell="AD209" sqref="AD191:AP209"/>
    </sheetView>
  </sheetViews>
  <sheetFormatPr defaultColWidth="9.140625" defaultRowHeight="13.5" customHeight="1"/>
  <cols>
    <col min="1" max="1" width="4.28125" style="8" customWidth="1"/>
    <col min="2" max="2" width="8.57421875" style="8" customWidth="1"/>
    <col min="3" max="3" width="3.8515625" style="8" customWidth="1"/>
    <col min="4" max="4" width="4.8515625" style="23" customWidth="1"/>
    <col min="5" max="5" width="58.57421875" style="9" customWidth="1"/>
    <col min="6" max="6" width="5.57421875" style="10" customWidth="1" collapsed="1"/>
    <col min="7" max="7" width="6.421875" style="5" customWidth="1"/>
    <col min="8" max="8" width="5.57421875" style="10" customWidth="1"/>
    <col min="9" max="9" width="6.421875" style="5" customWidth="1"/>
    <col min="10" max="10" width="7.28125" style="176" customWidth="1"/>
    <col min="11" max="11" width="9.00390625" style="254" customWidth="1"/>
    <col min="12" max="12" width="12.8515625" style="264" customWidth="1"/>
    <col min="13" max="13" width="7.8515625" style="225" customWidth="1"/>
    <col min="14" max="15" width="8.28125" style="225" customWidth="1"/>
    <col min="16" max="16" width="5.57421875" style="10" customWidth="1"/>
    <col min="17" max="17" width="6.421875" style="10" customWidth="1"/>
    <col min="18" max="18" width="5.57421875" style="10" customWidth="1"/>
    <col min="19" max="19" width="6.421875" style="9" customWidth="1"/>
    <col min="20" max="20" width="5.57421875" style="6" customWidth="1"/>
    <col min="21" max="21" width="6.421875" style="9" customWidth="1"/>
    <col min="22" max="22" width="7.28125" style="7" customWidth="1"/>
    <col min="23" max="23" width="9.421875" style="311" customWidth="1"/>
    <col min="24" max="24" width="12.8515625" style="287" customWidth="1"/>
    <col min="25" max="25" width="9.00390625" style="287" customWidth="1"/>
    <col min="26" max="27" width="9.00390625" style="234" customWidth="1"/>
    <col min="28" max="28" width="21.140625" style="209" customWidth="1"/>
    <col min="29" max="16384" width="9.140625" style="17" customWidth="1"/>
  </cols>
  <sheetData>
    <row r="1" spans="1:28" s="16" customFormat="1" ht="27" customHeight="1">
      <c r="A1" s="14" t="s">
        <v>71</v>
      </c>
      <c r="B1" s="14" t="s">
        <v>92</v>
      </c>
      <c r="C1" s="14" t="s">
        <v>72</v>
      </c>
      <c r="D1" s="153" t="s">
        <v>173</v>
      </c>
      <c r="E1" s="439" t="s">
        <v>598</v>
      </c>
      <c r="F1" s="518" t="s">
        <v>280</v>
      </c>
      <c r="G1" s="526"/>
      <c r="H1" s="527" t="s">
        <v>95</v>
      </c>
      <c r="I1" s="528"/>
      <c r="J1" s="212" t="s">
        <v>96</v>
      </c>
      <c r="K1" s="243" t="s">
        <v>109</v>
      </c>
      <c r="L1" s="257" t="s">
        <v>48</v>
      </c>
      <c r="M1" s="237" t="s">
        <v>41</v>
      </c>
      <c r="N1" s="237" t="s">
        <v>41</v>
      </c>
      <c r="O1" s="237" t="s">
        <v>41</v>
      </c>
      <c r="P1" s="518" t="s">
        <v>281</v>
      </c>
      <c r="Q1" s="525"/>
      <c r="R1" s="518" t="s">
        <v>282</v>
      </c>
      <c r="S1" s="519"/>
      <c r="T1" s="520" t="s">
        <v>283</v>
      </c>
      <c r="U1" s="519"/>
      <c r="V1" s="307" t="s">
        <v>97</v>
      </c>
      <c r="W1" s="305" t="s">
        <v>109</v>
      </c>
      <c r="X1" s="273" t="s">
        <v>48</v>
      </c>
      <c r="Y1" s="274" t="s">
        <v>42</v>
      </c>
      <c r="Z1" s="235" t="s">
        <v>42</v>
      </c>
      <c r="AA1" s="235" t="s">
        <v>42</v>
      </c>
      <c r="AB1" s="195" t="s">
        <v>78</v>
      </c>
    </row>
    <row r="2" spans="3:28" s="16" customFormat="1" ht="13.5" customHeight="1">
      <c r="C2" s="213" t="s">
        <v>174</v>
      </c>
      <c r="D2" s="154" t="s">
        <v>290</v>
      </c>
      <c r="E2" s="4"/>
      <c r="F2" s="15" t="s">
        <v>74</v>
      </c>
      <c r="G2" s="2"/>
      <c r="H2" s="15" t="s">
        <v>74</v>
      </c>
      <c r="I2" s="2"/>
      <c r="J2" s="169" t="s">
        <v>74</v>
      </c>
      <c r="K2" s="244" t="s">
        <v>110</v>
      </c>
      <c r="L2" s="258" t="s">
        <v>113</v>
      </c>
      <c r="M2" s="215" t="s">
        <v>296</v>
      </c>
      <c r="N2" s="215" t="s">
        <v>296</v>
      </c>
      <c r="O2" s="215" t="s">
        <v>296</v>
      </c>
      <c r="P2" s="521" t="s">
        <v>74</v>
      </c>
      <c r="Q2" s="521"/>
      <c r="R2" s="521" t="s">
        <v>74</v>
      </c>
      <c r="S2" s="519"/>
      <c r="T2" s="522" t="s">
        <v>74</v>
      </c>
      <c r="U2" s="519"/>
      <c r="V2" s="308" t="s">
        <v>74</v>
      </c>
      <c r="W2" s="246" t="s">
        <v>110</v>
      </c>
      <c r="X2" s="275" t="s">
        <v>113</v>
      </c>
      <c r="Y2" s="189" t="s">
        <v>296</v>
      </c>
      <c r="Z2" s="187" t="s">
        <v>296</v>
      </c>
      <c r="AA2" s="187" t="s">
        <v>296</v>
      </c>
      <c r="AB2" s="196"/>
    </row>
    <row r="3" spans="3:28" s="16" customFormat="1" ht="11.25" customHeight="1">
      <c r="C3" s="213" t="s">
        <v>175</v>
      </c>
      <c r="D3" s="154" t="s">
        <v>291</v>
      </c>
      <c r="E3" s="47" t="s">
        <v>52</v>
      </c>
      <c r="F3" s="27">
        <v>-1</v>
      </c>
      <c r="G3" s="28">
        <v>72</v>
      </c>
      <c r="H3" s="27">
        <v>-1</v>
      </c>
      <c r="I3" s="28">
        <v>72</v>
      </c>
      <c r="J3" s="169">
        <v>144</v>
      </c>
      <c r="K3" s="244" t="s">
        <v>111</v>
      </c>
      <c r="L3" s="258" t="s">
        <v>172</v>
      </c>
      <c r="M3" s="214" t="s">
        <v>295</v>
      </c>
      <c r="N3" s="214" t="s">
        <v>295</v>
      </c>
      <c r="O3" s="214" t="s">
        <v>295</v>
      </c>
      <c r="P3" s="27">
        <v>-1</v>
      </c>
      <c r="Q3" s="27">
        <v>36</v>
      </c>
      <c r="R3" s="27">
        <v>-1</v>
      </c>
      <c r="S3" s="28">
        <v>36</v>
      </c>
      <c r="T3" s="27">
        <v>-1</v>
      </c>
      <c r="U3" s="28">
        <v>36</v>
      </c>
      <c r="V3" s="177">
        <f>Q3+S3+U3</f>
        <v>108</v>
      </c>
      <c r="W3" s="246" t="s">
        <v>111</v>
      </c>
      <c r="X3" s="275" t="s">
        <v>172</v>
      </c>
      <c r="Y3" s="276" t="s">
        <v>295</v>
      </c>
      <c r="Z3" s="188" t="s">
        <v>295</v>
      </c>
      <c r="AA3" s="188" t="s">
        <v>295</v>
      </c>
      <c r="AB3" s="196"/>
    </row>
    <row r="4" spans="3:28" s="16" customFormat="1" ht="11.25" customHeight="1">
      <c r="C4" s="213" t="s">
        <v>176</v>
      </c>
      <c r="D4" s="154" t="s">
        <v>286</v>
      </c>
      <c r="E4" s="47" t="s">
        <v>46</v>
      </c>
      <c r="F4" s="27">
        <v>-1</v>
      </c>
      <c r="G4" s="28">
        <v>2</v>
      </c>
      <c r="H4" s="27">
        <v>-1</v>
      </c>
      <c r="I4" s="28">
        <v>2</v>
      </c>
      <c r="J4" s="169">
        <v>4</v>
      </c>
      <c r="K4" s="244" t="s">
        <v>112</v>
      </c>
      <c r="L4" s="258" t="s">
        <v>114</v>
      </c>
      <c r="M4" s="238" t="s">
        <v>292</v>
      </c>
      <c r="N4" s="238" t="s">
        <v>293</v>
      </c>
      <c r="O4" s="238" t="s">
        <v>294</v>
      </c>
      <c r="P4" s="27">
        <v>-1</v>
      </c>
      <c r="Q4" s="27">
        <v>2</v>
      </c>
      <c r="R4" s="27">
        <v>-1</v>
      </c>
      <c r="S4" s="28">
        <v>2</v>
      </c>
      <c r="T4" s="27">
        <v>-1</v>
      </c>
      <c r="U4" s="28">
        <v>2</v>
      </c>
      <c r="V4" s="177">
        <f>Q4+S4+U4</f>
        <v>6</v>
      </c>
      <c r="W4" s="246" t="s">
        <v>112</v>
      </c>
      <c r="X4" s="275" t="s">
        <v>114</v>
      </c>
      <c r="Y4" s="277" t="s">
        <v>292</v>
      </c>
      <c r="Z4" s="236" t="s">
        <v>293</v>
      </c>
      <c r="AA4" s="236" t="s">
        <v>294</v>
      </c>
      <c r="AB4" s="196"/>
    </row>
    <row r="5" spans="3:28" s="16" customFormat="1" ht="11.25" customHeight="1">
      <c r="C5" s="213" t="s">
        <v>177</v>
      </c>
      <c r="D5" s="154" t="s">
        <v>287</v>
      </c>
      <c r="E5" s="47" t="s">
        <v>43</v>
      </c>
      <c r="F5" s="27">
        <v>-1</v>
      </c>
      <c r="G5" s="28">
        <v>72</v>
      </c>
      <c r="H5" s="27">
        <v>-1</v>
      </c>
      <c r="I5" s="28">
        <v>72</v>
      </c>
      <c r="J5" s="169">
        <v>144</v>
      </c>
      <c r="K5" s="244"/>
      <c r="L5" s="258" t="s">
        <v>115</v>
      </c>
      <c r="M5" s="529" t="s">
        <v>519</v>
      </c>
      <c r="N5" s="529" t="s">
        <v>98</v>
      </c>
      <c r="O5" s="529" t="s">
        <v>99</v>
      </c>
      <c r="P5" s="27">
        <v>-1</v>
      </c>
      <c r="Q5" s="27">
        <v>36</v>
      </c>
      <c r="R5" s="27">
        <v>-1</v>
      </c>
      <c r="S5" s="28">
        <v>36</v>
      </c>
      <c r="T5" s="27">
        <v>-1</v>
      </c>
      <c r="U5" s="28">
        <v>36</v>
      </c>
      <c r="V5" s="177">
        <f>Q5+S5+U5</f>
        <v>108</v>
      </c>
      <c r="W5" s="246"/>
      <c r="X5" s="275" t="s">
        <v>115</v>
      </c>
      <c r="Y5" s="531" t="s">
        <v>519</v>
      </c>
      <c r="Z5" s="533" t="s">
        <v>100</v>
      </c>
      <c r="AA5" s="533" t="s">
        <v>101</v>
      </c>
      <c r="AB5" s="196"/>
    </row>
    <row r="6" spans="3:28" s="16" customFormat="1" ht="13.5" customHeight="1">
      <c r="C6" s="213" t="s">
        <v>178</v>
      </c>
      <c r="D6" s="154" t="s">
        <v>93</v>
      </c>
      <c r="E6" s="47" t="s">
        <v>44</v>
      </c>
      <c r="F6" s="27">
        <v>-1</v>
      </c>
      <c r="G6" s="2">
        <v>74</v>
      </c>
      <c r="H6" s="27">
        <v>-1</v>
      </c>
      <c r="I6" s="28">
        <v>74</v>
      </c>
      <c r="J6" s="170">
        <v>148</v>
      </c>
      <c r="K6" s="245"/>
      <c r="L6" s="267"/>
      <c r="M6" s="530"/>
      <c r="N6" s="530"/>
      <c r="O6" s="530"/>
      <c r="P6" s="27">
        <v>-1</v>
      </c>
      <c r="Q6" s="68">
        <v>38</v>
      </c>
      <c r="R6" s="27">
        <v>-1</v>
      </c>
      <c r="S6" s="1">
        <v>38</v>
      </c>
      <c r="T6" s="27">
        <v>-1</v>
      </c>
      <c r="U6" s="1">
        <v>38</v>
      </c>
      <c r="V6" s="177">
        <f>Q6+S6+U6</f>
        <v>114</v>
      </c>
      <c r="W6" s="306"/>
      <c r="X6" s="278"/>
      <c r="Y6" s="532"/>
      <c r="Z6" s="510"/>
      <c r="AA6" s="510"/>
      <c r="AB6" s="196"/>
    </row>
    <row r="7" spans="3:28" s="16" customFormat="1" ht="13.5" customHeight="1">
      <c r="C7" s="213"/>
      <c r="D7" s="154"/>
      <c r="E7" s="47"/>
      <c r="F7" s="27"/>
      <c r="G7" s="2"/>
      <c r="H7" s="27"/>
      <c r="I7" s="28"/>
      <c r="J7" s="170"/>
      <c r="K7" s="306"/>
      <c r="L7" s="267"/>
      <c r="M7" s="480"/>
      <c r="N7" s="473"/>
      <c r="O7" s="473"/>
      <c r="P7" s="27"/>
      <c r="Q7" s="68"/>
      <c r="R7" s="27"/>
      <c r="S7" s="1"/>
      <c r="T7" s="27"/>
      <c r="U7" s="1"/>
      <c r="V7" s="177"/>
      <c r="W7" s="306"/>
      <c r="X7" s="278"/>
      <c r="Y7" s="474"/>
      <c r="Z7" s="475"/>
      <c r="AA7" s="475"/>
      <c r="AB7" s="196"/>
    </row>
    <row r="8" spans="1:28" s="16" customFormat="1" ht="13.5" customHeight="1">
      <c r="A8" s="13" t="s">
        <v>79</v>
      </c>
      <c r="B8" s="13">
        <v>274450</v>
      </c>
      <c r="C8" s="13" t="s">
        <v>79</v>
      </c>
      <c r="D8" s="66" t="s">
        <v>290</v>
      </c>
      <c r="E8" s="47" t="s">
        <v>604</v>
      </c>
      <c r="F8" s="360">
        <f>3*10/300/12</f>
        <v>0.008333333333333333</v>
      </c>
      <c r="G8" s="240">
        <f>F8*G$6</f>
        <v>0.6166666666666667</v>
      </c>
      <c r="H8" s="360">
        <v>0.017</v>
      </c>
      <c r="I8" s="240">
        <f>H8*I$6</f>
        <v>1.258</v>
      </c>
      <c r="J8" s="242">
        <f>G8+I8</f>
        <v>1.8746666666666667</v>
      </c>
      <c r="K8" s="247" t="s">
        <v>116</v>
      </c>
      <c r="L8" s="361" t="s">
        <v>389</v>
      </c>
      <c r="M8" s="362">
        <v>2</v>
      </c>
      <c r="N8" s="216"/>
      <c r="O8" s="216"/>
      <c r="P8" s="360">
        <f>3*10/300/12</f>
        <v>0.008333333333333333</v>
      </c>
      <c r="Q8" s="241">
        <f>P8*Q$6</f>
        <v>0.31666666666666665</v>
      </c>
      <c r="R8" s="360">
        <f>30/300/12</f>
        <v>0.008333333333333333</v>
      </c>
      <c r="S8" s="240">
        <f>R8*S$6</f>
        <v>0.31666666666666665</v>
      </c>
      <c r="T8" s="363">
        <f>30/300/12</f>
        <v>0.008333333333333333</v>
      </c>
      <c r="U8" s="240">
        <f>T8*U$6</f>
        <v>0.31666666666666665</v>
      </c>
      <c r="V8" s="317">
        <f>Q8+S8+U8</f>
        <v>0.95</v>
      </c>
      <c r="W8" s="247" t="s">
        <v>116</v>
      </c>
      <c r="X8" s="279">
        <v>2</v>
      </c>
      <c r="Y8" s="280">
        <v>2</v>
      </c>
      <c r="Z8" s="226"/>
      <c r="AA8" s="226"/>
      <c r="AB8" s="196"/>
    </row>
    <row r="9" spans="1:28" s="73" customFormat="1" ht="13.5" customHeight="1">
      <c r="A9" s="67" t="s">
        <v>79</v>
      </c>
      <c r="B9" s="67">
        <v>368005</v>
      </c>
      <c r="C9" s="67" t="s">
        <v>79</v>
      </c>
      <c r="D9" s="66" t="s">
        <v>290</v>
      </c>
      <c r="E9" s="130" t="s">
        <v>80</v>
      </c>
      <c r="F9" s="74" t="s">
        <v>81</v>
      </c>
      <c r="G9" s="75">
        <f>F9*G$6</f>
        <v>148</v>
      </c>
      <c r="H9" s="74" t="s">
        <v>81</v>
      </c>
      <c r="I9" s="75">
        <f>H9*I$6</f>
        <v>148</v>
      </c>
      <c r="J9" s="171">
        <f>G9+I9</f>
        <v>296</v>
      </c>
      <c r="K9" s="247" t="s">
        <v>520</v>
      </c>
      <c r="L9" s="259" t="s">
        <v>521</v>
      </c>
      <c r="M9" s="217">
        <v>300</v>
      </c>
      <c r="N9" s="218"/>
      <c r="O9" s="218"/>
      <c r="P9" s="74" t="s">
        <v>81</v>
      </c>
      <c r="Q9" s="67">
        <f>P9*Q$6</f>
        <v>76</v>
      </c>
      <c r="R9" s="74" t="s">
        <v>81</v>
      </c>
      <c r="S9" s="75">
        <f aca="true" t="shared" si="0" ref="S9:S43">R9*S$6</f>
        <v>76</v>
      </c>
      <c r="T9" s="76">
        <v>2</v>
      </c>
      <c r="U9" s="75">
        <f>T9*U$6</f>
        <v>76</v>
      </c>
      <c r="V9" s="161">
        <f aca="true" t="shared" si="1" ref="V9:V40">Q9+S9+U9</f>
        <v>228</v>
      </c>
      <c r="W9" s="247" t="str">
        <f>K9</f>
        <v>55/bag</v>
      </c>
      <c r="X9" s="268" t="s">
        <v>522</v>
      </c>
      <c r="Y9" s="227">
        <v>230</v>
      </c>
      <c r="Z9" s="227"/>
      <c r="AA9" s="227"/>
      <c r="AB9" s="197"/>
    </row>
    <row r="10" spans="1:28" s="73" customFormat="1" ht="13.5" customHeight="1">
      <c r="A10" s="67" t="s">
        <v>79</v>
      </c>
      <c r="B10" s="67">
        <v>368006</v>
      </c>
      <c r="C10" s="67" t="s">
        <v>156</v>
      </c>
      <c r="D10" s="66" t="s">
        <v>290</v>
      </c>
      <c r="E10" s="130" t="s">
        <v>84</v>
      </c>
      <c r="F10" s="74" t="s">
        <v>85</v>
      </c>
      <c r="G10" s="75">
        <f aca="true" t="shared" si="2" ref="G10:G77">F10*G$6</f>
        <v>296</v>
      </c>
      <c r="H10" s="74" t="s">
        <v>85</v>
      </c>
      <c r="I10" s="75">
        <f aca="true" t="shared" si="3" ref="I10:I58">H10*I$6</f>
        <v>296</v>
      </c>
      <c r="J10" s="171">
        <f aca="true" t="shared" si="4" ref="J10:J58">G10+I10</f>
        <v>592</v>
      </c>
      <c r="K10" s="247" t="s">
        <v>334</v>
      </c>
      <c r="L10" s="259" t="s">
        <v>351</v>
      </c>
      <c r="M10" s="217">
        <v>600</v>
      </c>
      <c r="N10" s="218"/>
      <c r="O10" s="218"/>
      <c r="P10" s="74" t="s">
        <v>85</v>
      </c>
      <c r="Q10" s="67">
        <f aca="true" t="shared" si="5" ref="Q10:Q58">P10*Q$6</f>
        <v>152</v>
      </c>
      <c r="R10" s="74" t="s">
        <v>85</v>
      </c>
      <c r="S10" s="75">
        <f t="shared" si="0"/>
        <v>152</v>
      </c>
      <c r="T10" s="76">
        <v>4</v>
      </c>
      <c r="U10" s="75">
        <f aca="true" t="shared" si="6" ref="U10:U58">T10*U$6</f>
        <v>152</v>
      </c>
      <c r="V10" s="161">
        <f t="shared" si="1"/>
        <v>456</v>
      </c>
      <c r="W10" s="247" t="s">
        <v>334</v>
      </c>
      <c r="X10" s="268" t="s">
        <v>367</v>
      </c>
      <c r="Y10" s="227">
        <v>460</v>
      </c>
      <c r="Z10" s="227"/>
      <c r="AA10" s="227"/>
      <c r="AB10" s="197"/>
    </row>
    <row r="11" spans="1:28" s="73" customFormat="1" ht="13.5" customHeight="1">
      <c r="A11" s="67" t="s">
        <v>79</v>
      </c>
      <c r="B11" s="67">
        <v>368012</v>
      </c>
      <c r="C11" s="67" t="s">
        <v>79</v>
      </c>
      <c r="D11" s="66" t="s">
        <v>290</v>
      </c>
      <c r="E11" s="130" t="s">
        <v>86</v>
      </c>
      <c r="F11" s="76" t="s">
        <v>87</v>
      </c>
      <c r="G11" s="75">
        <f t="shared" si="2"/>
        <v>222</v>
      </c>
      <c r="H11" s="74" t="s">
        <v>87</v>
      </c>
      <c r="I11" s="75">
        <f t="shared" si="3"/>
        <v>222</v>
      </c>
      <c r="J11" s="171">
        <f t="shared" si="4"/>
        <v>444</v>
      </c>
      <c r="K11" s="247" t="s">
        <v>344</v>
      </c>
      <c r="L11" s="259" t="s">
        <v>352</v>
      </c>
      <c r="M11" s="217">
        <v>450</v>
      </c>
      <c r="N11" s="218"/>
      <c r="O11" s="218"/>
      <c r="P11" s="74" t="s">
        <v>87</v>
      </c>
      <c r="Q11" s="67">
        <f t="shared" si="5"/>
        <v>114</v>
      </c>
      <c r="R11" s="74" t="s">
        <v>87</v>
      </c>
      <c r="S11" s="75">
        <f t="shared" si="0"/>
        <v>114</v>
      </c>
      <c r="T11" s="76">
        <v>3</v>
      </c>
      <c r="U11" s="75">
        <f t="shared" si="6"/>
        <v>114</v>
      </c>
      <c r="V11" s="161">
        <f t="shared" si="1"/>
        <v>342</v>
      </c>
      <c r="W11" s="247" t="s">
        <v>344</v>
      </c>
      <c r="X11" s="268" t="s">
        <v>368</v>
      </c>
      <c r="Y11" s="227">
        <v>350</v>
      </c>
      <c r="Z11" s="227"/>
      <c r="AA11" s="227"/>
      <c r="AB11" s="197"/>
    </row>
    <row r="12" spans="1:28" s="73" customFormat="1" ht="13.5" customHeight="1">
      <c r="A12" s="67" t="s">
        <v>79</v>
      </c>
      <c r="B12" s="67">
        <v>368014</v>
      </c>
      <c r="C12" s="67" t="s">
        <v>79</v>
      </c>
      <c r="D12" s="66" t="s">
        <v>290</v>
      </c>
      <c r="E12" s="130" t="s">
        <v>102</v>
      </c>
      <c r="F12" s="239">
        <f>35/235</f>
        <v>0.14893617021276595</v>
      </c>
      <c r="G12" s="240">
        <f>F12*G$6</f>
        <v>11.02127659574468</v>
      </c>
      <c r="H12" s="241">
        <f>35/235</f>
        <v>0.14893617021276595</v>
      </c>
      <c r="I12" s="240">
        <f>H12*I$6</f>
        <v>11.02127659574468</v>
      </c>
      <c r="J12" s="242">
        <f t="shared" si="4"/>
        <v>22.04255319148936</v>
      </c>
      <c r="K12" s="248" t="s">
        <v>116</v>
      </c>
      <c r="L12" s="259" t="s">
        <v>353</v>
      </c>
      <c r="M12" s="217">
        <v>23</v>
      </c>
      <c r="N12" s="218"/>
      <c r="O12" s="218"/>
      <c r="P12" s="241">
        <f>35/235</f>
        <v>0.14893617021276595</v>
      </c>
      <c r="Q12" s="241">
        <f t="shared" si="5"/>
        <v>5.659574468085106</v>
      </c>
      <c r="R12" s="241">
        <f>35/235</f>
        <v>0.14893617021276595</v>
      </c>
      <c r="S12" s="240">
        <f t="shared" si="0"/>
        <v>5.659574468085106</v>
      </c>
      <c r="T12" s="239">
        <f>35/235</f>
        <v>0.14893617021276595</v>
      </c>
      <c r="U12" s="240">
        <f t="shared" si="6"/>
        <v>5.659574468085106</v>
      </c>
      <c r="V12" s="317">
        <f t="shared" si="1"/>
        <v>16.97872340425532</v>
      </c>
      <c r="W12" s="248" t="s">
        <v>116</v>
      </c>
      <c r="X12" s="268" t="s">
        <v>369</v>
      </c>
      <c r="Y12" s="227">
        <f>V12</f>
        <v>16.97872340425532</v>
      </c>
      <c r="Z12" s="227"/>
      <c r="AA12" s="227"/>
      <c r="AB12" s="197"/>
    </row>
    <row r="13" spans="1:28" s="73" customFormat="1" ht="13.5" customHeight="1">
      <c r="A13" s="67" t="s">
        <v>79</v>
      </c>
      <c r="B13" s="67">
        <v>368015</v>
      </c>
      <c r="C13" s="67" t="s">
        <v>88</v>
      </c>
      <c r="D13" s="66" t="s">
        <v>290</v>
      </c>
      <c r="E13" s="130" t="s">
        <v>89</v>
      </c>
      <c r="F13" s="74">
        <f>2*3</f>
        <v>6</v>
      </c>
      <c r="G13" s="75">
        <f t="shared" si="2"/>
        <v>444</v>
      </c>
      <c r="H13" s="74">
        <f>2*3</f>
        <v>6</v>
      </c>
      <c r="I13" s="75">
        <f t="shared" si="3"/>
        <v>444</v>
      </c>
      <c r="J13" s="171">
        <f t="shared" si="4"/>
        <v>888</v>
      </c>
      <c r="K13" s="247" t="s">
        <v>334</v>
      </c>
      <c r="L13" s="259" t="s">
        <v>352</v>
      </c>
      <c r="M13" s="217">
        <v>900</v>
      </c>
      <c r="N13" s="218"/>
      <c r="O13" s="218"/>
      <c r="P13" s="313">
        <f>2*3</f>
        <v>6</v>
      </c>
      <c r="Q13" s="313">
        <f t="shared" si="5"/>
        <v>228</v>
      </c>
      <c r="R13" s="313">
        <f>2*3</f>
        <v>6</v>
      </c>
      <c r="S13" s="314">
        <f t="shared" si="0"/>
        <v>228</v>
      </c>
      <c r="T13" s="315">
        <v>6</v>
      </c>
      <c r="U13" s="314">
        <f t="shared" si="6"/>
        <v>228</v>
      </c>
      <c r="V13" s="316">
        <f t="shared" si="1"/>
        <v>684</v>
      </c>
      <c r="W13" s="247" t="s">
        <v>334</v>
      </c>
      <c r="X13" s="268" t="s">
        <v>368</v>
      </c>
      <c r="Y13" s="227">
        <v>700</v>
      </c>
      <c r="Z13" s="227"/>
      <c r="AA13" s="227"/>
      <c r="AB13" s="197"/>
    </row>
    <row r="14" spans="1:28" s="73" customFormat="1" ht="13.5" customHeight="1">
      <c r="A14" s="67" t="s">
        <v>79</v>
      </c>
      <c r="B14" s="67">
        <v>368019</v>
      </c>
      <c r="C14" s="67" t="s">
        <v>83</v>
      </c>
      <c r="D14" s="66" t="s">
        <v>290</v>
      </c>
      <c r="E14" s="130" t="s">
        <v>90</v>
      </c>
      <c r="F14" s="77">
        <v>1.5</v>
      </c>
      <c r="G14" s="75">
        <f t="shared" si="2"/>
        <v>111</v>
      </c>
      <c r="H14" s="77">
        <v>1.5</v>
      </c>
      <c r="I14" s="75">
        <f t="shared" si="3"/>
        <v>111</v>
      </c>
      <c r="J14" s="171">
        <f t="shared" si="4"/>
        <v>222</v>
      </c>
      <c r="K14" s="247" t="s">
        <v>116</v>
      </c>
      <c r="L14" s="259" t="s">
        <v>529</v>
      </c>
      <c r="M14" s="217">
        <v>230</v>
      </c>
      <c r="N14" s="218"/>
      <c r="O14" s="218"/>
      <c r="P14" s="74">
        <v>0</v>
      </c>
      <c r="Q14" s="67">
        <f t="shared" si="5"/>
        <v>0</v>
      </c>
      <c r="R14" s="74">
        <v>0</v>
      </c>
      <c r="S14" s="75">
        <f t="shared" si="0"/>
        <v>0</v>
      </c>
      <c r="T14" s="76">
        <v>0</v>
      </c>
      <c r="U14" s="75">
        <f t="shared" si="6"/>
        <v>0</v>
      </c>
      <c r="V14" s="161">
        <f t="shared" si="1"/>
        <v>0</v>
      </c>
      <c r="W14" s="247" t="s">
        <v>530</v>
      </c>
      <c r="X14" s="268">
        <v>0</v>
      </c>
      <c r="Y14" s="227">
        <f>V14</f>
        <v>0</v>
      </c>
      <c r="Z14" s="227"/>
      <c r="AA14" s="227"/>
      <c r="AB14" s="197"/>
    </row>
    <row r="15" spans="1:28" s="73" customFormat="1" ht="13.5" customHeight="1">
      <c r="A15" s="67" t="s">
        <v>79</v>
      </c>
      <c r="B15" s="67">
        <v>368020</v>
      </c>
      <c r="C15" s="67" t="s">
        <v>79</v>
      </c>
      <c r="D15" s="66" t="s">
        <v>290</v>
      </c>
      <c r="E15" s="130" t="s">
        <v>180</v>
      </c>
      <c r="F15" s="78" t="s">
        <v>103</v>
      </c>
      <c r="G15" s="75">
        <f t="shared" si="2"/>
        <v>14504</v>
      </c>
      <c r="H15" s="78" t="s">
        <v>181</v>
      </c>
      <c r="I15" s="75">
        <f t="shared" si="3"/>
        <v>13616</v>
      </c>
      <c r="J15" s="171">
        <f t="shared" si="4"/>
        <v>28120</v>
      </c>
      <c r="K15" s="247" t="s">
        <v>334</v>
      </c>
      <c r="L15" s="259" t="s">
        <v>523</v>
      </c>
      <c r="M15" s="217">
        <v>29000</v>
      </c>
      <c r="N15" s="218"/>
      <c r="O15" s="218"/>
      <c r="P15" s="66">
        <v>208</v>
      </c>
      <c r="Q15" s="67">
        <f t="shared" si="5"/>
        <v>7904</v>
      </c>
      <c r="R15" s="76">
        <v>196</v>
      </c>
      <c r="S15" s="75">
        <f t="shared" si="0"/>
        <v>7448</v>
      </c>
      <c r="T15" s="76">
        <v>184</v>
      </c>
      <c r="U15" s="75">
        <f t="shared" si="6"/>
        <v>6992</v>
      </c>
      <c r="V15" s="161">
        <f t="shared" si="1"/>
        <v>22344</v>
      </c>
      <c r="W15" s="247" t="s">
        <v>334</v>
      </c>
      <c r="X15" s="268" t="s">
        <v>524</v>
      </c>
      <c r="Y15" s="227">
        <v>23000</v>
      </c>
      <c r="Z15" s="227"/>
      <c r="AA15" s="227"/>
      <c r="AB15" s="197"/>
    </row>
    <row r="16" spans="1:28" s="73" customFormat="1" ht="13.5" customHeight="1">
      <c r="A16" s="67" t="s">
        <v>79</v>
      </c>
      <c r="B16" s="67">
        <v>368022</v>
      </c>
      <c r="C16" s="67" t="s">
        <v>79</v>
      </c>
      <c r="D16" s="66" t="s">
        <v>290</v>
      </c>
      <c r="E16" s="130" t="s">
        <v>91</v>
      </c>
      <c r="F16" s="74" t="s">
        <v>81</v>
      </c>
      <c r="G16" s="75">
        <f t="shared" si="2"/>
        <v>148</v>
      </c>
      <c r="H16" s="74" t="s">
        <v>81</v>
      </c>
      <c r="I16" s="75">
        <f t="shared" si="3"/>
        <v>148</v>
      </c>
      <c r="J16" s="171">
        <f t="shared" si="4"/>
        <v>296</v>
      </c>
      <c r="K16" s="247" t="s">
        <v>345</v>
      </c>
      <c r="L16" s="259" t="s">
        <v>354</v>
      </c>
      <c r="M16" s="217">
        <v>300</v>
      </c>
      <c r="N16" s="218"/>
      <c r="O16" s="218"/>
      <c r="P16" s="74" t="s">
        <v>81</v>
      </c>
      <c r="Q16" s="67">
        <f t="shared" si="5"/>
        <v>76</v>
      </c>
      <c r="R16" s="74" t="s">
        <v>81</v>
      </c>
      <c r="S16" s="75">
        <f t="shared" si="0"/>
        <v>76</v>
      </c>
      <c r="T16" s="76">
        <v>2</v>
      </c>
      <c r="U16" s="75">
        <f t="shared" si="6"/>
        <v>76</v>
      </c>
      <c r="V16" s="161">
        <f t="shared" si="1"/>
        <v>228</v>
      </c>
      <c r="W16" s="247" t="s">
        <v>345</v>
      </c>
      <c r="X16" s="268" t="s">
        <v>370</v>
      </c>
      <c r="Y16" s="227">
        <v>230</v>
      </c>
      <c r="Z16" s="227"/>
      <c r="AA16" s="227"/>
      <c r="AB16" s="197"/>
    </row>
    <row r="17" spans="1:28" s="73" customFormat="1" ht="13.5" customHeight="1">
      <c r="A17" s="67" t="s">
        <v>79</v>
      </c>
      <c r="B17" s="67">
        <v>368026</v>
      </c>
      <c r="C17" s="67" t="s">
        <v>79</v>
      </c>
      <c r="D17" s="66" t="s">
        <v>290</v>
      </c>
      <c r="E17" s="130" t="s">
        <v>123</v>
      </c>
      <c r="F17" s="74">
        <f>3*2*2*2</f>
        <v>24</v>
      </c>
      <c r="G17" s="75">
        <f t="shared" si="2"/>
        <v>1776</v>
      </c>
      <c r="H17" s="74">
        <f>3*2*2*2</f>
        <v>24</v>
      </c>
      <c r="I17" s="75">
        <f t="shared" si="3"/>
        <v>1776</v>
      </c>
      <c r="J17" s="171">
        <f t="shared" si="4"/>
        <v>3552</v>
      </c>
      <c r="K17" s="247" t="s">
        <v>525</v>
      </c>
      <c r="L17" s="259" t="s">
        <v>338</v>
      </c>
      <c r="M17" s="217">
        <v>3600</v>
      </c>
      <c r="N17" s="218"/>
      <c r="O17" s="218"/>
      <c r="P17" s="74">
        <f>3*2*2*2</f>
        <v>24</v>
      </c>
      <c r="Q17" s="67">
        <f t="shared" si="5"/>
        <v>912</v>
      </c>
      <c r="R17" s="74">
        <f>3*2*2*2</f>
        <v>24</v>
      </c>
      <c r="S17" s="75">
        <f t="shared" si="0"/>
        <v>912</v>
      </c>
      <c r="T17" s="76">
        <v>24</v>
      </c>
      <c r="U17" s="75">
        <f t="shared" si="6"/>
        <v>912</v>
      </c>
      <c r="V17" s="161">
        <f t="shared" si="1"/>
        <v>2736</v>
      </c>
      <c r="W17" s="247" t="s">
        <v>525</v>
      </c>
      <c r="X17" s="268" t="s">
        <v>224</v>
      </c>
      <c r="Y17" s="227">
        <v>2808</v>
      </c>
      <c r="Z17" s="227"/>
      <c r="AA17" s="227"/>
      <c r="AB17" s="197"/>
    </row>
    <row r="18" spans="1:28" s="73" customFormat="1" ht="13.5" customHeight="1">
      <c r="A18" s="67" t="s">
        <v>79</v>
      </c>
      <c r="B18" s="67">
        <v>368027</v>
      </c>
      <c r="C18" s="67" t="s">
        <v>88</v>
      </c>
      <c r="D18" s="66" t="s">
        <v>290</v>
      </c>
      <c r="E18" s="130" t="s">
        <v>124</v>
      </c>
      <c r="F18" s="74">
        <f>2*2+3*3</f>
        <v>13</v>
      </c>
      <c r="G18" s="75">
        <f>F18*G$6</f>
        <v>962</v>
      </c>
      <c r="H18" s="74">
        <f>3*3+2*2</f>
        <v>13</v>
      </c>
      <c r="I18" s="75">
        <f t="shared" si="3"/>
        <v>962</v>
      </c>
      <c r="J18" s="171">
        <f t="shared" si="4"/>
        <v>1924</v>
      </c>
      <c r="K18" s="247" t="s">
        <v>334</v>
      </c>
      <c r="L18" s="259" t="s">
        <v>356</v>
      </c>
      <c r="M18" s="217">
        <v>2000</v>
      </c>
      <c r="N18" s="217"/>
      <c r="O18" s="217"/>
      <c r="P18" s="74">
        <v>18</v>
      </c>
      <c r="Q18" s="67">
        <f t="shared" si="5"/>
        <v>684</v>
      </c>
      <c r="R18" s="74">
        <f>4+14</f>
        <v>18</v>
      </c>
      <c r="S18" s="75">
        <f t="shared" si="0"/>
        <v>684</v>
      </c>
      <c r="T18" s="76">
        <v>18</v>
      </c>
      <c r="U18" s="75">
        <f t="shared" si="6"/>
        <v>684</v>
      </c>
      <c r="V18" s="161">
        <f t="shared" si="1"/>
        <v>2052</v>
      </c>
      <c r="W18" s="247" t="s">
        <v>334</v>
      </c>
      <c r="X18" s="268" t="s">
        <v>372</v>
      </c>
      <c r="Y18" s="227">
        <v>2100</v>
      </c>
      <c r="Z18" s="227"/>
      <c r="AA18" s="227"/>
      <c r="AB18" s="197"/>
    </row>
    <row r="19" spans="1:28" s="73" customFormat="1" ht="13.5" customHeight="1">
      <c r="A19" s="67" t="s">
        <v>79</v>
      </c>
      <c r="B19" s="67">
        <v>368033</v>
      </c>
      <c r="C19" s="67" t="s">
        <v>79</v>
      </c>
      <c r="D19" s="66" t="s">
        <v>290</v>
      </c>
      <c r="E19" s="130" t="s">
        <v>125</v>
      </c>
      <c r="F19" s="74" t="s">
        <v>126</v>
      </c>
      <c r="G19" s="75">
        <f t="shared" si="2"/>
        <v>74</v>
      </c>
      <c r="H19" s="74" t="s">
        <v>126</v>
      </c>
      <c r="I19" s="75">
        <f t="shared" si="3"/>
        <v>74</v>
      </c>
      <c r="J19" s="171">
        <f t="shared" si="4"/>
        <v>148</v>
      </c>
      <c r="K19" s="247" t="s">
        <v>335</v>
      </c>
      <c r="L19" s="259" t="s">
        <v>561</v>
      </c>
      <c r="M19" s="217">
        <v>150</v>
      </c>
      <c r="N19" s="218"/>
      <c r="O19" s="218"/>
      <c r="P19" s="74" t="s">
        <v>126</v>
      </c>
      <c r="Q19" s="67">
        <f t="shared" si="5"/>
        <v>38</v>
      </c>
      <c r="R19" s="74" t="s">
        <v>126</v>
      </c>
      <c r="S19" s="75">
        <f t="shared" si="0"/>
        <v>38</v>
      </c>
      <c r="T19" s="76">
        <v>1</v>
      </c>
      <c r="U19" s="75">
        <f t="shared" si="6"/>
        <v>38</v>
      </c>
      <c r="V19" s="161">
        <f t="shared" si="1"/>
        <v>114</v>
      </c>
      <c r="W19" s="247" t="s">
        <v>335</v>
      </c>
      <c r="X19" s="268" t="s">
        <v>564</v>
      </c>
      <c r="Y19" s="227">
        <v>120</v>
      </c>
      <c r="Z19" s="227"/>
      <c r="AA19" s="227"/>
      <c r="AB19" s="197"/>
    </row>
    <row r="20" spans="1:28" s="73" customFormat="1" ht="13.5" customHeight="1">
      <c r="A20" s="67" t="s">
        <v>79</v>
      </c>
      <c r="B20" s="67">
        <v>368042</v>
      </c>
      <c r="C20" s="67" t="s">
        <v>88</v>
      </c>
      <c r="D20" s="66" t="s">
        <v>290</v>
      </c>
      <c r="E20" s="130" t="s">
        <v>194</v>
      </c>
      <c r="F20" s="67">
        <v>30</v>
      </c>
      <c r="G20" s="75">
        <f t="shared" si="2"/>
        <v>2220</v>
      </c>
      <c r="H20" s="67">
        <v>24</v>
      </c>
      <c r="I20" s="75">
        <f t="shared" si="3"/>
        <v>1776</v>
      </c>
      <c r="J20" s="171">
        <f t="shared" si="4"/>
        <v>3996</v>
      </c>
      <c r="K20" s="247" t="s">
        <v>334</v>
      </c>
      <c r="L20" s="259" t="s">
        <v>35</v>
      </c>
      <c r="M20" s="217">
        <v>4100</v>
      </c>
      <c r="N20" s="218"/>
      <c r="O20" s="218"/>
      <c r="P20" s="74">
        <v>30</v>
      </c>
      <c r="Q20" s="67">
        <f t="shared" si="5"/>
        <v>1140</v>
      </c>
      <c r="R20" s="74">
        <v>30</v>
      </c>
      <c r="S20" s="75">
        <f t="shared" si="0"/>
        <v>1140</v>
      </c>
      <c r="T20" s="76">
        <v>30</v>
      </c>
      <c r="U20" s="75">
        <f t="shared" si="6"/>
        <v>1140</v>
      </c>
      <c r="V20" s="161">
        <f t="shared" si="1"/>
        <v>3420</v>
      </c>
      <c r="W20" s="247" t="s">
        <v>334</v>
      </c>
      <c r="X20" s="268" t="s">
        <v>223</v>
      </c>
      <c r="Y20" s="227">
        <v>3500</v>
      </c>
      <c r="Z20" s="227"/>
      <c r="AA20" s="227"/>
      <c r="AB20" s="197"/>
    </row>
    <row r="21" spans="1:28" s="73" customFormat="1" ht="13.5" customHeight="1">
      <c r="A21" s="67" t="s">
        <v>83</v>
      </c>
      <c r="B21" s="67">
        <v>368048</v>
      </c>
      <c r="C21" s="67" t="s">
        <v>83</v>
      </c>
      <c r="D21" s="66" t="s">
        <v>290</v>
      </c>
      <c r="E21" s="130" t="s">
        <v>128</v>
      </c>
      <c r="F21" s="74">
        <f>6*3</f>
        <v>18</v>
      </c>
      <c r="G21" s="75">
        <f t="shared" si="2"/>
        <v>1332</v>
      </c>
      <c r="H21" s="74">
        <f>6*3</f>
        <v>18</v>
      </c>
      <c r="I21" s="75">
        <f t="shared" si="3"/>
        <v>1332</v>
      </c>
      <c r="J21" s="171">
        <f t="shared" si="4"/>
        <v>2664</v>
      </c>
      <c r="K21" s="247" t="s">
        <v>334</v>
      </c>
      <c r="L21" s="259" t="s">
        <v>526</v>
      </c>
      <c r="M21" s="217">
        <v>2700</v>
      </c>
      <c r="N21" s="218"/>
      <c r="O21" s="218"/>
      <c r="P21" s="74">
        <f>6*3</f>
        <v>18</v>
      </c>
      <c r="Q21" s="67">
        <f t="shared" si="5"/>
        <v>684</v>
      </c>
      <c r="R21" s="74">
        <f>6*3</f>
        <v>18</v>
      </c>
      <c r="S21" s="75">
        <f t="shared" si="0"/>
        <v>684</v>
      </c>
      <c r="T21" s="76">
        <v>18</v>
      </c>
      <c r="U21" s="75">
        <f t="shared" si="6"/>
        <v>684</v>
      </c>
      <c r="V21" s="161">
        <f t="shared" si="1"/>
        <v>2052</v>
      </c>
      <c r="W21" s="247" t="s">
        <v>334</v>
      </c>
      <c r="X21" s="268" t="s">
        <v>372</v>
      </c>
      <c r="Y21" s="227">
        <v>2100</v>
      </c>
      <c r="Z21" s="227"/>
      <c r="AA21" s="227"/>
      <c r="AB21" s="197"/>
    </row>
    <row r="22" spans="1:28" s="73" customFormat="1" ht="13.5" customHeight="1">
      <c r="A22" s="67" t="s">
        <v>79</v>
      </c>
      <c r="B22" s="67">
        <v>368093</v>
      </c>
      <c r="C22" s="67" t="s">
        <v>83</v>
      </c>
      <c r="D22" s="66" t="s">
        <v>290</v>
      </c>
      <c r="E22" s="130" t="s">
        <v>197</v>
      </c>
      <c r="F22" s="74">
        <f>2*6</f>
        <v>12</v>
      </c>
      <c r="G22" s="75">
        <f t="shared" si="2"/>
        <v>888</v>
      </c>
      <c r="H22" s="74">
        <f>2*6</f>
        <v>12</v>
      </c>
      <c r="I22" s="75">
        <f t="shared" si="3"/>
        <v>888</v>
      </c>
      <c r="J22" s="171">
        <f t="shared" si="4"/>
        <v>1776</v>
      </c>
      <c r="K22" s="247" t="s">
        <v>334</v>
      </c>
      <c r="L22" s="259" t="s">
        <v>357</v>
      </c>
      <c r="M22" s="217">
        <v>1800</v>
      </c>
      <c r="N22" s="218"/>
      <c r="O22" s="218"/>
      <c r="P22" s="74">
        <f>2*6</f>
        <v>12</v>
      </c>
      <c r="Q22" s="67">
        <f t="shared" si="5"/>
        <v>456</v>
      </c>
      <c r="R22" s="74">
        <f>2*6</f>
        <v>12</v>
      </c>
      <c r="S22" s="75">
        <f t="shared" si="0"/>
        <v>456</v>
      </c>
      <c r="T22" s="76">
        <v>12</v>
      </c>
      <c r="U22" s="75">
        <f t="shared" si="6"/>
        <v>456</v>
      </c>
      <c r="V22" s="161">
        <f t="shared" si="1"/>
        <v>1368</v>
      </c>
      <c r="W22" s="247" t="s">
        <v>334</v>
      </c>
      <c r="X22" s="268" t="s">
        <v>373</v>
      </c>
      <c r="Y22" s="227">
        <v>1400</v>
      </c>
      <c r="Z22" s="227"/>
      <c r="AA22" s="227"/>
      <c r="AB22" s="197"/>
    </row>
    <row r="23" spans="1:28" s="73" customFormat="1" ht="13.5" customHeight="1">
      <c r="A23" s="67" t="s">
        <v>79</v>
      </c>
      <c r="B23" s="67">
        <v>368097</v>
      </c>
      <c r="C23" s="67" t="s">
        <v>79</v>
      </c>
      <c r="D23" s="66" t="s">
        <v>290</v>
      </c>
      <c r="E23" s="130" t="s">
        <v>144</v>
      </c>
      <c r="F23" s="74" t="s">
        <v>143</v>
      </c>
      <c r="G23" s="75">
        <f t="shared" si="2"/>
        <v>444</v>
      </c>
      <c r="H23" s="74" t="s">
        <v>143</v>
      </c>
      <c r="I23" s="75">
        <f t="shared" si="3"/>
        <v>444</v>
      </c>
      <c r="J23" s="171">
        <f t="shared" si="4"/>
        <v>888</v>
      </c>
      <c r="K23" s="247" t="s">
        <v>335</v>
      </c>
      <c r="L23" s="259" t="s">
        <v>562</v>
      </c>
      <c r="M23" s="217">
        <v>900</v>
      </c>
      <c r="N23" s="218"/>
      <c r="O23" s="218"/>
      <c r="P23" s="74" t="s">
        <v>143</v>
      </c>
      <c r="Q23" s="67">
        <f t="shared" si="5"/>
        <v>228</v>
      </c>
      <c r="R23" s="74" t="s">
        <v>143</v>
      </c>
      <c r="S23" s="75">
        <f t="shared" si="0"/>
        <v>228</v>
      </c>
      <c r="T23" s="76">
        <v>6</v>
      </c>
      <c r="U23" s="75">
        <f t="shared" si="6"/>
        <v>228</v>
      </c>
      <c r="V23" s="161">
        <f t="shared" si="1"/>
        <v>684</v>
      </c>
      <c r="W23" s="247" t="s">
        <v>335</v>
      </c>
      <c r="X23" s="268" t="s">
        <v>563</v>
      </c>
      <c r="Y23" s="227">
        <v>700</v>
      </c>
      <c r="Z23" s="227"/>
      <c r="AA23" s="227"/>
      <c r="AB23" s="197"/>
    </row>
    <row r="24" spans="1:28" s="73" customFormat="1" ht="13.5" customHeight="1">
      <c r="A24" s="67" t="s">
        <v>83</v>
      </c>
      <c r="B24" s="67">
        <v>368099</v>
      </c>
      <c r="C24" s="67" t="s">
        <v>79</v>
      </c>
      <c r="D24" s="66" t="s">
        <v>290</v>
      </c>
      <c r="E24" s="130" t="s">
        <v>145</v>
      </c>
      <c r="F24" s="74">
        <v>6</v>
      </c>
      <c r="G24" s="75">
        <f t="shared" si="2"/>
        <v>444</v>
      </c>
      <c r="H24" s="74">
        <v>6</v>
      </c>
      <c r="I24" s="75">
        <f t="shared" si="3"/>
        <v>444</v>
      </c>
      <c r="J24" s="171">
        <f t="shared" si="4"/>
        <v>888</v>
      </c>
      <c r="K24" s="247" t="s">
        <v>348</v>
      </c>
      <c r="L24" s="259" t="s">
        <v>338</v>
      </c>
      <c r="M24" s="217">
        <v>900</v>
      </c>
      <c r="N24" s="218"/>
      <c r="O24" s="218"/>
      <c r="P24" s="74">
        <v>6</v>
      </c>
      <c r="Q24" s="67">
        <f t="shared" si="5"/>
        <v>228</v>
      </c>
      <c r="R24" s="74">
        <v>6</v>
      </c>
      <c r="S24" s="75">
        <f t="shared" si="0"/>
        <v>228</v>
      </c>
      <c r="T24" s="76">
        <v>6</v>
      </c>
      <c r="U24" s="75">
        <f t="shared" si="6"/>
        <v>228</v>
      </c>
      <c r="V24" s="161">
        <f t="shared" si="1"/>
        <v>684</v>
      </c>
      <c r="W24" s="247" t="s">
        <v>348</v>
      </c>
      <c r="X24" s="268" t="s">
        <v>224</v>
      </c>
      <c r="Y24" s="227">
        <v>702</v>
      </c>
      <c r="Z24" s="227"/>
      <c r="AA24" s="227"/>
      <c r="AB24" s="197"/>
    </row>
    <row r="25" spans="1:28" s="79" customFormat="1" ht="13.5" customHeight="1">
      <c r="A25" s="66" t="s">
        <v>79</v>
      </c>
      <c r="B25" s="66">
        <v>368100</v>
      </c>
      <c r="C25" s="66" t="s">
        <v>79</v>
      </c>
      <c r="D25" s="66" t="s">
        <v>290</v>
      </c>
      <c r="E25" s="131" t="s">
        <v>146</v>
      </c>
      <c r="F25" s="76">
        <v>8</v>
      </c>
      <c r="G25" s="75">
        <f t="shared" si="2"/>
        <v>592</v>
      </c>
      <c r="H25" s="76">
        <v>8</v>
      </c>
      <c r="I25" s="75">
        <f t="shared" si="3"/>
        <v>592</v>
      </c>
      <c r="J25" s="171">
        <f t="shared" si="4"/>
        <v>1184</v>
      </c>
      <c r="K25" s="247" t="s">
        <v>536</v>
      </c>
      <c r="L25" s="259" t="s">
        <v>537</v>
      </c>
      <c r="M25" s="217">
        <v>1200</v>
      </c>
      <c r="N25" s="218"/>
      <c r="O25" s="218"/>
      <c r="P25" s="76">
        <v>8</v>
      </c>
      <c r="Q25" s="67">
        <f t="shared" si="5"/>
        <v>304</v>
      </c>
      <c r="R25" s="76">
        <v>8</v>
      </c>
      <c r="S25" s="75">
        <f t="shared" si="0"/>
        <v>304</v>
      </c>
      <c r="T25" s="76">
        <v>8</v>
      </c>
      <c r="U25" s="75">
        <f t="shared" si="6"/>
        <v>304</v>
      </c>
      <c r="V25" s="161">
        <f t="shared" si="1"/>
        <v>912</v>
      </c>
      <c r="W25" s="247" t="s">
        <v>536</v>
      </c>
      <c r="X25" s="268" t="s">
        <v>538</v>
      </c>
      <c r="Y25" s="227">
        <v>950</v>
      </c>
      <c r="Z25" s="227"/>
      <c r="AA25" s="227"/>
      <c r="AB25" s="198"/>
    </row>
    <row r="26" spans="1:28" s="297" customFormat="1" ht="13.5" customHeight="1">
      <c r="A26" s="293" t="s">
        <v>79</v>
      </c>
      <c r="B26" s="293">
        <v>368114</v>
      </c>
      <c r="C26" s="293" t="s">
        <v>79</v>
      </c>
      <c r="D26" s="470" t="s">
        <v>290</v>
      </c>
      <c r="E26" s="296" t="s">
        <v>199</v>
      </c>
      <c r="F26" s="293">
        <v>30</v>
      </c>
      <c r="G26" s="288">
        <f t="shared" si="2"/>
        <v>2220</v>
      </c>
      <c r="H26" s="293">
        <f>6*4</f>
        <v>24</v>
      </c>
      <c r="I26" s="288">
        <f t="shared" si="3"/>
        <v>1776</v>
      </c>
      <c r="J26" s="289">
        <f t="shared" si="4"/>
        <v>3996</v>
      </c>
      <c r="K26" s="290" t="s">
        <v>36</v>
      </c>
      <c r="L26" s="291" t="s">
        <v>359</v>
      </c>
      <c r="M26" s="292">
        <v>2250</v>
      </c>
      <c r="N26" s="292"/>
      <c r="O26" s="292">
        <v>1750</v>
      </c>
      <c r="P26" s="293">
        <v>30</v>
      </c>
      <c r="Q26" s="293">
        <f t="shared" si="5"/>
        <v>1140</v>
      </c>
      <c r="R26" s="476">
        <v>30</v>
      </c>
      <c r="S26" s="288">
        <f t="shared" si="0"/>
        <v>1140</v>
      </c>
      <c r="T26" s="476">
        <v>30</v>
      </c>
      <c r="U26" s="288">
        <f t="shared" si="6"/>
        <v>1140</v>
      </c>
      <c r="V26" s="294">
        <f t="shared" si="1"/>
        <v>3420</v>
      </c>
      <c r="W26" s="290" t="s">
        <v>36</v>
      </c>
      <c r="X26" s="295" t="s">
        <v>373</v>
      </c>
      <c r="Y26" s="477">
        <v>3500</v>
      </c>
      <c r="Z26" s="477"/>
      <c r="AA26" s="477"/>
      <c r="AB26" s="478"/>
    </row>
    <row r="27" spans="1:28" s="468" customFormat="1" ht="13.5" customHeight="1">
      <c r="A27" s="470" t="s">
        <v>79</v>
      </c>
      <c r="B27" s="470">
        <v>368115</v>
      </c>
      <c r="C27" s="470" t="s">
        <v>79</v>
      </c>
      <c r="D27" s="470" t="s">
        <v>290</v>
      </c>
      <c r="E27" s="296" t="s">
        <v>200</v>
      </c>
      <c r="F27" s="469">
        <f>6*5</f>
        <v>30</v>
      </c>
      <c r="G27" s="288">
        <f t="shared" si="2"/>
        <v>2220</v>
      </c>
      <c r="H27" s="469">
        <f>6*4</f>
        <v>24</v>
      </c>
      <c r="I27" s="288">
        <f t="shared" si="3"/>
        <v>1776</v>
      </c>
      <c r="J27" s="289">
        <f t="shared" si="4"/>
        <v>3996</v>
      </c>
      <c r="K27" s="290" t="s">
        <v>36</v>
      </c>
      <c r="L27" s="291" t="s">
        <v>359</v>
      </c>
      <c r="M27" s="292">
        <v>2250</v>
      </c>
      <c r="N27" s="292"/>
      <c r="O27" s="292">
        <v>1750</v>
      </c>
      <c r="P27" s="469">
        <f>6*5</f>
        <v>30</v>
      </c>
      <c r="Q27" s="293">
        <f t="shared" si="5"/>
        <v>1140</v>
      </c>
      <c r="R27" s="469">
        <f>6*5</f>
        <v>30</v>
      </c>
      <c r="S27" s="288">
        <f t="shared" si="0"/>
        <v>1140</v>
      </c>
      <c r="T27" s="469">
        <v>30</v>
      </c>
      <c r="U27" s="288">
        <f t="shared" si="6"/>
        <v>1140</v>
      </c>
      <c r="V27" s="294">
        <f t="shared" si="1"/>
        <v>3420</v>
      </c>
      <c r="W27" s="290" t="s">
        <v>36</v>
      </c>
      <c r="X27" s="295" t="s">
        <v>373</v>
      </c>
      <c r="Y27" s="477">
        <v>3500</v>
      </c>
      <c r="Z27" s="477"/>
      <c r="AA27" s="477"/>
      <c r="AB27" s="479"/>
    </row>
    <row r="28" spans="1:28" s="79" customFormat="1" ht="13.5" customHeight="1">
      <c r="A28" s="80" t="s">
        <v>79</v>
      </c>
      <c r="B28" s="80">
        <v>368116</v>
      </c>
      <c r="C28" s="80" t="s">
        <v>88</v>
      </c>
      <c r="D28" s="66" t="s">
        <v>290</v>
      </c>
      <c r="E28" s="130" t="s">
        <v>147</v>
      </c>
      <c r="F28" s="76">
        <v>2</v>
      </c>
      <c r="G28" s="75">
        <f t="shared" si="2"/>
        <v>148</v>
      </c>
      <c r="H28" s="76">
        <v>2</v>
      </c>
      <c r="I28" s="75">
        <f t="shared" si="3"/>
        <v>148</v>
      </c>
      <c r="J28" s="171">
        <f t="shared" si="4"/>
        <v>296</v>
      </c>
      <c r="K28" s="247" t="s">
        <v>349</v>
      </c>
      <c r="L28" s="259" t="s">
        <v>358</v>
      </c>
      <c r="M28" s="217">
        <v>300</v>
      </c>
      <c r="N28" s="218"/>
      <c r="O28" s="218"/>
      <c r="P28" s="76">
        <v>2</v>
      </c>
      <c r="Q28" s="67">
        <f t="shared" si="5"/>
        <v>76</v>
      </c>
      <c r="R28" s="76">
        <v>2</v>
      </c>
      <c r="S28" s="75">
        <f t="shared" si="0"/>
        <v>76</v>
      </c>
      <c r="T28" s="76">
        <v>2</v>
      </c>
      <c r="U28" s="75">
        <f t="shared" si="6"/>
        <v>76</v>
      </c>
      <c r="V28" s="161">
        <f t="shared" si="1"/>
        <v>228</v>
      </c>
      <c r="W28" s="247" t="s">
        <v>349</v>
      </c>
      <c r="X28" s="268" t="s">
        <v>225</v>
      </c>
      <c r="Y28" s="227">
        <v>225</v>
      </c>
      <c r="Z28" s="227"/>
      <c r="AA28" s="227"/>
      <c r="AB28" s="198"/>
    </row>
    <row r="29" spans="1:28" s="79" customFormat="1" ht="13.5" customHeight="1">
      <c r="A29" s="80" t="s">
        <v>79</v>
      </c>
      <c r="B29" s="80">
        <v>368117</v>
      </c>
      <c r="C29" s="80" t="s">
        <v>79</v>
      </c>
      <c r="D29" s="66" t="s">
        <v>290</v>
      </c>
      <c r="E29" s="130" t="s">
        <v>59</v>
      </c>
      <c r="F29" s="76">
        <v>2</v>
      </c>
      <c r="G29" s="75">
        <f t="shared" si="2"/>
        <v>148</v>
      </c>
      <c r="H29" s="76">
        <v>2</v>
      </c>
      <c r="I29" s="75">
        <f t="shared" si="3"/>
        <v>148</v>
      </c>
      <c r="J29" s="171">
        <f t="shared" si="4"/>
        <v>296</v>
      </c>
      <c r="K29" s="247" t="s">
        <v>345</v>
      </c>
      <c r="L29" s="259" t="s">
        <v>354</v>
      </c>
      <c r="M29" s="217">
        <v>300</v>
      </c>
      <c r="N29" s="218"/>
      <c r="O29" s="218"/>
      <c r="P29" s="76">
        <v>2</v>
      </c>
      <c r="Q29" s="67">
        <f t="shared" si="5"/>
        <v>76</v>
      </c>
      <c r="R29" s="76">
        <v>2</v>
      </c>
      <c r="S29" s="75">
        <f t="shared" si="0"/>
        <v>76</v>
      </c>
      <c r="T29" s="76">
        <v>2</v>
      </c>
      <c r="U29" s="75">
        <f t="shared" si="6"/>
        <v>76</v>
      </c>
      <c r="V29" s="161">
        <f t="shared" si="1"/>
        <v>228</v>
      </c>
      <c r="W29" s="247" t="s">
        <v>345</v>
      </c>
      <c r="X29" s="268" t="s">
        <v>370</v>
      </c>
      <c r="Y29" s="227">
        <v>230</v>
      </c>
      <c r="Z29" s="227"/>
      <c r="AA29" s="227"/>
      <c r="AB29" s="198"/>
    </row>
    <row r="30" spans="1:28" s="79" customFormat="1" ht="13.5" customHeight="1">
      <c r="A30" s="80" t="s">
        <v>79</v>
      </c>
      <c r="B30" s="80">
        <v>368119</v>
      </c>
      <c r="C30" s="80" t="s">
        <v>88</v>
      </c>
      <c r="D30" s="66" t="s">
        <v>290</v>
      </c>
      <c r="E30" s="130" t="s">
        <v>151</v>
      </c>
      <c r="F30" s="76">
        <v>2</v>
      </c>
      <c r="G30" s="75">
        <f t="shared" si="2"/>
        <v>148</v>
      </c>
      <c r="H30" s="76">
        <v>2</v>
      </c>
      <c r="I30" s="75">
        <f t="shared" si="3"/>
        <v>148</v>
      </c>
      <c r="J30" s="171">
        <f t="shared" si="4"/>
        <v>296</v>
      </c>
      <c r="K30" s="247" t="s">
        <v>336</v>
      </c>
      <c r="L30" s="259" t="s">
        <v>338</v>
      </c>
      <c r="M30" s="217">
        <v>300</v>
      </c>
      <c r="N30" s="218"/>
      <c r="O30" s="218"/>
      <c r="P30" s="76">
        <v>2</v>
      </c>
      <c r="Q30" s="67">
        <f t="shared" si="5"/>
        <v>76</v>
      </c>
      <c r="R30" s="76">
        <v>2</v>
      </c>
      <c r="S30" s="75">
        <f t="shared" si="0"/>
        <v>76</v>
      </c>
      <c r="T30" s="76">
        <v>2</v>
      </c>
      <c r="U30" s="75">
        <f t="shared" si="6"/>
        <v>76</v>
      </c>
      <c r="V30" s="161">
        <f t="shared" si="1"/>
        <v>228</v>
      </c>
      <c r="W30" s="247" t="s">
        <v>336</v>
      </c>
      <c r="X30" s="268" t="s">
        <v>380</v>
      </c>
      <c r="Y30" s="227">
        <v>230</v>
      </c>
      <c r="Z30" s="227"/>
      <c r="AA30" s="227"/>
      <c r="AB30" s="198"/>
    </row>
    <row r="31" spans="1:28" s="73" customFormat="1" ht="13.5" customHeight="1">
      <c r="A31" s="67" t="s">
        <v>79</v>
      </c>
      <c r="B31" s="67">
        <v>368248</v>
      </c>
      <c r="C31" s="67" t="s">
        <v>79</v>
      </c>
      <c r="D31" s="66" t="s">
        <v>290</v>
      </c>
      <c r="E31" s="130" t="s">
        <v>289</v>
      </c>
      <c r="F31" s="74">
        <f>2*6</f>
        <v>12</v>
      </c>
      <c r="G31" s="75">
        <f t="shared" si="2"/>
        <v>888</v>
      </c>
      <c r="H31" s="74">
        <f>2*6</f>
        <v>12</v>
      </c>
      <c r="I31" s="75">
        <f t="shared" si="3"/>
        <v>888</v>
      </c>
      <c r="J31" s="171">
        <f t="shared" si="4"/>
        <v>1776</v>
      </c>
      <c r="K31" s="247" t="s">
        <v>335</v>
      </c>
      <c r="L31" s="259" t="s">
        <v>539</v>
      </c>
      <c r="M31" s="217">
        <v>1800</v>
      </c>
      <c r="N31" s="218"/>
      <c r="O31" s="218"/>
      <c r="P31" s="74">
        <f>2*6</f>
        <v>12</v>
      </c>
      <c r="Q31" s="67">
        <f t="shared" si="5"/>
        <v>456</v>
      </c>
      <c r="R31" s="74">
        <f>2*6</f>
        <v>12</v>
      </c>
      <c r="S31" s="75">
        <f t="shared" si="0"/>
        <v>456</v>
      </c>
      <c r="T31" s="76">
        <v>12</v>
      </c>
      <c r="U31" s="75">
        <f t="shared" si="6"/>
        <v>456</v>
      </c>
      <c r="V31" s="161">
        <f t="shared" si="1"/>
        <v>1368</v>
      </c>
      <c r="W31" s="247" t="s">
        <v>335</v>
      </c>
      <c r="X31" s="268" t="s">
        <v>540</v>
      </c>
      <c r="Y31" s="227">
        <v>1400</v>
      </c>
      <c r="Z31" s="227"/>
      <c r="AA31" s="227"/>
      <c r="AB31" s="197"/>
    </row>
    <row r="32" spans="1:28" s="73" customFormat="1" ht="13.5" customHeight="1">
      <c r="A32" s="67" t="s">
        <v>79</v>
      </c>
      <c r="B32" s="67">
        <v>368250</v>
      </c>
      <c r="C32" s="67" t="s">
        <v>88</v>
      </c>
      <c r="D32" s="66" t="s">
        <v>290</v>
      </c>
      <c r="E32" s="130" t="s">
        <v>152</v>
      </c>
      <c r="F32" s="74">
        <f>18*3</f>
        <v>54</v>
      </c>
      <c r="G32" s="75">
        <f t="shared" si="2"/>
        <v>3996</v>
      </c>
      <c r="H32" s="74">
        <f>18*3</f>
        <v>54</v>
      </c>
      <c r="I32" s="75">
        <f t="shared" si="3"/>
        <v>3996</v>
      </c>
      <c r="J32" s="171">
        <f t="shared" si="4"/>
        <v>7992</v>
      </c>
      <c r="K32" s="247" t="s">
        <v>335</v>
      </c>
      <c r="L32" s="259" t="s">
        <v>542</v>
      </c>
      <c r="M32" s="217">
        <v>8094</v>
      </c>
      <c r="N32" s="218"/>
      <c r="O32" s="218"/>
      <c r="P32" s="74">
        <f>18*3</f>
        <v>54</v>
      </c>
      <c r="Q32" s="67">
        <f t="shared" si="5"/>
        <v>2052</v>
      </c>
      <c r="R32" s="74">
        <f>18*3</f>
        <v>54</v>
      </c>
      <c r="S32" s="75">
        <f t="shared" si="0"/>
        <v>2052</v>
      </c>
      <c r="T32" s="76">
        <v>54</v>
      </c>
      <c r="U32" s="75">
        <f t="shared" si="6"/>
        <v>2052</v>
      </c>
      <c r="V32" s="161">
        <f t="shared" si="1"/>
        <v>6156</v>
      </c>
      <c r="W32" s="247" t="s">
        <v>335</v>
      </c>
      <c r="X32" s="268" t="s">
        <v>543</v>
      </c>
      <c r="Y32" s="227">
        <v>6388</v>
      </c>
      <c r="Z32" s="227"/>
      <c r="AA32" s="227"/>
      <c r="AB32" s="197"/>
    </row>
    <row r="33" spans="1:28" s="73" customFormat="1" ht="13.5" customHeight="1">
      <c r="A33" s="67" t="s">
        <v>79</v>
      </c>
      <c r="B33" s="67">
        <v>368252</v>
      </c>
      <c r="C33" s="67" t="s">
        <v>88</v>
      </c>
      <c r="D33" s="66" t="s">
        <v>290</v>
      </c>
      <c r="E33" s="130" t="s">
        <v>5</v>
      </c>
      <c r="F33" s="74" t="s">
        <v>153</v>
      </c>
      <c r="G33" s="75">
        <f>F33*G$6</f>
        <v>4440</v>
      </c>
      <c r="H33" s="74">
        <v>48</v>
      </c>
      <c r="I33" s="75">
        <f t="shared" si="3"/>
        <v>3552</v>
      </c>
      <c r="J33" s="171">
        <f t="shared" si="4"/>
        <v>7992</v>
      </c>
      <c r="K33" s="247" t="s">
        <v>341</v>
      </c>
      <c r="L33" s="259" t="s">
        <v>359</v>
      </c>
      <c r="M33" s="217">
        <v>8000</v>
      </c>
      <c r="N33" s="218"/>
      <c r="O33" s="218"/>
      <c r="P33" s="74" t="s">
        <v>153</v>
      </c>
      <c r="Q33" s="67">
        <f t="shared" si="5"/>
        <v>2280</v>
      </c>
      <c r="R33" s="74" t="s">
        <v>153</v>
      </c>
      <c r="S33" s="75">
        <f t="shared" si="0"/>
        <v>2280</v>
      </c>
      <c r="T33" s="76">
        <v>60</v>
      </c>
      <c r="U33" s="75">
        <f t="shared" si="6"/>
        <v>2280</v>
      </c>
      <c r="V33" s="161">
        <f t="shared" si="1"/>
        <v>6840</v>
      </c>
      <c r="W33" s="247" t="s">
        <v>341</v>
      </c>
      <c r="X33" s="268" t="s">
        <v>373</v>
      </c>
      <c r="Y33" s="227">
        <v>7000</v>
      </c>
      <c r="Z33" s="227"/>
      <c r="AA33" s="227"/>
      <c r="AB33" s="197"/>
    </row>
    <row r="34" spans="1:28" s="73" customFormat="1" ht="13.5" customHeight="1">
      <c r="A34" s="67" t="s">
        <v>79</v>
      </c>
      <c r="B34" s="67">
        <v>368255</v>
      </c>
      <c r="C34" s="67" t="s">
        <v>88</v>
      </c>
      <c r="D34" s="66" t="s">
        <v>290</v>
      </c>
      <c r="E34" s="130" t="s">
        <v>154</v>
      </c>
      <c r="F34" s="74">
        <v>384</v>
      </c>
      <c r="G34" s="75">
        <f t="shared" si="2"/>
        <v>28416</v>
      </c>
      <c r="H34" s="74">
        <v>192</v>
      </c>
      <c r="I34" s="75">
        <f t="shared" si="3"/>
        <v>14208</v>
      </c>
      <c r="J34" s="171">
        <f t="shared" si="4"/>
        <v>42624</v>
      </c>
      <c r="K34" s="247" t="s">
        <v>342</v>
      </c>
      <c r="L34" s="259" t="s">
        <v>360</v>
      </c>
      <c r="M34" s="217">
        <v>44000</v>
      </c>
      <c r="N34" s="217"/>
      <c r="O34" s="217"/>
      <c r="P34" s="74">
        <v>672</v>
      </c>
      <c r="Q34" s="67">
        <f t="shared" si="5"/>
        <v>25536</v>
      </c>
      <c r="R34" s="74">
        <v>576</v>
      </c>
      <c r="S34" s="75">
        <f t="shared" si="0"/>
        <v>21888</v>
      </c>
      <c r="T34" s="76">
        <v>576</v>
      </c>
      <c r="U34" s="75">
        <f t="shared" si="6"/>
        <v>21888</v>
      </c>
      <c r="V34" s="161">
        <f t="shared" si="1"/>
        <v>69312</v>
      </c>
      <c r="W34" s="247" t="s">
        <v>342</v>
      </c>
      <c r="X34" s="268" t="s">
        <v>374</v>
      </c>
      <c r="Y34" s="227">
        <v>72000</v>
      </c>
      <c r="Z34" s="227"/>
      <c r="AA34" s="227"/>
      <c r="AB34" s="197"/>
    </row>
    <row r="35" spans="1:28" s="73" customFormat="1" ht="13.5" customHeight="1">
      <c r="A35" s="67" t="s">
        <v>79</v>
      </c>
      <c r="B35" s="67">
        <v>368257</v>
      </c>
      <c r="C35" s="67" t="s">
        <v>88</v>
      </c>
      <c r="D35" s="66" t="s">
        <v>290</v>
      </c>
      <c r="E35" s="130" t="s">
        <v>155</v>
      </c>
      <c r="F35" s="74">
        <f>4*3*3</f>
        <v>36</v>
      </c>
      <c r="G35" s="75">
        <f t="shared" si="2"/>
        <v>2664</v>
      </c>
      <c r="H35" s="74">
        <f>4*3*3</f>
        <v>36</v>
      </c>
      <c r="I35" s="75">
        <f t="shared" si="3"/>
        <v>2664</v>
      </c>
      <c r="J35" s="171">
        <f t="shared" si="4"/>
        <v>5328</v>
      </c>
      <c r="K35" s="247" t="s">
        <v>343</v>
      </c>
      <c r="L35" s="259" t="s">
        <v>361</v>
      </c>
      <c r="M35" s="217">
        <v>5400</v>
      </c>
      <c r="N35" s="217"/>
      <c r="O35" s="217"/>
      <c r="P35" s="74">
        <f>4*3*3</f>
        <v>36</v>
      </c>
      <c r="Q35" s="67">
        <f t="shared" si="5"/>
        <v>1368</v>
      </c>
      <c r="R35" s="74">
        <f>4*3*3</f>
        <v>36</v>
      </c>
      <c r="S35" s="75">
        <f t="shared" si="0"/>
        <v>1368</v>
      </c>
      <c r="T35" s="76">
        <v>36</v>
      </c>
      <c r="U35" s="75">
        <f t="shared" si="6"/>
        <v>1368</v>
      </c>
      <c r="V35" s="161">
        <f t="shared" si="1"/>
        <v>4104</v>
      </c>
      <c r="W35" s="247" t="s">
        <v>343</v>
      </c>
      <c r="X35" s="268" t="s">
        <v>375</v>
      </c>
      <c r="Y35" s="227">
        <v>4200</v>
      </c>
      <c r="Z35" s="227"/>
      <c r="AA35" s="227"/>
      <c r="AB35" s="197"/>
    </row>
    <row r="36" spans="1:28" s="73" customFormat="1" ht="13.5" customHeight="1">
      <c r="A36" s="67" t="s">
        <v>79</v>
      </c>
      <c r="B36" s="67">
        <v>368259</v>
      </c>
      <c r="C36" s="67" t="s">
        <v>79</v>
      </c>
      <c r="D36" s="66" t="s">
        <v>290</v>
      </c>
      <c r="E36" s="130" t="s">
        <v>232</v>
      </c>
      <c r="F36" s="78" t="s">
        <v>106</v>
      </c>
      <c r="G36" s="75">
        <f t="shared" si="2"/>
        <v>31080</v>
      </c>
      <c r="H36" s="78" t="s">
        <v>107</v>
      </c>
      <c r="I36" s="75">
        <f t="shared" si="3"/>
        <v>16872</v>
      </c>
      <c r="J36" s="171">
        <f t="shared" si="4"/>
        <v>47952</v>
      </c>
      <c r="K36" s="247" t="s">
        <v>334</v>
      </c>
      <c r="L36" s="259" t="s">
        <v>37</v>
      </c>
      <c r="M36" s="217">
        <v>48500</v>
      </c>
      <c r="N36" s="217"/>
      <c r="O36" s="217"/>
      <c r="P36" s="67">
        <v>708</v>
      </c>
      <c r="Q36" s="67">
        <f t="shared" si="5"/>
        <v>26904</v>
      </c>
      <c r="R36" s="74">
        <v>612</v>
      </c>
      <c r="S36" s="75">
        <f t="shared" si="0"/>
        <v>23256</v>
      </c>
      <c r="T36" s="74">
        <v>612</v>
      </c>
      <c r="U36" s="75">
        <f t="shared" si="6"/>
        <v>23256</v>
      </c>
      <c r="V36" s="161">
        <f t="shared" si="1"/>
        <v>73416</v>
      </c>
      <c r="W36" s="247" t="s">
        <v>334</v>
      </c>
      <c r="X36" s="268" t="s">
        <v>226</v>
      </c>
      <c r="Y36" s="227">
        <v>74000</v>
      </c>
      <c r="Z36" s="227"/>
      <c r="AA36" s="227"/>
      <c r="AB36" s="197"/>
    </row>
    <row r="37" spans="1:28" s="297" customFormat="1" ht="13.5" customHeight="1">
      <c r="A37" s="490" t="s">
        <v>79</v>
      </c>
      <c r="B37" s="490">
        <v>368261</v>
      </c>
      <c r="C37" s="490" t="s">
        <v>79</v>
      </c>
      <c r="D37" s="486" t="s">
        <v>290</v>
      </c>
      <c r="E37" s="491" t="s">
        <v>611</v>
      </c>
      <c r="F37" s="492">
        <v>2</v>
      </c>
      <c r="G37" s="493">
        <f t="shared" si="2"/>
        <v>148</v>
      </c>
      <c r="H37" s="492">
        <v>2</v>
      </c>
      <c r="I37" s="493">
        <f t="shared" si="3"/>
        <v>148</v>
      </c>
      <c r="J37" s="494">
        <f t="shared" si="4"/>
        <v>296</v>
      </c>
      <c r="K37" s="495" t="s">
        <v>340</v>
      </c>
      <c r="L37" s="496" t="s">
        <v>537</v>
      </c>
      <c r="M37" s="498">
        <v>200</v>
      </c>
      <c r="N37" s="498"/>
      <c r="O37" s="498">
        <v>100</v>
      </c>
      <c r="P37" s="492">
        <v>2</v>
      </c>
      <c r="Q37" s="490">
        <f t="shared" si="5"/>
        <v>76</v>
      </c>
      <c r="R37" s="492">
        <v>2</v>
      </c>
      <c r="S37" s="493">
        <f t="shared" si="0"/>
        <v>76</v>
      </c>
      <c r="T37" s="472">
        <v>2</v>
      </c>
      <c r="U37" s="493">
        <f t="shared" si="6"/>
        <v>76</v>
      </c>
      <c r="V37" s="499">
        <f t="shared" si="1"/>
        <v>228</v>
      </c>
      <c r="W37" s="495" t="s">
        <v>340</v>
      </c>
      <c r="X37" s="500" t="s">
        <v>565</v>
      </c>
      <c r="Y37" s="501">
        <v>230</v>
      </c>
      <c r="Z37" s="501"/>
      <c r="AA37" s="501"/>
      <c r="AB37" s="478"/>
    </row>
    <row r="38" spans="1:28" s="73" customFormat="1" ht="13.5" customHeight="1">
      <c r="A38" s="67" t="s">
        <v>79</v>
      </c>
      <c r="B38" s="67">
        <v>368280</v>
      </c>
      <c r="C38" s="67" t="s">
        <v>88</v>
      </c>
      <c r="D38" s="66" t="s">
        <v>290</v>
      </c>
      <c r="E38" s="130" t="s">
        <v>193</v>
      </c>
      <c r="F38" s="77">
        <f>4/12*6*5/100</f>
        <v>0.1</v>
      </c>
      <c r="G38" s="319">
        <f t="shared" si="2"/>
        <v>7.4</v>
      </c>
      <c r="H38" s="77">
        <f>8/100</f>
        <v>0.08</v>
      </c>
      <c r="I38" s="319">
        <f t="shared" si="3"/>
        <v>5.92</v>
      </c>
      <c r="J38" s="320">
        <f t="shared" si="4"/>
        <v>13.32</v>
      </c>
      <c r="K38" s="321" t="s">
        <v>350</v>
      </c>
      <c r="L38" s="322" t="s">
        <v>362</v>
      </c>
      <c r="M38" s="323">
        <v>14</v>
      </c>
      <c r="N38" s="323"/>
      <c r="O38" s="323"/>
      <c r="P38" s="77">
        <f>4/12*6*5/100</f>
        <v>0.1</v>
      </c>
      <c r="Q38" s="77">
        <f t="shared" si="5"/>
        <v>3.8000000000000003</v>
      </c>
      <c r="R38" s="77">
        <f>4/12*6*5/100</f>
        <v>0.1</v>
      </c>
      <c r="S38" s="319">
        <f t="shared" si="0"/>
        <v>3.8000000000000003</v>
      </c>
      <c r="T38" s="324">
        <f>10/100</f>
        <v>0.1</v>
      </c>
      <c r="U38" s="319">
        <f t="shared" si="6"/>
        <v>3.8000000000000003</v>
      </c>
      <c r="V38" s="161">
        <f t="shared" si="1"/>
        <v>11.4</v>
      </c>
      <c r="W38" s="321" t="s">
        <v>350</v>
      </c>
      <c r="X38" s="268" t="s">
        <v>544</v>
      </c>
      <c r="Y38" s="227">
        <v>12</v>
      </c>
      <c r="Z38" s="227"/>
      <c r="AA38" s="227"/>
      <c r="AB38" s="197"/>
    </row>
    <row r="39" spans="1:28" s="79" customFormat="1" ht="13.5" customHeight="1">
      <c r="A39" s="66" t="s">
        <v>79</v>
      </c>
      <c r="B39" s="66">
        <v>368282</v>
      </c>
      <c r="C39" s="66" t="s">
        <v>88</v>
      </c>
      <c r="D39" s="66" t="s">
        <v>290</v>
      </c>
      <c r="E39" s="131" t="s">
        <v>161</v>
      </c>
      <c r="F39" s="76">
        <f>2*6*5</f>
        <v>60</v>
      </c>
      <c r="G39" s="75">
        <f t="shared" si="2"/>
        <v>4440</v>
      </c>
      <c r="H39" s="76">
        <f>2*6*4</f>
        <v>48</v>
      </c>
      <c r="I39" s="75">
        <f t="shared" si="3"/>
        <v>3552</v>
      </c>
      <c r="J39" s="171">
        <f t="shared" si="4"/>
        <v>7992</v>
      </c>
      <c r="K39" s="247" t="s">
        <v>558</v>
      </c>
      <c r="L39" s="259" t="s">
        <v>559</v>
      </c>
      <c r="M39" s="217">
        <v>8000</v>
      </c>
      <c r="N39" s="217"/>
      <c r="O39" s="217"/>
      <c r="P39" s="76">
        <f>2*6*5</f>
        <v>60</v>
      </c>
      <c r="Q39" s="67">
        <f t="shared" si="5"/>
        <v>2280</v>
      </c>
      <c r="R39" s="76">
        <f>2*6*5</f>
        <v>60</v>
      </c>
      <c r="S39" s="75">
        <f t="shared" si="0"/>
        <v>2280</v>
      </c>
      <c r="T39" s="76">
        <v>60</v>
      </c>
      <c r="U39" s="75">
        <f t="shared" si="6"/>
        <v>2280</v>
      </c>
      <c r="V39" s="161">
        <f t="shared" si="1"/>
        <v>6840</v>
      </c>
      <c r="W39" s="247" t="s">
        <v>545</v>
      </c>
      <c r="X39" s="268" t="s">
        <v>559</v>
      </c>
      <c r="Y39" s="227">
        <v>6900</v>
      </c>
      <c r="Z39" s="227"/>
      <c r="AA39" s="227"/>
      <c r="AB39" s="198"/>
    </row>
    <row r="40" spans="1:28" s="73" customFormat="1" ht="13.5" customHeight="1">
      <c r="A40" s="67" t="s">
        <v>79</v>
      </c>
      <c r="B40" s="67">
        <v>368283</v>
      </c>
      <c r="C40" s="67" t="s">
        <v>88</v>
      </c>
      <c r="D40" s="66" t="s">
        <v>290</v>
      </c>
      <c r="E40" s="130" t="s">
        <v>162</v>
      </c>
      <c r="F40" s="74" t="s">
        <v>163</v>
      </c>
      <c r="G40" s="75">
        <f t="shared" si="2"/>
        <v>2220</v>
      </c>
      <c r="H40" s="74">
        <f>6*4</f>
        <v>24</v>
      </c>
      <c r="I40" s="75">
        <f t="shared" si="3"/>
        <v>1776</v>
      </c>
      <c r="J40" s="171">
        <f t="shared" si="4"/>
        <v>3996</v>
      </c>
      <c r="K40" s="247" t="s">
        <v>340</v>
      </c>
      <c r="L40" s="298" t="s">
        <v>571</v>
      </c>
      <c r="M40" s="299">
        <v>4100</v>
      </c>
      <c r="N40" s="299"/>
      <c r="O40" s="299"/>
      <c r="P40" s="74" t="s">
        <v>163</v>
      </c>
      <c r="Q40" s="67">
        <f t="shared" si="5"/>
        <v>1140</v>
      </c>
      <c r="R40" s="74" t="s">
        <v>163</v>
      </c>
      <c r="S40" s="75">
        <f t="shared" si="0"/>
        <v>1140</v>
      </c>
      <c r="T40" s="76">
        <v>30</v>
      </c>
      <c r="U40" s="75">
        <f t="shared" si="6"/>
        <v>1140</v>
      </c>
      <c r="V40" s="161">
        <f t="shared" si="1"/>
        <v>3420</v>
      </c>
      <c r="W40" s="247" t="s">
        <v>340</v>
      </c>
      <c r="X40" s="301" t="s">
        <v>572</v>
      </c>
      <c r="Y40" s="274">
        <v>3500</v>
      </c>
      <c r="Z40" s="274"/>
      <c r="AA40" s="274"/>
      <c r="AB40" s="197"/>
    </row>
    <row r="41" spans="1:28" s="326" customFormat="1" ht="15.75" customHeight="1">
      <c r="A41" s="325" t="s">
        <v>79</v>
      </c>
      <c r="B41" s="325">
        <v>368288</v>
      </c>
      <c r="C41" s="325" t="s">
        <v>79</v>
      </c>
      <c r="D41" s="325" t="s">
        <v>290</v>
      </c>
      <c r="E41" s="326" t="s">
        <v>184</v>
      </c>
      <c r="F41" s="327">
        <v>0.31</v>
      </c>
      <c r="G41" s="325">
        <f t="shared" si="2"/>
        <v>22.94</v>
      </c>
      <c r="H41" s="327">
        <v>0.31</v>
      </c>
      <c r="I41" s="325">
        <f t="shared" si="3"/>
        <v>22.94</v>
      </c>
      <c r="J41" s="328">
        <f t="shared" si="4"/>
        <v>45.88</v>
      </c>
      <c r="K41" s="329" t="s">
        <v>186</v>
      </c>
      <c r="L41" s="328" t="s">
        <v>549</v>
      </c>
      <c r="M41" s="330" t="s">
        <v>185</v>
      </c>
      <c r="N41" s="328">
        <v>0</v>
      </c>
      <c r="O41" s="330" t="s">
        <v>185</v>
      </c>
      <c r="P41" s="327">
        <v>0.405</v>
      </c>
      <c r="Q41" s="325">
        <f t="shared" si="5"/>
        <v>15.39</v>
      </c>
      <c r="R41" s="327">
        <v>0.405</v>
      </c>
      <c r="S41" s="325">
        <f t="shared" si="0"/>
        <v>15.39</v>
      </c>
      <c r="T41" s="327">
        <v>0.405</v>
      </c>
      <c r="U41" s="325">
        <f t="shared" si="6"/>
        <v>15.39</v>
      </c>
      <c r="V41" s="325">
        <f aca="true" t="shared" si="7" ref="V41:V58">Q41+S41+U41</f>
        <v>46.17</v>
      </c>
      <c r="W41" s="331" t="s">
        <v>186</v>
      </c>
      <c r="X41" s="396" t="s">
        <v>566</v>
      </c>
      <c r="Y41" s="330" t="s">
        <v>227</v>
      </c>
      <c r="Z41" s="330"/>
      <c r="AA41" s="330" t="s">
        <v>185</v>
      </c>
      <c r="AB41" s="326" t="s">
        <v>94</v>
      </c>
    </row>
    <row r="42" spans="1:28" s="326" customFormat="1" ht="24.75" customHeight="1">
      <c r="A42" s="325" t="s">
        <v>79</v>
      </c>
      <c r="B42" s="325">
        <v>368289</v>
      </c>
      <c r="C42" s="325" t="s">
        <v>79</v>
      </c>
      <c r="D42" s="325" t="s">
        <v>290</v>
      </c>
      <c r="E42" s="332" t="s">
        <v>547</v>
      </c>
      <c r="F42" s="333">
        <v>0.16</v>
      </c>
      <c r="G42" s="334">
        <f t="shared" si="2"/>
        <v>11.84</v>
      </c>
      <c r="H42" s="333">
        <v>0.16</v>
      </c>
      <c r="I42" s="334">
        <f t="shared" si="3"/>
        <v>11.84</v>
      </c>
      <c r="J42" s="335" t="s">
        <v>187</v>
      </c>
      <c r="K42" s="328" t="s">
        <v>546</v>
      </c>
      <c r="L42" s="328" t="s">
        <v>548</v>
      </c>
      <c r="M42" s="335" t="s">
        <v>188</v>
      </c>
      <c r="N42" s="335" t="s">
        <v>188</v>
      </c>
      <c r="O42" s="335" t="s">
        <v>189</v>
      </c>
      <c r="P42" s="333">
        <v>0.21</v>
      </c>
      <c r="Q42" s="334">
        <f t="shared" si="5"/>
        <v>7.9799999999999995</v>
      </c>
      <c r="R42" s="333">
        <v>0.21</v>
      </c>
      <c r="S42" s="334">
        <f t="shared" si="0"/>
        <v>7.9799999999999995</v>
      </c>
      <c r="T42" s="333">
        <v>0.21</v>
      </c>
      <c r="U42" s="334">
        <f t="shared" si="6"/>
        <v>7.9799999999999995</v>
      </c>
      <c r="V42" s="334">
        <f t="shared" si="7"/>
        <v>23.939999999999998</v>
      </c>
      <c r="W42" s="336" t="s">
        <v>546</v>
      </c>
      <c r="X42" s="397" t="s">
        <v>548</v>
      </c>
      <c r="Y42" s="335" t="s">
        <v>188</v>
      </c>
      <c r="Z42" s="335" t="s">
        <v>188</v>
      </c>
      <c r="AA42" s="335" t="s">
        <v>189</v>
      </c>
      <c r="AB42" s="326" t="s">
        <v>94</v>
      </c>
    </row>
    <row r="43" spans="1:28" s="326" customFormat="1" ht="13.5" customHeight="1">
      <c r="A43" s="325" t="s">
        <v>79</v>
      </c>
      <c r="B43" s="325">
        <v>368291</v>
      </c>
      <c r="C43" s="325" t="s">
        <v>88</v>
      </c>
      <c r="D43" s="325" t="s">
        <v>290</v>
      </c>
      <c r="E43" s="332" t="s">
        <v>297</v>
      </c>
      <c r="F43" s="330" t="s">
        <v>126</v>
      </c>
      <c r="G43" s="325">
        <f t="shared" si="2"/>
        <v>74</v>
      </c>
      <c r="H43" s="330" t="s">
        <v>126</v>
      </c>
      <c r="I43" s="325">
        <f t="shared" si="3"/>
        <v>74</v>
      </c>
      <c r="J43" s="328">
        <f t="shared" si="4"/>
        <v>148</v>
      </c>
      <c r="K43" s="328" t="s">
        <v>116</v>
      </c>
      <c r="L43" s="328" t="s">
        <v>365</v>
      </c>
      <c r="M43" s="328">
        <v>50</v>
      </c>
      <c r="N43" s="328">
        <v>50</v>
      </c>
      <c r="O43" s="328">
        <v>50</v>
      </c>
      <c r="P43" s="330" t="s">
        <v>191</v>
      </c>
      <c r="Q43" s="325">
        <f t="shared" si="5"/>
        <v>39.9</v>
      </c>
      <c r="R43" s="330" t="s">
        <v>191</v>
      </c>
      <c r="S43" s="325">
        <f t="shared" si="0"/>
        <v>39.9</v>
      </c>
      <c r="T43" s="330" t="s">
        <v>191</v>
      </c>
      <c r="U43" s="325">
        <f t="shared" si="6"/>
        <v>39.9</v>
      </c>
      <c r="V43" s="325">
        <f t="shared" si="7"/>
        <v>119.69999999999999</v>
      </c>
      <c r="W43" s="336" t="s">
        <v>116</v>
      </c>
      <c r="X43" s="396" t="s">
        <v>550</v>
      </c>
      <c r="Y43" s="328">
        <v>50</v>
      </c>
      <c r="Z43" s="328">
        <v>50</v>
      </c>
      <c r="AA43" s="328">
        <v>20</v>
      </c>
      <c r="AB43" s="326" t="s">
        <v>94</v>
      </c>
    </row>
    <row r="44" spans="1:28" s="345" customFormat="1" ht="13.5" customHeight="1">
      <c r="A44" s="77" t="s">
        <v>79</v>
      </c>
      <c r="B44" s="74">
        <v>368300</v>
      </c>
      <c r="C44" s="77" t="s">
        <v>79</v>
      </c>
      <c r="D44" s="324" t="s">
        <v>290</v>
      </c>
      <c r="E44" s="337" t="s">
        <v>108</v>
      </c>
      <c r="F44" s="77">
        <f>120/3/36</f>
        <v>1.1111111111111112</v>
      </c>
      <c r="G44" s="319">
        <f t="shared" si="2"/>
        <v>82.22222222222223</v>
      </c>
      <c r="H44" s="77">
        <f>120/3/36</f>
        <v>1.1111111111111112</v>
      </c>
      <c r="I44" s="319">
        <f t="shared" si="3"/>
        <v>82.22222222222223</v>
      </c>
      <c r="J44" s="320">
        <f t="shared" si="4"/>
        <v>164.44444444444446</v>
      </c>
      <c r="K44" s="321" t="s">
        <v>116</v>
      </c>
      <c r="L44" s="338" t="s">
        <v>364</v>
      </c>
      <c r="M44" s="339">
        <v>170</v>
      </c>
      <c r="N44" s="339"/>
      <c r="O44" s="339"/>
      <c r="P44" s="77">
        <f>150/3/36</f>
        <v>1.3888888888888888</v>
      </c>
      <c r="Q44" s="77">
        <f t="shared" si="5"/>
        <v>52.77777777777778</v>
      </c>
      <c r="R44" s="77">
        <f>150/3/36</f>
        <v>1.3888888888888888</v>
      </c>
      <c r="S44" s="319">
        <f>R44*S$6</f>
        <v>52.77777777777778</v>
      </c>
      <c r="T44" s="324">
        <f>150/3/36</f>
        <v>1.3888888888888888</v>
      </c>
      <c r="U44" s="319">
        <f>T44*U$6</f>
        <v>52.77777777777778</v>
      </c>
      <c r="V44" s="340">
        <f t="shared" si="7"/>
        <v>158.33333333333334</v>
      </c>
      <c r="W44" s="321" t="s">
        <v>116</v>
      </c>
      <c r="X44" s="341" t="s">
        <v>551</v>
      </c>
      <c r="Y44" s="342">
        <v>160</v>
      </c>
      <c r="Z44" s="343"/>
      <c r="AA44" s="343"/>
      <c r="AB44" s="344"/>
    </row>
    <row r="45" spans="1:28" s="79" customFormat="1" ht="13.5" customHeight="1">
      <c r="A45" s="66" t="s">
        <v>79</v>
      </c>
      <c r="B45" s="66">
        <v>368304</v>
      </c>
      <c r="C45" s="66" t="s">
        <v>83</v>
      </c>
      <c r="D45" s="66" t="s">
        <v>290</v>
      </c>
      <c r="E45" s="131" t="s">
        <v>117</v>
      </c>
      <c r="F45" s="239">
        <f>80/1650</f>
        <v>0.048484848484848485</v>
      </c>
      <c r="G45" s="240">
        <f t="shared" si="2"/>
        <v>3.587878787878788</v>
      </c>
      <c r="H45" s="239">
        <f>80/1650</f>
        <v>0.048484848484848485</v>
      </c>
      <c r="I45" s="240">
        <f t="shared" si="3"/>
        <v>3.587878787878788</v>
      </c>
      <c r="J45" s="242">
        <f t="shared" si="4"/>
        <v>7.175757575757576</v>
      </c>
      <c r="K45" s="248" t="s">
        <v>116</v>
      </c>
      <c r="L45" s="346" t="s">
        <v>363</v>
      </c>
      <c r="M45" s="347">
        <v>8</v>
      </c>
      <c r="N45" s="347"/>
      <c r="O45" s="347"/>
      <c r="P45" s="239">
        <f>85/1650</f>
        <v>0.051515151515151514</v>
      </c>
      <c r="Q45" s="241">
        <f t="shared" si="5"/>
        <v>1.9575757575757575</v>
      </c>
      <c r="R45" s="239">
        <f>80/1650</f>
        <v>0.048484848484848485</v>
      </c>
      <c r="S45" s="240">
        <f aca="true" t="shared" si="8" ref="S45:S58">R45*S$6</f>
        <v>1.8424242424242425</v>
      </c>
      <c r="T45" s="239">
        <f>80/1650</f>
        <v>0.048484848484848485</v>
      </c>
      <c r="U45" s="240">
        <f t="shared" si="6"/>
        <v>1.8424242424242425</v>
      </c>
      <c r="V45" s="317">
        <f t="shared" si="7"/>
        <v>5.642424242424243</v>
      </c>
      <c r="W45" s="248" t="s">
        <v>116</v>
      </c>
      <c r="X45" s="268">
        <v>6</v>
      </c>
      <c r="Y45" s="227">
        <f>V45</f>
        <v>5.642424242424243</v>
      </c>
      <c r="Z45" s="348"/>
      <c r="AA45" s="348"/>
      <c r="AB45" s="198"/>
    </row>
    <row r="46" spans="1:28" s="73" customFormat="1" ht="13.5" customHeight="1">
      <c r="A46" s="67" t="s">
        <v>79</v>
      </c>
      <c r="B46" s="67">
        <v>368305</v>
      </c>
      <c r="C46" s="67" t="s">
        <v>83</v>
      </c>
      <c r="D46" s="66" t="s">
        <v>290</v>
      </c>
      <c r="E46" s="130" t="s">
        <v>330</v>
      </c>
      <c r="F46" s="74">
        <f>6*2+4*3</f>
        <v>24</v>
      </c>
      <c r="G46" s="75">
        <f t="shared" si="2"/>
        <v>1776</v>
      </c>
      <c r="H46" s="76">
        <f>5*2+4*3</f>
        <v>22</v>
      </c>
      <c r="I46" s="75">
        <f t="shared" si="3"/>
        <v>1628</v>
      </c>
      <c r="J46" s="171">
        <f t="shared" si="4"/>
        <v>3404</v>
      </c>
      <c r="K46" s="247" t="s">
        <v>567</v>
      </c>
      <c r="L46" s="259" t="s">
        <v>559</v>
      </c>
      <c r="M46" s="217">
        <v>3450</v>
      </c>
      <c r="N46" s="218"/>
      <c r="O46" s="218"/>
      <c r="P46" s="74">
        <f>6*2+4*3</f>
        <v>24</v>
      </c>
      <c r="Q46" s="67">
        <f t="shared" si="5"/>
        <v>912</v>
      </c>
      <c r="R46" s="74">
        <f>6*2+4*3</f>
        <v>24</v>
      </c>
      <c r="S46" s="75">
        <f t="shared" si="8"/>
        <v>912</v>
      </c>
      <c r="T46" s="76">
        <v>24</v>
      </c>
      <c r="U46" s="75">
        <f t="shared" si="6"/>
        <v>912</v>
      </c>
      <c r="V46" s="161">
        <f t="shared" si="7"/>
        <v>2736</v>
      </c>
      <c r="W46" s="247" t="s">
        <v>535</v>
      </c>
      <c r="X46" s="268" t="s">
        <v>559</v>
      </c>
      <c r="Y46" s="227">
        <v>2800</v>
      </c>
      <c r="Z46" s="227"/>
      <c r="AA46" s="227"/>
      <c r="AB46" s="197"/>
    </row>
    <row r="47" spans="1:28" s="79" customFormat="1" ht="13.5" customHeight="1">
      <c r="A47" s="66" t="s">
        <v>156</v>
      </c>
      <c r="B47" s="66">
        <v>368307</v>
      </c>
      <c r="C47" s="66" t="s">
        <v>157</v>
      </c>
      <c r="D47" s="67" t="s">
        <v>290</v>
      </c>
      <c r="E47" s="131" t="s">
        <v>285</v>
      </c>
      <c r="F47" s="76">
        <f>8*3</f>
        <v>24</v>
      </c>
      <c r="G47" s="75">
        <f t="shared" si="2"/>
        <v>1776</v>
      </c>
      <c r="H47" s="76">
        <f>4*3</f>
        <v>12</v>
      </c>
      <c r="I47" s="75">
        <f t="shared" si="3"/>
        <v>888</v>
      </c>
      <c r="J47" s="171">
        <f t="shared" si="4"/>
        <v>2664</v>
      </c>
      <c r="K47" s="247" t="s">
        <v>552</v>
      </c>
      <c r="L47" s="259" t="s">
        <v>553</v>
      </c>
      <c r="M47" s="217">
        <v>2800</v>
      </c>
      <c r="N47" s="218"/>
      <c r="O47" s="218"/>
      <c r="P47" s="76">
        <f>14*3</f>
        <v>42</v>
      </c>
      <c r="Q47" s="67">
        <f t="shared" si="5"/>
        <v>1596</v>
      </c>
      <c r="R47" s="76">
        <f>12*3</f>
        <v>36</v>
      </c>
      <c r="S47" s="75">
        <f t="shared" si="8"/>
        <v>1368</v>
      </c>
      <c r="T47" s="76">
        <v>36</v>
      </c>
      <c r="U47" s="75">
        <f t="shared" si="6"/>
        <v>1368</v>
      </c>
      <c r="V47" s="161">
        <f t="shared" si="7"/>
        <v>4332</v>
      </c>
      <c r="W47" s="247" t="s">
        <v>552</v>
      </c>
      <c r="X47" s="268" t="s">
        <v>554</v>
      </c>
      <c r="Y47" s="227">
        <v>4504</v>
      </c>
      <c r="Z47" s="227"/>
      <c r="AA47" s="227"/>
      <c r="AB47" s="198"/>
    </row>
    <row r="48" spans="1:28" s="73" customFormat="1" ht="13.5" customHeight="1">
      <c r="A48" s="67" t="s">
        <v>79</v>
      </c>
      <c r="B48" s="67">
        <v>368328</v>
      </c>
      <c r="C48" s="67" t="s">
        <v>79</v>
      </c>
      <c r="D48" s="66" t="s">
        <v>290</v>
      </c>
      <c r="E48" s="130" t="s">
        <v>167</v>
      </c>
      <c r="F48" s="74">
        <f>3*2</f>
        <v>6</v>
      </c>
      <c r="G48" s="75">
        <f t="shared" si="2"/>
        <v>444</v>
      </c>
      <c r="H48" s="74">
        <f>3*2</f>
        <v>6</v>
      </c>
      <c r="I48" s="75">
        <f t="shared" si="3"/>
        <v>444</v>
      </c>
      <c r="J48" s="171">
        <f t="shared" si="4"/>
        <v>888</v>
      </c>
      <c r="K48" s="247" t="s">
        <v>555</v>
      </c>
      <c r="L48" s="259" t="s">
        <v>557</v>
      </c>
      <c r="M48" s="217">
        <v>1000</v>
      </c>
      <c r="N48" s="218"/>
      <c r="O48" s="218"/>
      <c r="P48" s="74">
        <f>3*2</f>
        <v>6</v>
      </c>
      <c r="Q48" s="67">
        <f t="shared" si="5"/>
        <v>228</v>
      </c>
      <c r="R48" s="74">
        <f>3*2</f>
        <v>6</v>
      </c>
      <c r="S48" s="75">
        <f t="shared" si="8"/>
        <v>228</v>
      </c>
      <c r="T48" s="76">
        <v>6</v>
      </c>
      <c r="U48" s="75">
        <f t="shared" si="6"/>
        <v>228</v>
      </c>
      <c r="V48" s="161">
        <f t="shared" si="7"/>
        <v>684</v>
      </c>
      <c r="W48" s="247" t="s">
        <v>556</v>
      </c>
      <c r="X48" s="268" t="s">
        <v>557</v>
      </c>
      <c r="Y48" s="227">
        <v>800</v>
      </c>
      <c r="Z48" s="227"/>
      <c r="AA48" s="227"/>
      <c r="AB48" s="197"/>
    </row>
    <row r="49" spans="1:28" s="73" customFormat="1" ht="13.5" customHeight="1">
      <c r="A49" s="67" t="s">
        <v>79</v>
      </c>
      <c r="B49" s="67">
        <v>368424</v>
      </c>
      <c r="C49" s="67" t="s">
        <v>88</v>
      </c>
      <c r="D49" s="66" t="s">
        <v>290</v>
      </c>
      <c r="E49" s="130" t="s">
        <v>119</v>
      </c>
      <c r="F49" s="67">
        <f>120/3/72</f>
        <v>0.5555555555555556</v>
      </c>
      <c r="G49" s="75">
        <f t="shared" si="2"/>
        <v>41.111111111111114</v>
      </c>
      <c r="H49" s="67">
        <f>120/3/72</f>
        <v>0.5555555555555556</v>
      </c>
      <c r="I49" s="75">
        <f t="shared" si="3"/>
        <v>41.111111111111114</v>
      </c>
      <c r="J49" s="171">
        <f t="shared" si="4"/>
        <v>82.22222222222223</v>
      </c>
      <c r="K49" s="247" t="s">
        <v>116</v>
      </c>
      <c r="L49" s="259">
        <v>90</v>
      </c>
      <c r="M49" s="217">
        <v>90</v>
      </c>
      <c r="N49" s="217"/>
      <c r="O49" s="217"/>
      <c r="P49" s="241">
        <f>150/3/72</f>
        <v>0.6944444444444444</v>
      </c>
      <c r="Q49" s="241">
        <f t="shared" si="5"/>
        <v>26.38888888888889</v>
      </c>
      <c r="R49" s="241">
        <f>150/3/72</f>
        <v>0.6944444444444444</v>
      </c>
      <c r="S49" s="240">
        <f t="shared" si="8"/>
        <v>26.38888888888889</v>
      </c>
      <c r="T49" s="239">
        <f>150/3/72</f>
        <v>0.6944444444444444</v>
      </c>
      <c r="U49" s="240">
        <f t="shared" si="6"/>
        <v>26.38888888888889</v>
      </c>
      <c r="V49" s="317">
        <f t="shared" si="7"/>
        <v>79.16666666666667</v>
      </c>
      <c r="W49" s="247" t="s">
        <v>116</v>
      </c>
      <c r="X49" s="268" t="s">
        <v>377</v>
      </c>
      <c r="Y49" s="227">
        <v>85</v>
      </c>
      <c r="Z49" s="348"/>
      <c r="AA49" s="348"/>
      <c r="AB49" s="197"/>
    </row>
    <row r="50" spans="1:28" s="73" customFormat="1" ht="13.5" customHeight="1">
      <c r="A50" s="67" t="s">
        <v>79</v>
      </c>
      <c r="B50" s="67">
        <v>368461</v>
      </c>
      <c r="C50" s="67" t="s">
        <v>88</v>
      </c>
      <c r="D50" s="66" t="s">
        <v>290</v>
      </c>
      <c r="E50" s="130" t="s">
        <v>120</v>
      </c>
      <c r="F50" s="241">
        <f>16/260</f>
        <v>0.06153846153846154</v>
      </c>
      <c r="G50" s="240">
        <f t="shared" si="2"/>
        <v>4.553846153846154</v>
      </c>
      <c r="H50" s="241">
        <f>16/260</f>
        <v>0.06153846153846154</v>
      </c>
      <c r="I50" s="240">
        <f t="shared" si="3"/>
        <v>4.553846153846154</v>
      </c>
      <c r="J50" s="242">
        <f t="shared" si="4"/>
        <v>9.107692307692307</v>
      </c>
      <c r="K50" s="247" t="s">
        <v>116</v>
      </c>
      <c r="L50" s="259">
        <v>12</v>
      </c>
      <c r="M50" s="217">
        <v>12</v>
      </c>
      <c r="N50" s="217"/>
      <c r="O50" s="217"/>
      <c r="P50" s="241">
        <f>16/260</f>
        <v>0.06153846153846154</v>
      </c>
      <c r="Q50" s="241">
        <f t="shared" si="5"/>
        <v>2.3384615384615386</v>
      </c>
      <c r="R50" s="241">
        <f>16/260</f>
        <v>0.06153846153846154</v>
      </c>
      <c r="S50" s="240">
        <f t="shared" si="8"/>
        <v>2.3384615384615386</v>
      </c>
      <c r="T50" s="241">
        <f>16/260</f>
        <v>0.06153846153846154</v>
      </c>
      <c r="U50" s="240">
        <f t="shared" si="6"/>
        <v>2.3384615384615386</v>
      </c>
      <c r="V50" s="317">
        <f t="shared" si="7"/>
        <v>7.015384615384615</v>
      </c>
      <c r="W50" s="247" t="s">
        <v>116</v>
      </c>
      <c r="X50" s="268" t="s">
        <v>378</v>
      </c>
      <c r="Y50" s="227">
        <v>10</v>
      </c>
      <c r="Z50" s="227"/>
      <c r="AA50" s="227"/>
      <c r="AB50" s="197"/>
    </row>
    <row r="51" spans="1:28" s="73" customFormat="1" ht="13.5" customHeight="1">
      <c r="A51" s="67" t="s">
        <v>83</v>
      </c>
      <c r="B51" s="67">
        <v>368523</v>
      </c>
      <c r="C51" s="67" t="s">
        <v>79</v>
      </c>
      <c r="D51" s="67" t="s">
        <v>290</v>
      </c>
      <c r="E51" s="130" t="s">
        <v>148</v>
      </c>
      <c r="F51" s="74">
        <v>1</v>
      </c>
      <c r="G51" s="75">
        <f t="shared" si="2"/>
        <v>74</v>
      </c>
      <c r="H51" s="74">
        <v>1</v>
      </c>
      <c r="I51" s="75">
        <f t="shared" si="3"/>
        <v>74</v>
      </c>
      <c r="J51" s="171">
        <f t="shared" si="4"/>
        <v>148</v>
      </c>
      <c r="K51" s="247" t="s">
        <v>335</v>
      </c>
      <c r="L51" s="259">
        <v>150</v>
      </c>
      <c r="M51" s="217">
        <v>150</v>
      </c>
      <c r="N51" s="218"/>
      <c r="O51" s="218"/>
      <c r="P51" s="74">
        <v>1</v>
      </c>
      <c r="Q51" s="67">
        <f t="shared" si="5"/>
        <v>38</v>
      </c>
      <c r="R51" s="74">
        <v>1</v>
      </c>
      <c r="S51" s="75">
        <f t="shared" si="8"/>
        <v>38</v>
      </c>
      <c r="T51" s="74">
        <v>1</v>
      </c>
      <c r="U51" s="75">
        <f t="shared" si="6"/>
        <v>38</v>
      </c>
      <c r="V51" s="161">
        <f t="shared" si="7"/>
        <v>114</v>
      </c>
      <c r="W51" s="247" t="s">
        <v>335</v>
      </c>
      <c r="X51" s="268">
        <v>115</v>
      </c>
      <c r="Y51" s="227">
        <v>115</v>
      </c>
      <c r="Z51" s="227"/>
      <c r="AA51" s="227"/>
      <c r="AB51" s="197"/>
    </row>
    <row r="52" spans="1:28" s="73" customFormat="1" ht="13.5" customHeight="1">
      <c r="A52" s="67" t="s">
        <v>83</v>
      </c>
      <c r="B52" s="67">
        <v>368524</v>
      </c>
      <c r="C52" s="67" t="s">
        <v>79</v>
      </c>
      <c r="D52" s="67" t="s">
        <v>290</v>
      </c>
      <c r="E52" s="130" t="s">
        <v>149</v>
      </c>
      <c r="F52" s="74">
        <v>1</v>
      </c>
      <c r="G52" s="75">
        <f t="shared" si="2"/>
        <v>74</v>
      </c>
      <c r="H52" s="74">
        <v>1</v>
      </c>
      <c r="I52" s="75">
        <f t="shared" si="3"/>
        <v>74</v>
      </c>
      <c r="J52" s="171">
        <f t="shared" si="4"/>
        <v>148</v>
      </c>
      <c r="K52" s="247" t="s">
        <v>335</v>
      </c>
      <c r="L52" s="259">
        <v>150</v>
      </c>
      <c r="M52" s="217">
        <v>150</v>
      </c>
      <c r="N52" s="218"/>
      <c r="O52" s="218"/>
      <c r="P52" s="74">
        <v>1</v>
      </c>
      <c r="Q52" s="67">
        <f t="shared" si="5"/>
        <v>38</v>
      </c>
      <c r="R52" s="74">
        <v>1</v>
      </c>
      <c r="S52" s="75">
        <f t="shared" si="8"/>
        <v>38</v>
      </c>
      <c r="T52" s="74">
        <v>1</v>
      </c>
      <c r="U52" s="75">
        <f t="shared" si="6"/>
        <v>38</v>
      </c>
      <c r="V52" s="161">
        <f t="shared" si="7"/>
        <v>114</v>
      </c>
      <c r="W52" s="247" t="s">
        <v>335</v>
      </c>
      <c r="X52" s="268">
        <v>115</v>
      </c>
      <c r="Y52" s="227">
        <v>115</v>
      </c>
      <c r="Z52" s="227"/>
      <c r="AA52" s="227"/>
      <c r="AB52" s="197"/>
    </row>
    <row r="53" spans="1:28" s="73" customFormat="1" ht="13.5" customHeight="1">
      <c r="A53" s="67" t="s">
        <v>79</v>
      </c>
      <c r="B53" s="67">
        <v>368525</v>
      </c>
      <c r="C53" s="67" t="s">
        <v>88</v>
      </c>
      <c r="D53" s="67" t="s">
        <v>290</v>
      </c>
      <c r="E53" s="130" t="s">
        <v>150</v>
      </c>
      <c r="F53" s="74">
        <v>4</v>
      </c>
      <c r="G53" s="75">
        <f t="shared" si="2"/>
        <v>296</v>
      </c>
      <c r="H53" s="74">
        <v>4</v>
      </c>
      <c r="I53" s="75">
        <f t="shared" si="3"/>
        <v>296</v>
      </c>
      <c r="J53" s="171">
        <f t="shared" si="4"/>
        <v>592</v>
      </c>
      <c r="K53" s="247" t="s">
        <v>560</v>
      </c>
      <c r="L53" s="259" t="s">
        <v>559</v>
      </c>
      <c r="M53" s="217">
        <v>600</v>
      </c>
      <c r="N53" s="218"/>
      <c r="O53" s="218"/>
      <c r="P53" s="74">
        <v>4</v>
      </c>
      <c r="Q53" s="67">
        <f t="shared" si="5"/>
        <v>152</v>
      </c>
      <c r="R53" s="74">
        <v>4</v>
      </c>
      <c r="S53" s="75">
        <f t="shared" si="8"/>
        <v>152</v>
      </c>
      <c r="T53" s="74">
        <v>4</v>
      </c>
      <c r="U53" s="75">
        <f t="shared" si="6"/>
        <v>152</v>
      </c>
      <c r="V53" s="161">
        <f t="shared" si="7"/>
        <v>456</v>
      </c>
      <c r="W53" s="247" t="s">
        <v>339</v>
      </c>
      <c r="X53" s="268" t="s">
        <v>559</v>
      </c>
      <c r="Y53" s="227">
        <v>500</v>
      </c>
      <c r="Z53" s="227"/>
      <c r="AA53" s="227"/>
      <c r="AB53" s="197"/>
    </row>
    <row r="54" spans="1:28" s="73" customFormat="1" ht="13.5" customHeight="1">
      <c r="A54" s="67" t="s">
        <v>79</v>
      </c>
      <c r="B54" s="67">
        <v>368526</v>
      </c>
      <c r="C54" s="67" t="s">
        <v>79</v>
      </c>
      <c r="D54" s="67" t="s">
        <v>290</v>
      </c>
      <c r="E54" s="130" t="s">
        <v>40</v>
      </c>
      <c r="F54" s="74">
        <v>1</v>
      </c>
      <c r="G54" s="75">
        <f t="shared" si="2"/>
        <v>74</v>
      </c>
      <c r="H54" s="74">
        <v>1</v>
      </c>
      <c r="I54" s="75">
        <f t="shared" si="3"/>
        <v>74</v>
      </c>
      <c r="J54" s="171">
        <f t="shared" si="4"/>
        <v>148</v>
      </c>
      <c r="K54" s="247" t="s">
        <v>344</v>
      </c>
      <c r="L54" s="259" t="s">
        <v>366</v>
      </c>
      <c r="M54" s="217">
        <v>150</v>
      </c>
      <c r="N54" s="218"/>
      <c r="O54" s="218"/>
      <c r="P54" s="74">
        <v>1</v>
      </c>
      <c r="Q54" s="67">
        <f t="shared" si="5"/>
        <v>38</v>
      </c>
      <c r="R54" s="74">
        <v>1</v>
      </c>
      <c r="S54" s="75">
        <f t="shared" si="8"/>
        <v>38</v>
      </c>
      <c r="T54" s="74">
        <v>1</v>
      </c>
      <c r="U54" s="75">
        <f t="shared" si="6"/>
        <v>38</v>
      </c>
      <c r="V54" s="161">
        <f t="shared" si="7"/>
        <v>114</v>
      </c>
      <c r="W54" s="247" t="s">
        <v>344</v>
      </c>
      <c r="X54" s="268" t="s">
        <v>379</v>
      </c>
      <c r="Y54" s="227">
        <v>120</v>
      </c>
      <c r="Z54" s="227"/>
      <c r="AA54" s="227"/>
      <c r="AB54" s="197"/>
    </row>
    <row r="55" spans="1:28" s="73" customFormat="1" ht="13.5" customHeight="1">
      <c r="A55" s="67" t="s">
        <v>83</v>
      </c>
      <c r="B55" s="67">
        <v>368529</v>
      </c>
      <c r="C55" s="67" t="s">
        <v>83</v>
      </c>
      <c r="D55" s="67" t="s">
        <v>290</v>
      </c>
      <c r="E55" s="130" t="s">
        <v>45</v>
      </c>
      <c r="F55" s="74">
        <v>1</v>
      </c>
      <c r="G55" s="75">
        <f t="shared" si="2"/>
        <v>74</v>
      </c>
      <c r="H55" s="74">
        <v>1</v>
      </c>
      <c r="I55" s="75">
        <f t="shared" si="3"/>
        <v>74</v>
      </c>
      <c r="J55" s="171">
        <f t="shared" si="4"/>
        <v>148</v>
      </c>
      <c r="K55" s="247" t="s">
        <v>335</v>
      </c>
      <c r="L55" s="259">
        <v>150</v>
      </c>
      <c r="M55" s="217">
        <v>150</v>
      </c>
      <c r="N55" s="218"/>
      <c r="O55" s="218"/>
      <c r="P55" s="74">
        <v>1</v>
      </c>
      <c r="Q55" s="67">
        <f t="shared" si="5"/>
        <v>38</v>
      </c>
      <c r="R55" s="74">
        <v>1</v>
      </c>
      <c r="S55" s="75">
        <f t="shared" si="8"/>
        <v>38</v>
      </c>
      <c r="T55" s="74">
        <v>1</v>
      </c>
      <c r="U55" s="75">
        <f t="shared" si="6"/>
        <v>38</v>
      </c>
      <c r="V55" s="161">
        <f t="shared" si="7"/>
        <v>114</v>
      </c>
      <c r="W55" s="247" t="s">
        <v>335</v>
      </c>
      <c r="X55" s="268">
        <v>115</v>
      </c>
      <c r="Y55" s="227">
        <v>115</v>
      </c>
      <c r="Z55" s="227"/>
      <c r="AA55" s="227"/>
      <c r="AB55" s="197"/>
    </row>
    <row r="56" spans="1:28" s="73" customFormat="1" ht="13.5" customHeight="1">
      <c r="A56" s="67" t="s">
        <v>83</v>
      </c>
      <c r="B56" s="67">
        <v>368530</v>
      </c>
      <c r="C56" s="67" t="s">
        <v>88</v>
      </c>
      <c r="D56" s="67" t="s">
        <v>290</v>
      </c>
      <c r="E56" s="130" t="s">
        <v>387</v>
      </c>
      <c r="F56" s="74">
        <v>1</v>
      </c>
      <c r="G56" s="75">
        <f t="shared" si="2"/>
        <v>74</v>
      </c>
      <c r="H56" s="74">
        <v>1</v>
      </c>
      <c r="I56" s="75">
        <f t="shared" si="3"/>
        <v>74</v>
      </c>
      <c r="J56" s="171">
        <f t="shared" si="4"/>
        <v>148</v>
      </c>
      <c r="K56" s="247" t="s">
        <v>335</v>
      </c>
      <c r="L56" s="298">
        <v>150</v>
      </c>
      <c r="M56" s="299">
        <v>150</v>
      </c>
      <c r="N56" s="300"/>
      <c r="O56" s="300"/>
      <c r="P56" s="74">
        <v>1</v>
      </c>
      <c r="Q56" s="67">
        <f t="shared" si="5"/>
        <v>38</v>
      </c>
      <c r="R56" s="74">
        <v>1</v>
      </c>
      <c r="S56" s="75">
        <f t="shared" si="8"/>
        <v>38</v>
      </c>
      <c r="T56" s="74">
        <v>1</v>
      </c>
      <c r="U56" s="75">
        <f t="shared" si="6"/>
        <v>38</v>
      </c>
      <c r="V56" s="161">
        <f t="shared" si="7"/>
        <v>114</v>
      </c>
      <c r="W56" s="247" t="s">
        <v>335</v>
      </c>
      <c r="X56" s="301">
        <v>115</v>
      </c>
      <c r="Y56" s="274">
        <v>115</v>
      </c>
      <c r="Z56" s="274"/>
      <c r="AA56" s="274"/>
      <c r="AB56" s="197"/>
    </row>
    <row r="57" spans="1:28" s="358" customFormat="1" ht="13.5" customHeight="1">
      <c r="A57" s="349" t="s">
        <v>79</v>
      </c>
      <c r="B57" s="349">
        <v>368671</v>
      </c>
      <c r="C57" s="349" t="s">
        <v>88</v>
      </c>
      <c r="D57" s="350" t="s">
        <v>290</v>
      </c>
      <c r="E57" s="351" t="s">
        <v>192</v>
      </c>
      <c r="F57" s="352">
        <v>0.02</v>
      </c>
      <c r="G57" s="352">
        <f t="shared" si="2"/>
        <v>1.48</v>
      </c>
      <c r="H57" s="352">
        <v>0.02</v>
      </c>
      <c r="I57" s="352">
        <f t="shared" si="3"/>
        <v>1.48</v>
      </c>
      <c r="J57" s="352">
        <f t="shared" si="4"/>
        <v>2.96</v>
      </c>
      <c r="K57" s="353" t="s">
        <v>118</v>
      </c>
      <c r="L57" s="354" t="s">
        <v>568</v>
      </c>
      <c r="M57" s="355">
        <v>2</v>
      </c>
      <c r="N57" s="355"/>
      <c r="O57" s="355">
        <v>1</v>
      </c>
      <c r="P57" s="352">
        <v>0.025</v>
      </c>
      <c r="Q57" s="352">
        <f t="shared" si="5"/>
        <v>0.9500000000000001</v>
      </c>
      <c r="R57" s="352">
        <v>0.025</v>
      </c>
      <c r="S57" s="352">
        <f t="shared" si="8"/>
        <v>0.9500000000000001</v>
      </c>
      <c r="T57" s="352">
        <v>0.025</v>
      </c>
      <c r="U57" s="352">
        <f t="shared" si="6"/>
        <v>0.9500000000000001</v>
      </c>
      <c r="V57" s="352">
        <f t="shared" si="7"/>
        <v>2.85</v>
      </c>
      <c r="W57" s="356" t="s">
        <v>118</v>
      </c>
      <c r="X57" s="396">
        <v>3</v>
      </c>
      <c r="Y57" s="357">
        <v>2</v>
      </c>
      <c r="Z57" s="357"/>
      <c r="AA57" s="357">
        <v>1</v>
      </c>
      <c r="AB57" s="358" t="s">
        <v>94</v>
      </c>
    </row>
    <row r="58" spans="1:28" s="358" customFormat="1" ht="13.5" customHeight="1">
      <c r="A58" s="350" t="s">
        <v>79</v>
      </c>
      <c r="B58" s="350">
        <v>368674</v>
      </c>
      <c r="C58" s="350" t="s">
        <v>88</v>
      </c>
      <c r="D58" s="350" t="s">
        <v>290</v>
      </c>
      <c r="E58" s="351" t="s">
        <v>38</v>
      </c>
      <c r="F58" s="359">
        <v>0.0135</v>
      </c>
      <c r="G58" s="352">
        <f t="shared" si="2"/>
        <v>0.999</v>
      </c>
      <c r="H58" s="359">
        <v>0.0135</v>
      </c>
      <c r="I58" s="352">
        <f t="shared" si="3"/>
        <v>0.999</v>
      </c>
      <c r="J58" s="352">
        <f t="shared" si="4"/>
        <v>1.998</v>
      </c>
      <c r="K58" s="353" t="s">
        <v>118</v>
      </c>
      <c r="L58" s="354" t="s">
        <v>390</v>
      </c>
      <c r="M58" s="355">
        <v>2</v>
      </c>
      <c r="N58" s="355"/>
      <c r="O58" s="355"/>
      <c r="P58" s="359">
        <v>0.017</v>
      </c>
      <c r="Q58" s="349">
        <f t="shared" si="5"/>
        <v>0.646</v>
      </c>
      <c r="R58" s="359">
        <v>0.017</v>
      </c>
      <c r="S58" s="352">
        <f t="shared" si="8"/>
        <v>0.646</v>
      </c>
      <c r="T58" s="359">
        <v>0.017</v>
      </c>
      <c r="U58" s="352">
        <f t="shared" si="6"/>
        <v>0.646</v>
      </c>
      <c r="V58" s="352">
        <f t="shared" si="7"/>
        <v>1.9380000000000002</v>
      </c>
      <c r="W58" s="356" t="s">
        <v>118</v>
      </c>
      <c r="X58" s="396">
        <v>2</v>
      </c>
      <c r="Y58" s="357">
        <f>V58</f>
        <v>1.9380000000000002</v>
      </c>
      <c r="Z58" s="357"/>
      <c r="AA58" s="357"/>
      <c r="AB58" s="358" t="s">
        <v>94</v>
      </c>
    </row>
    <row r="59" spans="1:28" s="452" customFormat="1" ht="13.5" customHeight="1">
      <c r="A59" s="154" t="s">
        <v>79</v>
      </c>
      <c r="B59" s="154">
        <v>368677</v>
      </c>
      <c r="C59" s="154" t="s">
        <v>88</v>
      </c>
      <c r="D59" s="154" t="s">
        <v>290</v>
      </c>
      <c r="E59" s="440" t="s">
        <v>588</v>
      </c>
      <c r="F59" s="441">
        <f>1/40</f>
        <v>0.025</v>
      </c>
      <c r="G59" s="442">
        <v>2</v>
      </c>
      <c r="H59" s="441">
        <f>1/40</f>
        <v>0.025</v>
      </c>
      <c r="I59" s="442">
        <v>2</v>
      </c>
      <c r="J59" s="443">
        <v>4</v>
      </c>
      <c r="K59" s="290" t="s">
        <v>118</v>
      </c>
      <c r="L59" s="444" t="s">
        <v>589</v>
      </c>
      <c r="M59" s="445">
        <v>2</v>
      </c>
      <c r="N59" s="445"/>
      <c r="O59" s="445">
        <v>2</v>
      </c>
      <c r="P59" s="441">
        <f>1/40</f>
        <v>0.025</v>
      </c>
      <c r="Q59" s="446">
        <v>1</v>
      </c>
      <c r="R59" s="441">
        <f>1/40</f>
        <v>0.025</v>
      </c>
      <c r="S59" s="442">
        <v>1</v>
      </c>
      <c r="T59" s="447">
        <f>1/40</f>
        <v>0.025</v>
      </c>
      <c r="U59" s="442">
        <v>1</v>
      </c>
      <c r="V59" s="448">
        <v>3</v>
      </c>
      <c r="W59" s="290" t="s">
        <v>118</v>
      </c>
      <c r="X59" s="449" t="s">
        <v>568</v>
      </c>
      <c r="Y59" s="450">
        <v>1</v>
      </c>
      <c r="Z59" s="450">
        <v>1</v>
      </c>
      <c r="AA59" s="450">
        <v>1</v>
      </c>
      <c r="AB59" s="451" t="s">
        <v>94</v>
      </c>
    </row>
    <row r="60" spans="1:28" s="81" customFormat="1" ht="27" customHeight="1">
      <c r="A60" s="62" t="s">
        <v>196</v>
      </c>
      <c r="B60" s="62">
        <v>368125</v>
      </c>
      <c r="C60" s="62" t="s">
        <v>156</v>
      </c>
      <c r="D60" s="62" t="s">
        <v>291</v>
      </c>
      <c r="E60" s="132" t="s">
        <v>201</v>
      </c>
      <c r="F60" s="62">
        <v>3</v>
      </c>
      <c r="G60" s="82">
        <f>F60*G$5</f>
        <v>216</v>
      </c>
      <c r="H60" s="111">
        <v>0</v>
      </c>
      <c r="I60" s="112">
        <f aca="true" t="shared" si="9" ref="I60:I67">H60*I$5</f>
        <v>0</v>
      </c>
      <c r="J60" s="172">
        <f>G60+I60</f>
        <v>216</v>
      </c>
      <c r="K60" s="249" t="s">
        <v>121</v>
      </c>
      <c r="L60" s="260">
        <f>J60</f>
        <v>216</v>
      </c>
      <c r="M60" s="218">
        <v>216</v>
      </c>
      <c r="N60" s="218"/>
      <c r="O60" s="218"/>
      <c r="P60" s="114">
        <v>0</v>
      </c>
      <c r="Q60" s="114">
        <f aca="true" t="shared" si="10" ref="Q60:Q68">P60*Q$5</f>
        <v>0</v>
      </c>
      <c r="R60" s="114">
        <v>0</v>
      </c>
      <c r="S60" s="112">
        <f aca="true" t="shared" si="11" ref="S60:S103">R60*S$5</f>
        <v>0</v>
      </c>
      <c r="T60" s="122">
        <v>0</v>
      </c>
      <c r="U60" s="112">
        <f aca="true" t="shared" si="12" ref="U60:U103">T60*U$5</f>
        <v>0</v>
      </c>
      <c r="V60" s="178">
        <f aca="true" t="shared" si="13" ref="V60:V91">Q60+S60+U60</f>
        <v>0</v>
      </c>
      <c r="W60" s="309"/>
      <c r="X60" s="281"/>
      <c r="Y60" s="282"/>
      <c r="Z60" s="228"/>
      <c r="AA60" s="228"/>
      <c r="AB60" s="199" t="s">
        <v>94</v>
      </c>
    </row>
    <row r="61" spans="1:28" s="81" customFormat="1" ht="13.5" customHeight="1">
      <c r="A61" s="62" t="s">
        <v>196</v>
      </c>
      <c r="B61" s="62">
        <v>368126</v>
      </c>
      <c r="C61" s="62" t="s">
        <v>83</v>
      </c>
      <c r="D61" s="62" t="s">
        <v>291</v>
      </c>
      <c r="E61" s="132" t="s">
        <v>202</v>
      </c>
      <c r="F61" s="62">
        <v>1</v>
      </c>
      <c r="G61" s="82">
        <f>F61*G$5</f>
        <v>72</v>
      </c>
      <c r="H61" s="111">
        <v>0</v>
      </c>
      <c r="I61" s="112">
        <f t="shared" si="9"/>
        <v>0</v>
      </c>
      <c r="J61" s="172">
        <f aca="true" t="shared" si="14" ref="J61:J99">G61+I61</f>
        <v>72</v>
      </c>
      <c r="K61" s="249" t="s">
        <v>121</v>
      </c>
      <c r="L61" s="260">
        <f>J61</f>
        <v>72</v>
      </c>
      <c r="M61" s="218">
        <v>72</v>
      </c>
      <c r="N61" s="218"/>
      <c r="O61" s="218"/>
      <c r="P61" s="114">
        <v>0</v>
      </c>
      <c r="Q61" s="114">
        <f t="shared" si="10"/>
        <v>0</v>
      </c>
      <c r="R61" s="114">
        <v>0</v>
      </c>
      <c r="S61" s="112">
        <f t="shared" si="11"/>
        <v>0</v>
      </c>
      <c r="T61" s="122">
        <v>0</v>
      </c>
      <c r="U61" s="112">
        <f t="shared" si="12"/>
        <v>0</v>
      </c>
      <c r="V61" s="178">
        <f t="shared" si="13"/>
        <v>0</v>
      </c>
      <c r="W61" s="309"/>
      <c r="X61" s="281"/>
      <c r="Y61" s="282"/>
      <c r="Z61" s="228"/>
      <c r="AA61" s="228"/>
      <c r="AB61" s="199" t="s">
        <v>94</v>
      </c>
    </row>
    <row r="62" spans="1:28" s="81" customFormat="1" ht="13.5" customHeight="1">
      <c r="A62" s="62" t="s">
        <v>196</v>
      </c>
      <c r="B62" s="62">
        <v>368127</v>
      </c>
      <c r="C62" s="62" t="s">
        <v>79</v>
      </c>
      <c r="D62" s="62" t="s">
        <v>291</v>
      </c>
      <c r="E62" s="132" t="s">
        <v>203</v>
      </c>
      <c r="F62" s="62">
        <v>2</v>
      </c>
      <c r="G62" s="82">
        <f>F62*G$5</f>
        <v>144</v>
      </c>
      <c r="H62" s="111">
        <v>0</v>
      </c>
      <c r="I62" s="112">
        <f t="shared" si="9"/>
        <v>0</v>
      </c>
      <c r="J62" s="172">
        <f t="shared" si="14"/>
        <v>144</v>
      </c>
      <c r="K62" s="249" t="s">
        <v>121</v>
      </c>
      <c r="L62" s="260">
        <f>J62</f>
        <v>144</v>
      </c>
      <c r="M62" s="218">
        <v>144</v>
      </c>
      <c r="N62" s="218"/>
      <c r="O62" s="218"/>
      <c r="P62" s="114">
        <v>0</v>
      </c>
      <c r="Q62" s="114">
        <f t="shared" si="10"/>
        <v>0</v>
      </c>
      <c r="R62" s="114">
        <v>0</v>
      </c>
      <c r="S62" s="112">
        <f>R62*S$5</f>
        <v>0</v>
      </c>
      <c r="T62" s="122">
        <v>0</v>
      </c>
      <c r="U62" s="112">
        <f>T62*U$5</f>
        <v>0</v>
      </c>
      <c r="V62" s="178">
        <f t="shared" si="13"/>
        <v>0</v>
      </c>
      <c r="W62" s="309"/>
      <c r="X62" s="281"/>
      <c r="Y62" s="282"/>
      <c r="Z62" s="228"/>
      <c r="AA62" s="228"/>
      <c r="AB62" s="199" t="s">
        <v>94</v>
      </c>
    </row>
    <row r="63" spans="1:28" s="81" customFormat="1" ht="13.5" customHeight="1">
      <c r="A63" s="62" t="s">
        <v>196</v>
      </c>
      <c r="B63" s="62">
        <v>368128</v>
      </c>
      <c r="C63" s="62" t="s">
        <v>79</v>
      </c>
      <c r="D63" s="62" t="s">
        <v>291</v>
      </c>
      <c r="E63" s="132" t="s">
        <v>204</v>
      </c>
      <c r="F63" s="62">
        <v>1</v>
      </c>
      <c r="G63" s="82">
        <f>F63*G$5</f>
        <v>72</v>
      </c>
      <c r="H63" s="111">
        <v>0</v>
      </c>
      <c r="I63" s="112">
        <f t="shared" si="9"/>
        <v>0</v>
      </c>
      <c r="J63" s="172">
        <f t="shared" si="14"/>
        <v>72</v>
      </c>
      <c r="K63" s="249" t="s">
        <v>121</v>
      </c>
      <c r="L63" s="260">
        <f>J63</f>
        <v>72</v>
      </c>
      <c r="M63" s="218">
        <v>72</v>
      </c>
      <c r="N63" s="218"/>
      <c r="O63" s="218"/>
      <c r="P63" s="114">
        <v>0</v>
      </c>
      <c r="Q63" s="114">
        <f t="shared" si="10"/>
        <v>0</v>
      </c>
      <c r="R63" s="114">
        <v>0</v>
      </c>
      <c r="S63" s="112">
        <f>R63*S$5</f>
        <v>0</v>
      </c>
      <c r="T63" s="122">
        <v>0</v>
      </c>
      <c r="U63" s="112">
        <f>T63*U$5</f>
        <v>0</v>
      </c>
      <c r="V63" s="178">
        <f t="shared" si="13"/>
        <v>0</v>
      </c>
      <c r="W63" s="309"/>
      <c r="X63" s="281"/>
      <c r="Y63" s="282"/>
      <c r="Z63" s="228"/>
      <c r="AA63" s="228"/>
      <c r="AB63" s="199" t="s">
        <v>94</v>
      </c>
    </row>
    <row r="64" spans="1:28" s="69" customFormat="1" ht="13.5" customHeight="1">
      <c r="A64" s="61" t="s">
        <v>79</v>
      </c>
      <c r="B64" s="61">
        <v>368386</v>
      </c>
      <c r="C64" s="61" t="s">
        <v>79</v>
      </c>
      <c r="D64" s="61" t="s">
        <v>291</v>
      </c>
      <c r="E64" s="133" t="s">
        <v>288</v>
      </c>
      <c r="F64" s="61">
        <v>1</v>
      </c>
      <c r="G64" s="70">
        <f>F64*G$6</f>
        <v>74</v>
      </c>
      <c r="H64" s="111">
        <v>0</v>
      </c>
      <c r="I64" s="113">
        <f t="shared" si="9"/>
        <v>0</v>
      </c>
      <c r="J64" s="172">
        <f t="shared" si="14"/>
        <v>74</v>
      </c>
      <c r="K64" s="249" t="s">
        <v>335</v>
      </c>
      <c r="L64" s="304" t="s">
        <v>569</v>
      </c>
      <c r="M64" s="218">
        <f aca="true" t="shared" si="15" ref="M64:M70">J64</f>
        <v>74</v>
      </c>
      <c r="N64" s="218"/>
      <c r="O64" s="218"/>
      <c r="P64" s="110">
        <v>0</v>
      </c>
      <c r="Q64" s="110">
        <f t="shared" si="10"/>
        <v>0</v>
      </c>
      <c r="R64" s="110">
        <v>0</v>
      </c>
      <c r="S64" s="113">
        <f t="shared" si="11"/>
        <v>0</v>
      </c>
      <c r="T64" s="123">
        <v>0</v>
      </c>
      <c r="U64" s="113">
        <f t="shared" si="12"/>
        <v>0</v>
      </c>
      <c r="V64" s="179">
        <f t="shared" si="13"/>
        <v>0</v>
      </c>
      <c r="W64" s="309"/>
      <c r="X64" s="281"/>
      <c r="Y64" s="282"/>
      <c r="Z64" s="228"/>
      <c r="AA64" s="228"/>
      <c r="AB64" s="200"/>
    </row>
    <row r="65" spans="1:28" s="69" customFormat="1" ht="13.5" customHeight="1">
      <c r="A65" s="61" t="s">
        <v>83</v>
      </c>
      <c r="B65" s="61">
        <v>368388</v>
      </c>
      <c r="C65" s="61" t="s">
        <v>79</v>
      </c>
      <c r="D65" s="61" t="s">
        <v>291</v>
      </c>
      <c r="E65" s="133" t="s">
        <v>305</v>
      </c>
      <c r="F65" s="61">
        <v>6</v>
      </c>
      <c r="G65" s="70">
        <f aca="true" t="shared" si="16" ref="G65:G70">F65*$G$6</f>
        <v>444</v>
      </c>
      <c r="H65" s="111">
        <v>0</v>
      </c>
      <c r="I65" s="113">
        <f t="shared" si="9"/>
        <v>0</v>
      </c>
      <c r="J65" s="172">
        <f t="shared" si="14"/>
        <v>444</v>
      </c>
      <c r="K65" s="249" t="s">
        <v>335</v>
      </c>
      <c r="L65" s="304">
        <v>444</v>
      </c>
      <c r="M65" s="218">
        <f t="shared" si="15"/>
        <v>444</v>
      </c>
      <c r="N65" s="218"/>
      <c r="O65" s="218"/>
      <c r="P65" s="110">
        <v>0</v>
      </c>
      <c r="Q65" s="110">
        <f t="shared" si="10"/>
        <v>0</v>
      </c>
      <c r="R65" s="110">
        <v>0</v>
      </c>
      <c r="S65" s="113">
        <f t="shared" si="11"/>
        <v>0</v>
      </c>
      <c r="T65" s="123">
        <v>0</v>
      </c>
      <c r="U65" s="113">
        <f t="shared" si="12"/>
        <v>0</v>
      </c>
      <c r="V65" s="179">
        <f t="shared" si="13"/>
        <v>0</v>
      </c>
      <c r="W65" s="309"/>
      <c r="X65" s="281"/>
      <c r="Y65" s="282"/>
      <c r="Z65" s="228"/>
      <c r="AA65" s="228"/>
      <c r="AB65" s="200"/>
    </row>
    <row r="66" spans="1:28" s="69" customFormat="1" ht="13.5" customHeight="1">
      <c r="A66" s="61" t="s">
        <v>83</v>
      </c>
      <c r="B66" s="61">
        <v>368390</v>
      </c>
      <c r="C66" s="61" t="s">
        <v>79</v>
      </c>
      <c r="D66" s="61" t="s">
        <v>291</v>
      </c>
      <c r="E66" s="133" t="s">
        <v>308</v>
      </c>
      <c r="F66" s="61">
        <v>6</v>
      </c>
      <c r="G66" s="70">
        <f t="shared" si="16"/>
        <v>444</v>
      </c>
      <c r="H66" s="111">
        <v>0</v>
      </c>
      <c r="I66" s="113">
        <f t="shared" si="9"/>
        <v>0</v>
      </c>
      <c r="J66" s="172">
        <f t="shared" si="14"/>
        <v>444</v>
      </c>
      <c r="K66" s="249" t="s">
        <v>335</v>
      </c>
      <c r="L66" s="304">
        <v>444</v>
      </c>
      <c r="M66" s="218">
        <f t="shared" si="15"/>
        <v>444</v>
      </c>
      <c r="N66" s="218"/>
      <c r="O66" s="218"/>
      <c r="P66" s="110">
        <v>0</v>
      </c>
      <c r="Q66" s="110">
        <f t="shared" si="10"/>
        <v>0</v>
      </c>
      <c r="R66" s="110">
        <v>0</v>
      </c>
      <c r="S66" s="113">
        <f t="shared" si="11"/>
        <v>0</v>
      </c>
      <c r="T66" s="123">
        <v>0</v>
      </c>
      <c r="U66" s="113">
        <f t="shared" si="12"/>
        <v>0</v>
      </c>
      <c r="V66" s="179">
        <f t="shared" si="13"/>
        <v>0</v>
      </c>
      <c r="W66" s="309"/>
      <c r="X66" s="281"/>
      <c r="Y66" s="282"/>
      <c r="Z66" s="228"/>
      <c r="AA66" s="228"/>
      <c r="AB66" s="200"/>
    </row>
    <row r="67" spans="1:28" s="69" customFormat="1" ht="13.5" customHeight="1">
      <c r="A67" s="61" t="s">
        <v>83</v>
      </c>
      <c r="B67" s="61">
        <v>368392</v>
      </c>
      <c r="C67" s="61" t="s">
        <v>79</v>
      </c>
      <c r="D67" s="61" t="s">
        <v>291</v>
      </c>
      <c r="E67" s="133" t="s">
        <v>303</v>
      </c>
      <c r="F67" s="61">
        <v>6</v>
      </c>
      <c r="G67" s="70">
        <f t="shared" si="16"/>
        <v>444</v>
      </c>
      <c r="H67" s="111">
        <v>0</v>
      </c>
      <c r="I67" s="113">
        <f t="shared" si="9"/>
        <v>0</v>
      </c>
      <c r="J67" s="172">
        <f t="shared" si="14"/>
        <v>444</v>
      </c>
      <c r="K67" s="249" t="s">
        <v>335</v>
      </c>
      <c r="L67" s="304">
        <v>444</v>
      </c>
      <c r="M67" s="218">
        <f t="shared" si="15"/>
        <v>444</v>
      </c>
      <c r="N67" s="218"/>
      <c r="O67" s="218"/>
      <c r="P67" s="110">
        <v>0</v>
      </c>
      <c r="Q67" s="110">
        <f t="shared" si="10"/>
        <v>0</v>
      </c>
      <c r="R67" s="110">
        <v>0</v>
      </c>
      <c r="S67" s="113">
        <f t="shared" si="11"/>
        <v>0</v>
      </c>
      <c r="T67" s="123">
        <v>0</v>
      </c>
      <c r="U67" s="113">
        <f t="shared" si="12"/>
        <v>0</v>
      </c>
      <c r="V67" s="179">
        <f t="shared" si="13"/>
        <v>0</v>
      </c>
      <c r="W67" s="309"/>
      <c r="X67" s="281"/>
      <c r="Y67" s="282"/>
      <c r="Z67" s="228"/>
      <c r="AA67" s="228"/>
      <c r="AB67" s="200"/>
    </row>
    <row r="68" spans="1:28" s="69" customFormat="1" ht="13.5" customHeight="1">
      <c r="A68" s="61" t="s">
        <v>83</v>
      </c>
      <c r="B68" s="61">
        <v>368394</v>
      </c>
      <c r="C68" s="61" t="s">
        <v>79</v>
      </c>
      <c r="D68" s="61" t="s">
        <v>291</v>
      </c>
      <c r="E68" s="133" t="s">
        <v>306</v>
      </c>
      <c r="F68" s="61">
        <v>6</v>
      </c>
      <c r="G68" s="70">
        <f t="shared" si="16"/>
        <v>444</v>
      </c>
      <c r="H68" s="111">
        <v>0</v>
      </c>
      <c r="I68" s="113">
        <f aca="true" t="shared" si="17" ref="I68:I85">H68*I$5</f>
        <v>0</v>
      </c>
      <c r="J68" s="172">
        <f t="shared" si="14"/>
        <v>444</v>
      </c>
      <c r="K68" s="249" t="s">
        <v>335</v>
      </c>
      <c r="L68" s="304">
        <v>444</v>
      </c>
      <c r="M68" s="218">
        <f t="shared" si="15"/>
        <v>444</v>
      </c>
      <c r="N68" s="218"/>
      <c r="O68" s="218"/>
      <c r="P68" s="110">
        <v>0</v>
      </c>
      <c r="Q68" s="110">
        <f t="shared" si="10"/>
        <v>0</v>
      </c>
      <c r="R68" s="110">
        <v>0</v>
      </c>
      <c r="S68" s="113">
        <f t="shared" si="11"/>
        <v>0</v>
      </c>
      <c r="T68" s="123">
        <v>0</v>
      </c>
      <c r="U68" s="113">
        <f t="shared" si="12"/>
        <v>0</v>
      </c>
      <c r="V68" s="179">
        <f t="shared" si="13"/>
        <v>0</v>
      </c>
      <c r="W68" s="309"/>
      <c r="X68" s="281"/>
      <c r="Y68" s="282"/>
      <c r="Z68" s="228"/>
      <c r="AA68" s="228"/>
      <c r="AB68" s="200"/>
    </row>
    <row r="69" spans="1:28" s="69" customFormat="1" ht="13.5" customHeight="1">
      <c r="A69" s="61" t="s">
        <v>83</v>
      </c>
      <c r="B69" s="61">
        <v>368396</v>
      </c>
      <c r="C69" s="61" t="s">
        <v>79</v>
      </c>
      <c r="D69" s="61" t="s">
        <v>291</v>
      </c>
      <c r="E69" s="133" t="s">
        <v>304</v>
      </c>
      <c r="F69" s="61">
        <v>6</v>
      </c>
      <c r="G69" s="70">
        <f t="shared" si="16"/>
        <v>444</v>
      </c>
      <c r="H69" s="111">
        <v>0</v>
      </c>
      <c r="I69" s="113">
        <f t="shared" si="17"/>
        <v>0</v>
      </c>
      <c r="J69" s="172">
        <f t="shared" si="14"/>
        <v>444</v>
      </c>
      <c r="K69" s="249" t="s">
        <v>335</v>
      </c>
      <c r="L69" s="304">
        <v>444</v>
      </c>
      <c r="M69" s="218">
        <f t="shared" si="15"/>
        <v>444</v>
      </c>
      <c r="N69" s="218"/>
      <c r="O69" s="218"/>
      <c r="P69" s="110">
        <v>0</v>
      </c>
      <c r="Q69" s="110">
        <f aca="true" t="shared" si="18" ref="Q69:Q99">P69*Q$5</f>
        <v>0</v>
      </c>
      <c r="R69" s="110">
        <v>0</v>
      </c>
      <c r="S69" s="113">
        <f>R69*S$5</f>
        <v>0</v>
      </c>
      <c r="T69" s="123">
        <v>0</v>
      </c>
      <c r="U69" s="113">
        <f>T69*U$5</f>
        <v>0</v>
      </c>
      <c r="V69" s="179">
        <f t="shared" si="13"/>
        <v>0</v>
      </c>
      <c r="W69" s="309"/>
      <c r="X69" s="281"/>
      <c r="Y69" s="282"/>
      <c r="Z69" s="228"/>
      <c r="AA69" s="228"/>
      <c r="AB69" s="200"/>
    </row>
    <row r="70" spans="1:28" s="69" customFormat="1" ht="13.5" customHeight="1">
      <c r="A70" s="61" t="s">
        <v>83</v>
      </c>
      <c r="B70" s="61">
        <v>368398</v>
      </c>
      <c r="C70" s="61" t="s">
        <v>79</v>
      </c>
      <c r="D70" s="61" t="s">
        <v>291</v>
      </c>
      <c r="E70" s="133" t="s">
        <v>307</v>
      </c>
      <c r="F70" s="61">
        <v>6</v>
      </c>
      <c r="G70" s="70">
        <f t="shared" si="16"/>
        <v>444</v>
      </c>
      <c r="H70" s="111">
        <v>0</v>
      </c>
      <c r="I70" s="113">
        <f t="shared" si="17"/>
        <v>0</v>
      </c>
      <c r="J70" s="172">
        <f t="shared" si="14"/>
        <v>444</v>
      </c>
      <c r="K70" s="249" t="s">
        <v>335</v>
      </c>
      <c r="L70" s="304">
        <v>444</v>
      </c>
      <c r="M70" s="218">
        <f t="shared" si="15"/>
        <v>444</v>
      </c>
      <c r="N70" s="218"/>
      <c r="O70" s="218"/>
      <c r="P70" s="110">
        <v>0</v>
      </c>
      <c r="Q70" s="110">
        <f t="shared" si="18"/>
        <v>0</v>
      </c>
      <c r="R70" s="110">
        <v>0</v>
      </c>
      <c r="S70" s="113">
        <f t="shared" si="11"/>
        <v>0</v>
      </c>
      <c r="T70" s="123">
        <v>0</v>
      </c>
      <c r="U70" s="113">
        <f>T70*U$5</f>
        <v>0</v>
      </c>
      <c r="V70" s="179">
        <f t="shared" si="13"/>
        <v>0</v>
      </c>
      <c r="W70" s="309"/>
      <c r="X70" s="281"/>
      <c r="Y70" s="282"/>
      <c r="Z70" s="228"/>
      <c r="AA70" s="228"/>
      <c r="AB70" s="200"/>
    </row>
    <row r="71" spans="1:28" s="69" customFormat="1" ht="11.25" customHeight="1">
      <c r="A71" s="61" t="s">
        <v>156</v>
      </c>
      <c r="B71" s="61">
        <v>368400</v>
      </c>
      <c r="C71" s="61" t="s">
        <v>83</v>
      </c>
      <c r="D71" s="61" t="s">
        <v>291</v>
      </c>
      <c r="E71" s="133" t="s">
        <v>238</v>
      </c>
      <c r="F71" s="61">
        <v>6</v>
      </c>
      <c r="G71" s="70">
        <f t="shared" si="2"/>
        <v>444</v>
      </c>
      <c r="H71" s="111">
        <v>0</v>
      </c>
      <c r="I71" s="113">
        <f t="shared" si="17"/>
        <v>0</v>
      </c>
      <c r="J71" s="172">
        <f t="shared" si="14"/>
        <v>444</v>
      </c>
      <c r="K71" s="249" t="s">
        <v>335</v>
      </c>
      <c r="L71" s="304">
        <v>444</v>
      </c>
      <c r="M71" s="218">
        <f aca="true" t="shared" si="19" ref="M71:M79">J71</f>
        <v>444</v>
      </c>
      <c r="N71" s="218"/>
      <c r="O71" s="218"/>
      <c r="P71" s="110">
        <v>0</v>
      </c>
      <c r="Q71" s="110">
        <f t="shared" si="18"/>
        <v>0</v>
      </c>
      <c r="R71" s="110">
        <v>0</v>
      </c>
      <c r="S71" s="113">
        <f>R71*S$5</f>
        <v>0</v>
      </c>
      <c r="T71" s="123">
        <v>0</v>
      </c>
      <c r="U71" s="113">
        <f>T71*U$5</f>
        <v>0</v>
      </c>
      <c r="V71" s="179">
        <f t="shared" si="13"/>
        <v>0</v>
      </c>
      <c r="W71" s="309"/>
      <c r="X71" s="281"/>
      <c r="Y71" s="282"/>
      <c r="Z71" s="228"/>
      <c r="AA71" s="228"/>
      <c r="AB71" s="200"/>
    </row>
    <row r="72" spans="1:28" s="69" customFormat="1" ht="13.5" customHeight="1">
      <c r="A72" s="61" t="s">
        <v>156</v>
      </c>
      <c r="B72" s="61">
        <v>368401</v>
      </c>
      <c r="C72" s="61" t="s">
        <v>157</v>
      </c>
      <c r="D72" s="61" t="s">
        <v>291</v>
      </c>
      <c r="E72" s="133" t="s">
        <v>239</v>
      </c>
      <c r="F72" s="61">
        <v>2</v>
      </c>
      <c r="G72" s="70">
        <f t="shared" si="2"/>
        <v>148</v>
      </c>
      <c r="H72" s="110">
        <v>0</v>
      </c>
      <c r="I72" s="113">
        <f t="shared" si="17"/>
        <v>0</v>
      </c>
      <c r="J72" s="172">
        <f t="shared" si="14"/>
        <v>148</v>
      </c>
      <c r="K72" s="249" t="s">
        <v>335</v>
      </c>
      <c r="L72" s="304">
        <v>148</v>
      </c>
      <c r="M72" s="218">
        <f t="shared" si="19"/>
        <v>148</v>
      </c>
      <c r="N72" s="218"/>
      <c r="O72" s="218"/>
      <c r="P72" s="110">
        <v>0</v>
      </c>
      <c r="Q72" s="110">
        <f t="shared" si="18"/>
        <v>0</v>
      </c>
      <c r="R72" s="110">
        <v>0</v>
      </c>
      <c r="S72" s="113">
        <f>R72*S$5</f>
        <v>0</v>
      </c>
      <c r="T72" s="123">
        <v>0</v>
      </c>
      <c r="U72" s="113">
        <f>T72*U$5</f>
        <v>0</v>
      </c>
      <c r="V72" s="179">
        <f t="shared" si="13"/>
        <v>0</v>
      </c>
      <c r="W72" s="309"/>
      <c r="X72" s="281"/>
      <c r="Y72" s="282"/>
      <c r="Z72" s="228"/>
      <c r="AA72" s="228"/>
      <c r="AB72" s="200"/>
    </row>
    <row r="73" spans="1:28" s="69" customFormat="1" ht="13.5" customHeight="1">
      <c r="A73" s="61" t="s">
        <v>156</v>
      </c>
      <c r="B73" s="61">
        <v>368402</v>
      </c>
      <c r="C73" s="61" t="s">
        <v>83</v>
      </c>
      <c r="D73" s="61" t="s">
        <v>291</v>
      </c>
      <c r="E73" s="133" t="s">
        <v>240</v>
      </c>
      <c r="F73" s="61">
        <v>6</v>
      </c>
      <c r="G73" s="70">
        <f t="shared" si="2"/>
        <v>444</v>
      </c>
      <c r="H73" s="110">
        <v>0</v>
      </c>
      <c r="I73" s="113">
        <f t="shared" si="17"/>
        <v>0</v>
      </c>
      <c r="J73" s="172">
        <f t="shared" si="14"/>
        <v>444</v>
      </c>
      <c r="K73" s="249" t="s">
        <v>335</v>
      </c>
      <c r="L73" s="304">
        <v>444</v>
      </c>
      <c r="M73" s="218">
        <f t="shared" si="19"/>
        <v>444</v>
      </c>
      <c r="N73" s="218"/>
      <c r="O73" s="218"/>
      <c r="P73" s="110">
        <v>0</v>
      </c>
      <c r="Q73" s="110">
        <f t="shared" si="18"/>
        <v>0</v>
      </c>
      <c r="R73" s="110">
        <v>0</v>
      </c>
      <c r="S73" s="113">
        <f t="shared" si="11"/>
        <v>0</v>
      </c>
      <c r="T73" s="123">
        <v>0</v>
      </c>
      <c r="U73" s="113">
        <f t="shared" si="12"/>
        <v>0</v>
      </c>
      <c r="V73" s="179">
        <f t="shared" si="13"/>
        <v>0</v>
      </c>
      <c r="W73" s="309"/>
      <c r="X73" s="281"/>
      <c r="Y73" s="282"/>
      <c r="Z73" s="228"/>
      <c r="AA73" s="228"/>
      <c r="AB73" s="200"/>
    </row>
    <row r="74" spans="1:28" s="69" customFormat="1" ht="13.5" customHeight="1">
      <c r="A74" s="61" t="s">
        <v>156</v>
      </c>
      <c r="B74" s="61">
        <v>368403</v>
      </c>
      <c r="C74" s="61" t="s">
        <v>83</v>
      </c>
      <c r="D74" s="61" t="s">
        <v>291</v>
      </c>
      <c r="E74" s="133" t="s">
        <v>241</v>
      </c>
      <c r="F74" s="61">
        <v>6</v>
      </c>
      <c r="G74" s="70">
        <f t="shared" si="2"/>
        <v>444</v>
      </c>
      <c r="H74" s="110">
        <v>0</v>
      </c>
      <c r="I74" s="113">
        <f t="shared" si="17"/>
        <v>0</v>
      </c>
      <c r="J74" s="172">
        <f t="shared" si="14"/>
        <v>444</v>
      </c>
      <c r="K74" s="249" t="s">
        <v>335</v>
      </c>
      <c r="L74" s="304">
        <v>444</v>
      </c>
      <c r="M74" s="218">
        <f t="shared" si="19"/>
        <v>444</v>
      </c>
      <c r="N74" s="218"/>
      <c r="O74" s="218"/>
      <c r="P74" s="110">
        <v>0</v>
      </c>
      <c r="Q74" s="110">
        <f t="shared" si="18"/>
        <v>0</v>
      </c>
      <c r="R74" s="110">
        <v>0</v>
      </c>
      <c r="S74" s="113">
        <f t="shared" si="11"/>
        <v>0</v>
      </c>
      <c r="T74" s="123">
        <v>0</v>
      </c>
      <c r="U74" s="113">
        <f t="shared" si="12"/>
        <v>0</v>
      </c>
      <c r="V74" s="179">
        <f t="shared" si="13"/>
        <v>0</v>
      </c>
      <c r="W74" s="309"/>
      <c r="X74" s="281"/>
      <c r="Y74" s="282"/>
      <c r="Z74" s="228"/>
      <c r="AA74" s="228"/>
      <c r="AB74" s="200"/>
    </row>
    <row r="75" spans="1:28" s="69" customFormat="1" ht="13.5" customHeight="1">
      <c r="A75" s="61" t="s">
        <v>156</v>
      </c>
      <c r="B75" s="61">
        <v>368404</v>
      </c>
      <c r="C75" s="61" t="s">
        <v>157</v>
      </c>
      <c r="D75" s="61" t="s">
        <v>291</v>
      </c>
      <c r="E75" s="133" t="s">
        <v>242</v>
      </c>
      <c r="F75" s="61">
        <v>4</v>
      </c>
      <c r="G75" s="70">
        <f t="shared" si="2"/>
        <v>296</v>
      </c>
      <c r="H75" s="110">
        <v>0</v>
      </c>
      <c r="I75" s="113">
        <f t="shared" si="17"/>
        <v>0</v>
      </c>
      <c r="J75" s="172">
        <f t="shared" si="14"/>
        <v>296</v>
      </c>
      <c r="K75" s="249" t="s">
        <v>335</v>
      </c>
      <c r="L75" s="304">
        <v>296</v>
      </c>
      <c r="M75" s="218">
        <f t="shared" si="19"/>
        <v>296</v>
      </c>
      <c r="N75" s="218"/>
      <c r="O75" s="218"/>
      <c r="P75" s="110">
        <v>0</v>
      </c>
      <c r="Q75" s="110">
        <f t="shared" si="18"/>
        <v>0</v>
      </c>
      <c r="R75" s="110">
        <v>0</v>
      </c>
      <c r="S75" s="113">
        <f t="shared" si="11"/>
        <v>0</v>
      </c>
      <c r="T75" s="123">
        <v>0</v>
      </c>
      <c r="U75" s="113">
        <f t="shared" si="12"/>
        <v>0</v>
      </c>
      <c r="V75" s="179">
        <f t="shared" si="13"/>
        <v>0</v>
      </c>
      <c r="W75" s="309"/>
      <c r="X75" s="281"/>
      <c r="Y75" s="282"/>
      <c r="Z75" s="228"/>
      <c r="AA75" s="228"/>
      <c r="AB75" s="200"/>
    </row>
    <row r="76" spans="1:28" s="69" customFormat="1" ht="13.5" customHeight="1">
      <c r="A76" s="61" t="s">
        <v>79</v>
      </c>
      <c r="B76" s="61">
        <v>368405</v>
      </c>
      <c r="C76" s="61" t="s">
        <v>79</v>
      </c>
      <c r="D76" s="61" t="s">
        <v>291</v>
      </c>
      <c r="E76" s="133" t="s">
        <v>243</v>
      </c>
      <c r="F76" s="61">
        <v>4</v>
      </c>
      <c r="G76" s="70">
        <f t="shared" si="2"/>
        <v>296</v>
      </c>
      <c r="H76" s="110">
        <v>0</v>
      </c>
      <c r="I76" s="113">
        <f t="shared" si="17"/>
        <v>0</v>
      </c>
      <c r="J76" s="172">
        <f t="shared" si="14"/>
        <v>296</v>
      </c>
      <c r="K76" s="249" t="s">
        <v>335</v>
      </c>
      <c r="L76" s="304">
        <v>296</v>
      </c>
      <c r="M76" s="218">
        <f t="shared" si="19"/>
        <v>296</v>
      </c>
      <c r="N76" s="218"/>
      <c r="O76" s="218"/>
      <c r="P76" s="110">
        <v>0</v>
      </c>
      <c r="Q76" s="110">
        <f t="shared" si="18"/>
        <v>0</v>
      </c>
      <c r="R76" s="110">
        <v>0</v>
      </c>
      <c r="S76" s="113">
        <f t="shared" si="11"/>
        <v>0</v>
      </c>
      <c r="T76" s="123">
        <v>0</v>
      </c>
      <c r="U76" s="113">
        <f t="shared" si="12"/>
        <v>0</v>
      </c>
      <c r="V76" s="179">
        <f t="shared" si="13"/>
        <v>0</v>
      </c>
      <c r="W76" s="309"/>
      <c r="X76" s="281"/>
      <c r="Y76" s="282"/>
      <c r="Z76" s="228"/>
      <c r="AA76" s="228"/>
      <c r="AB76" s="200"/>
    </row>
    <row r="77" spans="1:28" s="69" customFormat="1" ht="13.5" customHeight="1">
      <c r="A77" s="61" t="s">
        <v>79</v>
      </c>
      <c r="B77" s="61">
        <v>368406</v>
      </c>
      <c r="C77" s="61" t="s">
        <v>79</v>
      </c>
      <c r="D77" s="61" t="s">
        <v>291</v>
      </c>
      <c r="E77" s="133" t="s">
        <v>244</v>
      </c>
      <c r="F77" s="61">
        <v>8</v>
      </c>
      <c r="G77" s="70">
        <f t="shared" si="2"/>
        <v>592</v>
      </c>
      <c r="H77" s="110">
        <v>0</v>
      </c>
      <c r="I77" s="113">
        <f t="shared" si="17"/>
        <v>0</v>
      </c>
      <c r="J77" s="172">
        <f t="shared" si="14"/>
        <v>592</v>
      </c>
      <c r="K77" s="249" t="s">
        <v>335</v>
      </c>
      <c r="L77" s="304">
        <v>592</v>
      </c>
      <c r="M77" s="218">
        <f t="shared" si="19"/>
        <v>592</v>
      </c>
      <c r="N77" s="218"/>
      <c r="O77" s="218"/>
      <c r="P77" s="110">
        <v>0</v>
      </c>
      <c r="Q77" s="110">
        <f t="shared" si="18"/>
        <v>0</v>
      </c>
      <c r="R77" s="110">
        <v>0</v>
      </c>
      <c r="S77" s="113">
        <f>R77*S$5</f>
        <v>0</v>
      </c>
      <c r="T77" s="123">
        <v>0</v>
      </c>
      <c r="U77" s="113">
        <f>T77*U$5</f>
        <v>0</v>
      </c>
      <c r="V77" s="179">
        <f t="shared" si="13"/>
        <v>0</v>
      </c>
      <c r="W77" s="309"/>
      <c r="X77" s="281"/>
      <c r="Y77" s="282"/>
      <c r="Z77" s="228"/>
      <c r="AA77" s="228"/>
      <c r="AB77" s="200"/>
    </row>
    <row r="78" spans="1:28" s="69" customFormat="1" ht="13.5" customHeight="1">
      <c r="A78" s="61" t="s">
        <v>83</v>
      </c>
      <c r="B78" s="61">
        <v>368420</v>
      </c>
      <c r="C78" s="61" t="s">
        <v>79</v>
      </c>
      <c r="D78" s="61" t="s">
        <v>291</v>
      </c>
      <c r="E78" s="133" t="s">
        <v>249</v>
      </c>
      <c r="F78" s="61">
        <v>1</v>
      </c>
      <c r="G78" s="70">
        <f>F78*$G$6</f>
        <v>74</v>
      </c>
      <c r="H78" s="110">
        <v>0</v>
      </c>
      <c r="I78" s="113">
        <f t="shared" si="17"/>
        <v>0</v>
      </c>
      <c r="J78" s="172">
        <f t="shared" si="14"/>
        <v>74</v>
      </c>
      <c r="K78" s="249" t="s">
        <v>335</v>
      </c>
      <c r="L78" s="304">
        <v>74</v>
      </c>
      <c r="M78" s="218">
        <f t="shared" si="19"/>
        <v>74</v>
      </c>
      <c r="N78" s="218"/>
      <c r="O78" s="218"/>
      <c r="P78" s="110">
        <v>0</v>
      </c>
      <c r="Q78" s="110">
        <f t="shared" si="18"/>
        <v>0</v>
      </c>
      <c r="R78" s="110">
        <v>0</v>
      </c>
      <c r="S78" s="113">
        <f>R78*S$5</f>
        <v>0</v>
      </c>
      <c r="T78" s="123">
        <v>0</v>
      </c>
      <c r="U78" s="113">
        <f t="shared" si="12"/>
        <v>0</v>
      </c>
      <c r="V78" s="179">
        <f t="shared" si="13"/>
        <v>0</v>
      </c>
      <c r="W78" s="309"/>
      <c r="X78" s="281"/>
      <c r="Y78" s="282"/>
      <c r="Z78" s="228"/>
      <c r="AA78" s="228"/>
      <c r="AB78" s="200"/>
    </row>
    <row r="79" spans="1:28" s="69" customFormat="1" ht="13.5" customHeight="1">
      <c r="A79" s="61" t="s">
        <v>83</v>
      </c>
      <c r="B79" s="61">
        <v>368421</v>
      </c>
      <c r="C79" s="61" t="s">
        <v>83</v>
      </c>
      <c r="D79" s="61" t="s">
        <v>291</v>
      </c>
      <c r="E79" s="133" t="s">
        <v>250</v>
      </c>
      <c r="F79" s="61">
        <v>1</v>
      </c>
      <c r="G79" s="70">
        <f>F79*$G$6</f>
        <v>74</v>
      </c>
      <c r="H79" s="110">
        <v>0</v>
      </c>
      <c r="I79" s="113">
        <f t="shared" si="17"/>
        <v>0</v>
      </c>
      <c r="J79" s="172">
        <f t="shared" si="14"/>
        <v>74</v>
      </c>
      <c r="K79" s="249" t="s">
        <v>335</v>
      </c>
      <c r="L79" s="304">
        <v>74</v>
      </c>
      <c r="M79" s="218">
        <f t="shared" si="19"/>
        <v>74</v>
      </c>
      <c r="N79" s="218"/>
      <c r="O79" s="218"/>
      <c r="P79" s="110">
        <v>0</v>
      </c>
      <c r="Q79" s="110">
        <f t="shared" si="18"/>
        <v>0</v>
      </c>
      <c r="R79" s="110">
        <v>0</v>
      </c>
      <c r="S79" s="113">
        <f t="shared" si="11"/>
        <v>0</v>
      </c>
      <c r="T79" s="123">
        <v>0</v>
      </c>
      <c r="U79" s="113">
        <f t="shared" si="12"/>
        <v>0</v>
      </c>
      <c r="V79" s="179">
        <f t="shared" si="13"/>
        <v>0</v>
      </c>
      <c r="W79" s="309"/>
      <c r="X79" s="281"/>
      <c r="Y79" s="282"/>
      <c r="Z79" s="228"/>
      <c r="AA79" s="228"/>
      <c r="AB79" s="200"/>
    </row>
    <row r="80" spans="1:28" s="69" customFormat="1" ht="27" customHeight="1">
      <c r="A80" s="61" t="s">
        <v>79</v>
      </c>
      <c r="B80" s="61">
        <v>368112</v>
      </c>
      <c r="C80" s="61" t="s">
        <v>79</v>
      </c>
      <c r="D80" s="61" t="s">
        <v>291</v>
      </c>
      <c r="E80" s="133" t="s">
        <v>33</v>
      </c>
      <c r="F80" s="110">
        <v>0</v>
      </c>
      <c r="G80" s="113">
        <f>F80*$G$6</f>
        <v>0</v>
      </c>
      <c r="H80" s="61">
        <v>1</v>
      </c>
      <c r="I80" s="70">
        <f>H80*I$6</f>
        <v>74</v>
      </c>
      <c r="J80" s="172">
        <f t="shared" si="14"/>
        <v>74</v>
      </c>
      <c r="K80" s="249" t="s">
        <v>335</v>
      </c>
      <c r="L80" s="172">
        <f>J80</f>
        <v>74</v>
      </c>
      <c r="M80" s="218"/>
      <c r="N80" s="218"/>
      <c r="O80" s="218">
        <f aca="true" t="shared" si="20" ref="O80:O99">J80</f>
        <v>74</v>
      </c>
      <c r="P80" s="110">
        <v>0</v>
      </c>
      <c r="Q80" s="110">
        <f t="shared" si="18"/>
        <v>0</v>
      </c>
      <c r="R80" s="110">
        <v>0</v>
      </c>
      <c r="S80" s="113">
        <f t="shared" si="11"/>
        <v>0</v>
      </c>
      <c r="T80" s="123">
        <v>0</v>
      </c>
      <c r="U80" s="113">
        <f t="shared" si="12"/>
        <v>0</v>
      </c>
      <c r="V80" s="179">
        <f t="shared" si="13"/>
        <v>0</v>
      </c>
      <c r="W80" s="309"/>
      <c r="X80" s="281"/>
      <c r="Y80" s="282"/>
      <c r="Z80" s="228"/>
      <c r="AA80" s="228"/>
      <c r="AB80" s="200" t="s">
        <v>34</v>
      </c>
    </row>
    <row r="81" spans="1:28" s="69" customFormat="1" ht="13.5" customHeight="1">
      <c r="A81" s="61" t="s">
        <v>83</v>
      </c>
      <c r="B81" s="61">
        <v>368113</v>
      </c>
      <c r="C81" s="61" t="s">
        <v>79</v>
      </c>
      <c r="D81" s="61" t="s">
        <v>291</v>
      </c>
      <c r="E81" s="133" t="s">
        <v>32</v>
      </c>
      <c r="F81" s="110">
        <v>0</v>
      </c>
      <c r="G81" s="113">
        <f>F81*$G$6</f>
        <v>0</v>
      </c>
      <c r="H81" s="61">
        <v>1</v>
      </c>
      <c r="I81" s="70">
        <f>H81*I$6</f>
        <v>74</v>
      </c>
      <c r="J81" s="172">
        <f t="shared" si="14"/>
        <v>74</v>
      </c>
      <c r="K81" s="249" t="s">
        <v>335</v>
      </c>
      <c r="L81" s="172">
        <f aca="true" t="shared" si="21" ref="L81:L99">J81</f>
        <v>74</v>
      </c>
      <c r="M81" s="218"/>
      <c r="N81" s="218"/>
      <c r="O81" s="218">
        <f t="shared" si="20"/>
        <v>74</v>
      </c>
      <c r="P81" s="110">
        <v>0</v>
      </c>
      <c r="Q81" s="110">
        <f t="shared" si="18"/>
        <v>0</v>
      </c>
      <c r="R81" s="110">
        <v>0</v>
      </c>
      <c r="S81" s="113">
        <f t="shared" si="11"/>
        <v>0</v>
      </c>
      <c r="T81" s="123">
        <v>0</v>
      </c>
      <c r="U81" s="113">
        <f t="shared" si="12"/>
        <v>0</v>
      </c>
      <c r="V81" s="179">
        <f t="shared" si="13"/>
        <v>0</v>
      </c>
      <c r="W81" s="309"/>
      <c r="X81" s="281"/>
      <c r="Y81" s="282"/>
      <c r="Z81" s="228"/>
      <c r="AA81" s="228"/>
      <c r="AB81" s="200" t="s">
        <v>34</v>
      </c>
    </row>
    <row r="82" spans="1:28" s="81" customFormat="1" ht="13.5" customHeight="1">
      <c r="A82" s="62" t="s">
        <v>196</v>
      </c>
      <c r="B82" s="62">
        <v>368135</v>
      </c>
      <c r="C82" s="62" t="s">
        <v>79</v>
      </c>
      <c r="D82" s="62" t="s">
        <v>291</v>
      </c>
      <c r="E82" s="132" t="s">
        <v>205</v>
      </c>
      <c r="F82" s="114">
        <v>0</v>
      </c>
      <c r="G82" s="112">
        <f>F82*$G$5</f>
        <v>0</v>
      </c>
      <c r="H82" s="62">
        <v>3</v>
      </c>
      <c r="I82" s="82">
        <f t="shared" si="17"/>
        <v>216</v>
      </c>
      <c r="J82" s="172">
        <f t="shared" si="14"/>
        <v>216</v>
      </c>
      <c r="K82" s="249" t="s">
        <v>335</v>
      </c>
      <c r="L82" s="172">
        <f t="shared" si="21"/>
        <v>216</v>
      </c>
      <c r="M82" s="218"/>
      <c r="N82" s="218"/>
      <c r="O82" s="218">
        <f t="shared" si="20"/>
        <v>216</v>
      </c>
      <c r="P82" s="114">
        <v>0</v>
      </c>
      <c r="Q82" s="114">
        <f t="shared" si="18"/>
        <v>0</v>
      </c>
      <c r="R82" s="114">
        <v>0</v>
      </c>
      <c r="S82" s="112">
        <f>R82*S$5</f>
        <v>0</v>
      </c>
      <c r="T82" s="114">
        <v>0</v>
      </c>
      <c r="U82" s="112">
        <f t="shared" si="12"/>
        <v>0</v>
      </c>
      <c r="V82" s="178">
        <f t="shared" si="13"/>
        <v>0</v>
      </c>
      <c r="W82" s="309"/>
      <c r="X82" s="281"/>
      <c r="Y82" s="282"/>
      <c r="Z82" s="228"/>
      <c r="AA82" s="228"/>
      <c r="AB82" s="200" t="s">
        <v>34</v>
      </c>
    </row>
    <row r="83" spans="1:28" s="81" customFormat="1" ht="13.5" customHeight="1">
      <c r="A83" s="62" t="s">
        <v>196</v>
      </c>
      <c r="B83" s="62">
        <v>368136</v>
      </c>
      <c r="C83" s="62" t="s">
        <v>79</v>
      </c>
      <c r="D83" s="62" t="s">
        <v>291</v>
      </c>
      <c r="E83" s="132" t="s">
        <v>206</v>
      </c>
      <c r="F83" s="114">
        <v>0</v>
      </c>
      <c r="G83" s="112">
        <f>F83*$G$5</f>
        <v>0</v>
      </c>
      <c r="H83" s="62">
        <v>1</v>
      </c>
      <c r="I83" s="82">
        <f t="shared" si="17"/>
        <v>72</v>
      </c>
      <c r="J83" s="172">
        <f t="shared" si="14"/>
        <v>72</v>
      </c>
      <c r="K83" s="249" t="s">
        <v>335</v>
      </c>
      <c r="L83" s="172">
        <f t="shared" si="21"/>
        <v>72</v>
      </c>
      <c r="M83" s="218"/>
      <c r="N83" s="218"/>
      <c r="O83" s="218">
        <f t="shared" si="20"/>
        <v>72</v>
      </c>
      <c r="P83" s="114">
        <v>0</v>
      </c>
      <c r="Q83" s="114">
        <f t="shared" si="18"/>
        <v>0</v>
      </c>
      <c r="R83" s="114">
        <v>0</v>
      </c>
      <c r="S83" s="112">
        <f>R83*S$5</f>
        <v>0</v>
      </c>
      <c r="T83" s="114">
        <v>0</v>
      </c>
      <c r="U83" s="112">
        <f t="shared" si="12"/>
        <v>0</v>
      </c>
      <c r="V83" s="178">
        <f t="shared" si="13"/>
        <v>0</v>
      </c>
      <c r="W83" s="309"/>
      <c r="X83" s="281"/>
      <c r="Y83" s="282"/>
      <c r="Z83" s="228"/>
      <c r="AA83" s="228"/>
      <c r="AB83" s="200" t="s">
        <v>34</v>
      </c>
    </row>
    <row r="84" spans="1:28" s="81" customFormat="1" ht="13.5" customHeight="1">
      <c r="A84" s="62" t="s">
        <v>157</v>
      </c>
      <c r="B84" s="62">
        <v>368137</v>
      </c>
      <c r="C84" s="62" t="s">
        <v>79</v>
      </c>
      <c r="D84" s="62" t="s">
        <v>291</v>
      </c>
      <c r="E84" s="132" t="s">
        <v>207</v>
      </c>
      <c r="F84" s="114">
        <v>0</v>
      </c>
      <c r="G84" s="112">
        <f>F84*$G$5</f>
        <v>0</v>
      </c>
      <c r="H84" s="62">
        <v>2</v>
      </c>
      <c r="I84" s="82">
        <f t="shared" si="17"/>
        <v>144</v>
      </c>
      <c r="J84" s="172">
        <f t="shared" si="14"/>
        <v>144</v>
      </c>
      <c r="K84" s="249" t="s">
        <v>335</v>
      </c>
      <c r="L84" s="172">
        <f t="shared" si="21"/>
        <v>144</v>
      </c>
      <c r="M84" s="218"/>
      <c r="N84" s="218"/>
      <c r="O84" s="218">
        <f t="shared" si="20"/>
        <v>144</v>
      </c>
      <c r="P84" s="114">
        <v>0</v>
      </c>
      <c r="Q84" s="114">
        <f t="shared" si="18"/>
        <v>0</v>
      </c>
      <c r="R84" s="114">
        <v>0</v>
      </c>
      <c r="S84" s="112">
        <f>R84*S$5</f>
        <v>0</v>
      </c>
      <c r="T84" s="114">
        <v>0</v>
      </c>
      <c r="U84" s="112">
        <f>T84*U$5</f>
        <v>0</v>
      </c>
      <c r="V84" s="178">
        <f t="shared" si="13"/>
        <v>0</v>
      </c>
      <c r="W84" s="309"/>
      <c r="X84" s="281"/>
      <c r="Y84" s="282"/>
      <c r="Z84" s="228"/>
      <c r="AA84" s="228"/>
      <c r="AB84" s="200" t="s">
        <v>34</v>
      </c>
    </row>
    <row r="85" spans="1:28" s="81" customFormat="1" ht="13.5" customHeight="1">
      <c r="A85" s="62" t="s">
        <v>196</v>
      </c>
      <c r="B85" s="62">
        <v>368138</v>
      </c>
      <c r="C85" s="62" t="s">
        <v>79</v>
      </c>
      <c r="D85" s="62" t="s">
        <v>291</v>
      </c>
      <c r="E85" s="132" t="s">
        <v>208</v>
      </c>
      <c r="F85" s="114">
        <v>0</v>
      </c>
      <c r="G85" s="112">
        <f>F85*$G$5</f>
        <v>0</v>
      </c>
      <c r="H85" s="62">
        <v>1</v>
      </c>
      <c r="I85" s="82">
        <f t="shared" si="17"/>
        <v>72</v>
      </c>
      <c r="J85" s="172">
        <f t="shared" si="14"/>
        <v>72</v>
      </c>
      <c r="K85" s="249" t="s">
        <v>335</v>
      </c>
      <c r="L85" s="172">
        <f t="shared" si="21"/>
        <v>72</v>
      </c>
      <c r="M85" s="218"/>
      <c r="N85" s="218"/>
      <c r="O85" s="218">
        <f t="shared" si="20"/>
        <v>72</v>
      </c>
      <c r="P85" s="114">
        <v>0</v>
      </c>
      <c r="Q85" s="114">
        <f t="shared" si="18"/>
        <v>0</v>
      </c>
      <c r="R85" s="114">
        <v>0</v>
      </c>
      <c r="S85" s="112">
        <f>R85*S$5</f>
        <v>0</v>
      </c>
      <c r="T85" s="114">
        <v>0</v>
      </c>
      <c r="U85" s="112">
        <f t="shared" si="12"/>
        <v>0</v>
      </c>
      <c r="V85" s="178">
        <f t="shared" si="13"/>
        <v>0</v>
      </c>
      <c r="W85" s="309"/>
      <c r="X85" s="281"/>
      <c r="Y85" s="282"/>
      <c r="Z85" s="228"/>
      <c r="AA85" s="228"/>
      <c r="AB85" s="200" t="s">
        <v>34</v>
      </c>
    </row>
    <row r="86" spans="1:28" s="69" customFormat="1" ht="13.5" customHeight="1">
      <c r="A86" s="61" t="s">
        <v>79</v>
      </c>
      <c r="B86" s="61">
        <v>368429</v>
      </c>
      <c r="C86" s="61" t="s">
        <v>79</v>
      </c>
      <c r="D86" s="61" t="s">
        <v>291</v>
      </c>
      <c r="E86" s="133" t="s">
        <v>251</v>
      </c>
      <c r="F86" s="110">
        <v>0</v>
      </c>
      <c r="G86" s="113">
        <f aca="true" t="shared" si="22" ref="G86:G93">F86*$G$6</f>
        <v>0</v>
      </c>
      <c r="H86" s="71">
        <v>1</v>
      </c>
      <c r="I86" s="70">
        <f>H86*I$6</f>
        <v>74</v>
      </c>
      <c r="J86" s="172">
        <f t="shared" si="14"/>
        <v>74</v>
      </c>
      <c r="K86" s="249" t="s">
        <v>335</v>
      </c>
      <c r="L86" s="172">
        <f t="shared" si="21"/>
        <v>74</v>
      </c>
      <c r="M86" s="218"/>
      <c r="N86" s="218"/>
      <c r="O86" s="218">
        <f t="shared" si="20"/>
        <v>74</v>
      </c>
      <c r="P86" s="110">
        <v>0</v>
      </c>
      <c r="Q86" s="110">
        <f t="shared" si="18"/>
        <v>0</v>
      </c>
      <c r="R86" s="110">
        <v>0</v>
      </c>
      <c r="S86" s="113">
        <f t="shared" si="11"/>
        <v>0</v>
      </c>
      <c r="T86" s="123">
        <v>0</v>
      </c>
      <c r="U86" s="113">
        <f t="shared" si="12"/>
        <v>0</v>
      </c>
      <c r="V86" s="179">
        <f t="shared" si="13"/>
        <v>0</v>
      </c>
      <c r="W86" s="309"/>
      <c r="X86" s="281"/>
      <c r="Y86" s="282"/>
      <c r="Z86" s="228"/>
      <c r="AA86" s="228"/>
      <c r="AB86" s="200" t="s">
        <v>34</v>
      </c>
    </row>
    <row r="87" spans="1:28" s="72" customFormat="1" ht="13.5" customHeight="1">
      <c r="A87" s="83" t="s">
        <v>156</v>
      </c>
      <c r="B87" s="83">
        <v>368440</v>
      </c>
      <c r="C87" s="83" t="s">
        <v>88</v>
      </c>
      <c r="D87" s="61" t="s">
        <v>291</v>
      </c>
      <c r="E87" s="133" t="s">
        <v>252</v>
      </c>
      <c r="F87" s="110">
        <v>0</v>
      </c>
      <c r="G87" s="113">
        <f t="shared" si="22"/>
        <v>0</v>
      </c>
      <c r="H87" s="83">
        <f>1+2+2+1</f>
        <v>6</v>
      </c>
      <c r="I87" s="70">
        <f aca="true" t="shared" si="23" ref="I87:I99">H87*I$6</f>
        <v>444</v>
      </c>
      <c r="J87" s="172">
        <f t="shared" si="14"/>
        <v>444</v>
      </c>
      <c r="K87" s="249" t="s">
        <v>335</v>
      </c>
      <c r="L87" s="172">
        <f t="shared" si="21"/>
        <v>444</v>
      </c>
      <c r="M87" s="218"/>
      <c r="N87" s="218"/>
      <c r="O87" s="218">
        <f t="shared" si="20"/>
        <v>444</v>
      </c>
      <c r="P87" s="110">
        <v>0</v>
      </c>
      <c r="Q87" s="110">
        <f t="shared" si="18"/>
        <v>0</v>
      </c>
      <c r="R87" s="110">
        <v>0</v>
      </c>
      <c r="S87" s="113">
        <f t="shared" si="11"/>
        <v>0</v>
      </c>
      <c r="T87" s="123">
        <v>0</v>
      </c>
      <c r="U87" s="113">
        <f t="shared" si="12"/>
        <v>0</v>
      </c>
      <c r="V87" s="179">
        <f t="shared" si="13"/>
        <v>0</v>
      </c>
      <c r="W87" s="309"/>
      <c r="X87" s="281"/>
      <c r="Y87" s="282"/>
      <c r="Z87" s="228"/>
      <c r="AA87" s="228"/>
      <c r="AB87" s="200" t="s">
        <v>34</v>
      </c>
    </row>
    <row r="88" spans="1:28" s="72" customFormat="1" ht="13.5" customHeight="1">
      <c r="A88" s="83" t="s">
        <v>156</v>
      </c>
      <c r="B88" s="83">
        <v>368441</v>
      </c>
      <c r="C88" s="83" t="s">
        <v>88</v>
      </c>
      <c r="D88" s="61" t="s">
        <v>291</v>
      </c>
      <c r="E88" s="133" t="s">
        <v>253</v>
      </c>
      <c r="F88" s="110">
        <v>0</v>
      </c>
      <c r="G88" s="113">
        <f t="shared" si="22"/>
        <v>0</v>
      </c>
      <c r="H88" s="83">
        <f>1+0+0+1</f>
        <v>2</v>
      </c>
      <c r="I88" s="70">
        <f t="shared" si="23"/>
        <v>148</v>
      </c>
      <c r="J88" s="172">
        <f t="shared" si="14"/>
        <v>148</v>
      </c>
      <c r="K88" s="249" t="s">
        <v>335</v>
      </c>
      <c r="L88" s="172">
        <f t="shared" si="21"/>
        <v>148</v>
      </c>
      <c r="M88" s="218"/>
      <c r="N88" s="218"/>
      <c r="O88" s="218">
        <f t="shared" si="20"/>
        <v>148</v>
      </c>
      <c r="P88" s="110">
        <v>0</v>
      </c>
      <c r="Q88" s="110">
        <f t="shared" si="18"/>
        <v>0</v>
      </c>
      <c r="R88" s="110">
        <v>0</v>
      </c>
      <c r="S88" s="113">
        <f t="shared" si="11"/>
        <v>0</v>
      </c>
      <c r="T88" s="123">
        <v>0</v>
      </c>
      <c r="U88" s="113">
        <f t="shared" si="12"/>
        <v>0</v>
      </c>
      <c r="V88" s="179">
        <f t="shared" si="13"/>
        <v>0</v>
      </c>
      <c r="W88" s="309"/>
      <c r="X88" s="281"/>
      <c r="Y88" s="282"/>
      <c r="Z88" s="228"/>
      <c r="AA88" s="228"/>
      <c r="AB88" s="200" t="s">
        <v>34</v>
      </c>
    </row>
    <row r="89" spans="1:28" s="72" customFormat="1" ht="13.5" customHeight="1">
      <c r="A89" s="83" t="s">
        <v>156</v>
      </c>
      <c r="B89" s="83">
        <v>368442</v>
      </c>
      <c r="C89" s="83" t="s">
        <v>79</v>
      </c>
      <c r="D89" s="61" t="s">
        <v>291</v>
      </c>
      <c r="E89" s="133" t="s">
        <v>254</v>
      </c>
      <c r="F89" s="110">
        <v>0</v>
      </c>
      <c r="G89" s="113">
        <f t="shared" si="22"/>
        <v>0</v>
      </c>
      <c r="H89" s="83">
        <f>1+2+2+1</f>
        <v>6</v>
      </c>
      <c r="I89" s="70">
        <f t="shared" si="23"/>
        <v>444</v>
      </c>
      <c r="J89" s="172">
        <f t="shared" si="14"/>
        <v>444</v>
      </c>
      <c r="K89" s="249" t="s">
        <v>335</v>
      </c>
      <c r="L89" s="172">
        <f t="shared" si="21"/>
        <v>444</v>
      </c>
      <c r="M89" s="218"/>
      <c r="N89" s="218"/>
      <c r="O89" s="218">
        <f t="shared" si="20"/>
        <v>444</v>
      </c>
      <c r="P89" s="110">
        <v>0</v>
      </c>
      <c r="Q89" s="110">
        <f t="shared" si="18"/>
        <v>0</v>
      </c>
      <c r="R89" s="110">
        <v>0</v>
      </c>
      <c r="S89" s="113">
        <f t="shared" si="11"/>
        <v>0</v>
      </c>
      <c r="T89" s="123">
        <v>0</v>
      </c>
      <c r="U89" s="113">
        <f t="shared" si="12"/>
        <v>0</v>
      </c>
      <c r="V89" s="179">
        <f t="shared" si="13"/>
        <v>0</v>
      </c>
      <c r="W89" s="309"/>
      <c r="X89" s="281"/>
      <c r="Y89" s="282"/>
      <c r="Z89" s="228"/>
      <c r="AA89" s="228"/>
      <c r="AB89" s="200" t="s">
        <v>34</v>
      </c>
    </row>
    <row r="90" spans="1:28" s="72" customFormat="1" ht="13.5" customHeight="1">
      <c r="A90" s="83" t="s">
        <v>156</v>
      </c>
      <c r="B90" s="83">
        <v>368443</v>
      </c>
      <c r="C90" s="83" t="s">
        <v>79</v>
      </c>
      <c r="D90" s="61" t="s">
        <v>291</v>
      </c>
      <c r="E90" s="133" t="s">
        <v>255</v>
      </c>
      <c r="F90" s="110">
        <v>0</v>
      </c>
      <c r="G90" s="113">
        <f t="shared" si="22"/>
        <v>0</v>
      </c>
      <c r="H90" s="83">
        <f>1+2+2+1</f>
        <v>6</v>
      </c>
      <c r="I90" s="70">
        <f t="shared" si="23"/>
        <v>444</v>
      </c>
      <c r="J90" s="172">
        <f t="shared" si="14"/>
        <v>444</v>
      </c>
      <c r="K90" s="249" t="s">
        <v>335</v>
      </c>
      <c r="L90" s="172">
        <f t="shared" si="21"/>
        <v>444</v>
      </c>
      <c r="M90" s="218"/>
      <c r="N90" s="218"/>
      <c r="O90" s="218">
        <f t="shared" si="20"/>
        <v>444</v>
      </c>
      <c r="P90" s="110">
        <v>0</v>
      </c>
      <c r="Q90" s="110">
        <f t="shared" si="18"/>
        <v>0</v>
      </c>
      <c r="R90" s="110">
        <v>0</v>
      </c>
      <c r="S90" s="113">
        <f t="shared" si="11"/>
        <v>0</v>
      </c>
      <c r="T90" s="123">
        <v>0</v>
      </c>
      <c r="U90" s="113">
        <f t="shared" si="12"/>
        <v>0</v>
      </c>
      <c r="V90" s="179">
        <f t="shared" si="13"/>
        <v>0</v>
      </c>
      <c r="W90" s="309"/>
      <c r="X90" s="281"/>
      <c r="Y90" s="282"/>
      <c r="Z90" s="228"/>
      <c r="AA90" s="228"/>
      <c r="AB90" s="200" t="s">
        <v>34</v>
      </c>
    </row>
    <row r="91" spans="1:28" s="72" customFormat="1" ht="13.5" customHeight="1">
      <c r="A91" s="83" t="s">
        <v>156</v>
      </c>
      <c r="B91" s="83">
        <v>368444</v>
      </c>
      <c r="C91" s="83" t="s">
        <v>88</v>
      </c>
      <c r="D91" s="61" t="s">
        <v>291</v>
      </c>
      <c r="E91" s="133" t="s">
        <v>256</v>
      </c>
      <c r="F91" s="110">
        <v>0</v>
      </c>
      <c r="G91" s="113">
        <f t="shared" si="22"/>
        <v>0</v>
      </c>
      <c r="H91" s="83">
        <f>0+2+2+0</f>
        <v>4</v>
      </c>
      <c r="I91" s="70">
        <f t="shared" si="23"/>
        <v>296</v>
      </c>
      <c r="J91" s="172">
        <f t="shared" si="14"/>
        <v>296</v>
      </c>
      <c r="K91" s="249" t="s">
        <v>335</v>
      </c>
      <c r="L91" s="172">
        <f t="shared" si="21"/>
        <v>296</v>
      </c>
      <c r="M91" s="218"/>
      <c r="N91" s="218"/>
      <c r="O91" s="218">
        <f t="shared" si="20"/>
        <v>296</v>
      </c>
      <c r="P91" s="110">
        <v>0</v>
      </c>
      <c r="Q91" s="110">
        <f t="shared" si="18"/>
        <v>0</v>
      </c>
      <c r="R91" s="110">
        <v>0</v>
      </c>
      <c r="S91" s="113">
        <f>R91*S$5</f>
        <v>0</v>
      </c>
      <c r="T91" s="123">
        <v>0</v>
      </c>
      <c r="U91" s="113">
        <f aca="true" t="shared" si="24" ref="U91:U102">T91*U$5</f>
        <v>0</v>
      </c>
      <c r="V91" s="179">
        <f t="shared" si="13"/>
        <v>0</v>
      </c>
      <c r="W91" s="309"/>
      <c r="X91" s="281"/>
      <c r="Y91" s="282"/>
      <c r="Z91" s="228"/>
      <c r="AA91" s="228"/>
      <c r="AB91" s="200" t="s">
        <v>34</v>
      </c>
    </row>
    <row r="92" spans="1:28" s="72" customFormat="1" ht="13.5" customHeight="1">
      <c r="A92" s="83" t="s">
        <v>79</v>
      </c>
      <c r="B92" s="83">
        <v>368445</v>
      </c>
      <c r="C92" s="83" t="s">
        <v>88</v>
      </c>
      <c r="D92" s="61" t="s">
        <v>291</v>
      </c>
      <c r="E92" s="133" t="s">
        <v>257</v>
      </c>
      <c r="F92" s="115">
        <v>0</v>
      </c>
      <c r="G92" s="113">
        <f t="shared" si="22"/>
        <v>0</v>
      </c>
      <c r="H92" s="83">
        <f>2*2</f>
        <v>4</v>
      </c>
      <c r="I92" s="70">
        <f t="shared" si="23"/>
        <v>296</v>
      </c>
      <c r="J92" s="172">
        <f t="shared" si="14"/>
        <v>296</v>
      </c>
      <c r="K92" s="249" t="s">
        <v>335</v>
      </c>
      <c r="L92" s="172">
        <f t="shared" si="21"/>
        <v>296</v>
      </c>
      <c r="M92" s="218"/>
      <c r="N92" s="218"/>
      <c r="O92" s="218">
        <f t="shared" si="20"/>
        <v>296</v>
      </c>
      <c r="P92" s="115">
        <v>0</v>
      </c>
      <c r="Q92" s="110">
        <f t="shared" si="18"/>
        <v>0</v>
      </c>
      <c r="R92" s="115">
        <v>0</v>
      </c>
      <c r="S92" s="113">
        <f>R92*S$5</f>
        <v>0</v>
      </c>
      <c r="T92" s="115">
        <v>0</v>
      </c>
      <c r="U92" s="113">
        <f t="shared" si="24"/>
        <v>0</v>
      </c>
      <c r="V92" s="179">
        <f aca="true" t="shared" si="25" ref="V92:V123">Q92+S92+U92</f>
        <v>0</v>
      </c>
      <c r="W92" s="309"/>
      <c r="X92" s="281"/>
      <c r="Y92" s="282"/>
      <c r="Z92" s="228"/>
      <c r="AA92" s="228"/>
      <c r="AB92" s="200" t="s">
        <v>34</v>
      </c>
    </row>
    <row r="93" spans="1:28" s="72" customFormat="1" ht="13.5" customHeight="1">
      <c r="A93" s="83" t="s">
        <v>79</v>
      </c>
      <c r="B93" s="83">
        <v>368446</v>
      </c>
      <c r="C93" s="83" t="s">
        <v>88</v>
      </c>
      <c r="D93" s="61" t="s">
        <v>291</v>
      </c>
      <c r="E93" s="133" t="s">
        <v>258</v>
      </c>
      <c r="F93" s="115">
        <v>0</v>
      </c>
      <c r="G93" s="113">
        <f t="shared" si="22"/>
        <v>0</v>
      </c>
      <c r="H93" s="83">
        <f>4*2</f>
        <v>8</v>
      </c>
      <c r="I93" s="70">
        <f t="shared" si="23"/>
        <v>592</v>
      </c>
      <c r="J93" s="172">
        <f t="shared" si="14"/>
        <v>592</v>
      </c>
      <c r="K93" s="249" t="s">
        <v>335</v>
      </c>
      <c r="L93" s="172">
        <f t="shared" si="21"/>
        <v>592</v>
      </c>
      <c r="M93" s="218"/>
      <c r="N93" s="218"/>
      <c r="O93" s="218">
        <f t="shared" si="20"/>
        <v>592</v>
      </c>
      <c r="P93" s="115">
        <v>0</v>
      </c>
      <c r="Q93" s="110">
        <f t="shared" si="18"/>
        <v>0</v>
      </c>
      <c r="R93" s="115">
        <v>0</v>
      </c>
      <c r="S93" s="113">
        <f>R93*S$5</f>
        <v>0</v>
      </c>
      <c r="T93" s="115">
        <v>0</v>
      </c>
      <c r="U93" s="113">
        <f t="shared" si="12"/>
        <v>0</v>
      </c>
      <c r="V93" s="179">
        <f t="shared" si="25"/>
        <v>0</v>
      </c>
      <c r="W93" s="309"/>
      <c r="X93" s="281"/>
      <c r="Y93" s="282"/>
      <c r="Z93" s="228"/>
      <c r="AA93" s="228"/>
      <c r="AB93" s="200" t="s">
        <v>34</v>
      </c>
    </row>
    <row r="94" spans="1:28" s="72" customFormat="1" ht="13.5" customHeight="1">
      <c r="A94" s="83" t="s">
        <v>83</v>
      </c>
      <c r="B94" s="83">
        <v>368448</v>
      </c>
      <c r="C94" s="83" t="s">
        <v>88</v>
      </c>
      <c r="D94" s="61" t="s">
        <v>291</v>
      </c>
      <c r="E94" s="133" t="s">
        <v>311</v>
      </c>
      <c r="F94" s="115">
        <v>0</v>
      </c>
      <c r="G94" s="113">
        <f aca="true" t="shared" si="26" ref="G94:G99">F94*$G$6</f>
        <v>0</v>
      </c>
      <c r="H94" s="83">
        <v>6</v>
      </c>
      <c r="I94" s="70">
        <f t="shared" si="23"/>
        <v>444</v>
      </c>
      <c r="J94" s="172">
        <f t="shared" si="14"/>
        <v>444</v>
      </c>
      <c r="K94" s="249" t="s">
        <v>335</v>
      </c>
      <c r="L94" s="172">
        <f t="shared" si="21"/>
        <v>444</v>
      </c>
      <c r="M94" s="218"/>
      <c r="N94" s="218"/>
      <c r="O94" s="218">
        <f t="shared" si="20"/>
        <v>444</v>
      </c>
      <c r="P94" s="115">
        <v>0</v>
      </c>
      <c r="Q94" s="110">
        <f t="shared" si="18"/>
        <v>0</v>
      </c>
      <c r="R94" s="115">
        <v>0</v>
      </c>
      <c r="S94" s="113">
        <f t="shared" si="11"/>
        <v>0</v>
      </c>
      <c r="T94" s="115">
        <v>0</v>
      </c>
      <c r="U94" s="113">
        <f t="shared" si="24"/>
        <v>0</v>
      </c>
      <c r="V94" s="179">
        <f t="shared" si="25"/>
        <v>0</v>
      </c>
      <c r="W94" s="309"/>
      <c r="X94" s="281"/>
      <c r="Y94" s="282"/>
      <c r="Z94" s="228"/>
      <c r="AA94" s="228"/>
      <c r="AB94" s="200" t="s">
        <v>34</v>
      </c>
    </row>
    <row r="95" spans="1:28" s="72" customFormat="1" ht="13.5" customHeight="1">
      <c r="A95" s="83" t="s">
        <v>83</v>
      </c>
      <c r="B95" s="83">
        <v>368450</v>
      </c>
      <c r="C95" s="83" t="s">
        <v>88</v>
      </c>
      <c r="D95" s="61" t="s">
        <v>291</v>
      </c>
      <c r="E95" s="133" t="s">
        <v>312</v>
      </c>
      <c r="F95" s="115">
        <v>0</v>
      </c>
      <c r="G95" s="113">
        <f>F95*$G$6</f>
        <v>0</v>
      </c>
      <c r="H95" s="83">
        <v>6</v>
      </c>
      <c r="I95" s="70">
        <f t="shared" si="23"/>
        <v>444</v>
      </c>
      <c r="J95" s="172">
        <f t="shared" si="14"/>
        <v>444</v>
      </c>
      <c r="K95" s="249" t="s">
        <v>335</v>
      </c>
      <c r="L95" s="172">
        <f t="shared" si="21"/>
        <v>444</v>
      </c>
      <c r="M95" s="218"/>
      <c r="N95" s="218"/>
      <c r="O95" s="218">
        <f t="shared" si="20"/>
        <v>444</v>
      </c>
      <c r="P95" s="115">
        <v>0</v>
      </c>
      <c r="Q95" s="110">
        <f t="shared" si="18"/>
        <v>0</v>
      </c>
      <c r="R95" s="115">
        <v>0</v>
      </c>
      <c r="S95" s="113">
        <f t="shared" si="11"/>
        <v>0</v>
      </c>
      <c r="T95" s="115">
        <v>0</v>
      </c>
      <c r="U95" s="113">
        <f t="shared" si="24"/>
        <v>0</v>
      </c>
      <c r="V95" s="179">
        <f t="shared" si="25"/>
        <v>0</v>
      </c>
      <c r="W95" s="309"/>
      <c r="X95" s="281"/>
      <c r="Y95" s="282"/>
      <c r="Z95" s="228"/>
      <c r="AA95" s="228"/>
      <c r="AB95" s="200" t="s">
        <v>34</v>
      </c>
    </row>
    <row r="96" spans="1:28" s="72" customFormat="1" ht="13.5" customHeight="1">
      <c r="A96" s="83" t="s">
        <v>83</v>
      </c>
      <c r="B96" s="83">
        <v>368452</v>
      </c>
      <c r="C96" s="83" t="s">
        <v>88</v>
      </c>
      <c r="D96" s="61" t="s">
        <v>291</v>
      </c>
      <c r="E96" s="133" t="s">
        <v>316</v>
      </c>
      <c r="F96" s="115">
        <v>0</v>
      </c>
      <c r="G96" s="113">
        <f t="shared" si="26"/>
        <v>0</v>
      </c>
      <c r="H96" s="83">
        <v>6</v>
      </c>
      <c r="I96" s="70">
        <f t="shared" si="23"/>
        <v>444</v>
      </c>
      <c r="J96" s="172">
        <f t="shared" si="14"/>
        <v>444</v>
      </c>
      <c r="K96" s="249" t="s">
        <v>335</v>
      </c>
      <c r="L96" s="172">
        <f t="shared" si="21"/>
        <v>444</v>
      </c>
      <c r="M96" s="218"/>
      <c r="N96" s="218"/>
      <c r="O96" s="218">
        <f t="shared" si="20"/>
        <v>444</v>
      </c>
      <c r="P96" s="115">
        <v>0</v>
      </c>
      <c r="Q96" s="110">
        <f t="shared" si="18"/>
        <v>0</v>
      </c>
      <c r="R96" s="115">
        <v>0</v>
      </c>
      <c r="S96" s="113">
        <f t="shared" si="11"/>
        <v>0</v>
      </c>
      <c r="T96" s="115">
        <v>0</v>
      </c>
      <c r="U96" s="113">
        <f t="shared" si="12"/>
        <v>0</v>
      </c>
      <c r="V96" s="179">
        <f t="shared" si="25"/>
        <v>0</v>
      </c>
      <c r="W96" s="309"/>
      <c r="X96" s="281"/>
      <c r="Y96" s="282"/>
      <c r="Z96" s="228"/>
      <c r="AA96" s="228"/>
      <c r="AB96" s="200" t="s">
        <v>34</v>
      </c>
    </row>
    <row r="97" spans="1:28" s="72" customFormat="1" ht="13.5" customHeight="1">
      <c r="A97" s="83" t="s">
        <v>83</v>
      </c>
      <c r="B97" s="83">
        <v>368454</v>
      </c>
      <c r="C97" s="83" t="s">
        <v>88</v>
      </c>
      <c r="D97" s="61" t="s">
        <v>291</v>
      </c>
      <c r="E97" s="133" t="s">
        <v>317</v>
      </c>
      <c r="F97" s="115">
        <v>0</v>
      </c>
      <c r="G97" s="113">
        <f t="shared" si="26"/>
        <v>0</v>
      </c>
      <c r="H97" s="83">
        <v>6</v>
      </c>
      <c r="I97" s="70">
        <f t="shared" si="23"/>
        <v>444</v>
      </c>
      <c r="J97" s="172">
        <f t="shared" si="14"/>
        <v>444</v>
      </c>
      <c r="K97" s="249" t="s">
        <v>335</v>
      </c>
      <c r="L97" s="172">
        <f t="shared" si="21"/>
        <v>444</v>
      </c>
      <c r="M97" s="218"/>
      <c r="N97" s="218"/>
      <c r="O97" s="218">
        <f t="shared" si="20"/>
        <v>444</v>
      </c>
      <c r="P97" s="115">
        <v>0</v>
      </c>
      <c r="Q97" s="110">
        <f t="shared" si="18"/>
        <v>0</v>
      </c>
      <c r="R97" s="115">
        <v>0</v>
      </c>
      <c r="S97" s="113">
        <f t="shared" si="11"/>
        <v>0</v>
      </c>
      <c r="T97" s="115">
        <v>0</v>
      </c>
      <c r="U97" s="113">
        <f t="shared" si="24"/>
        <v>0</v>
      </c>
      <c r="V97" s="179">
        <f t="shared" si="25"/>
        <v>0</v>
      </c>
      <c r="W97" s="309"/>
      <c r="X97" s="281"/>
      <c r="Y97" s="282"/>
      <c r="Z97" s="228"/>
      <c r="AA97" s="228"/>
      <c r="AB97" s="200" t="s">
        <v>34</v>
      </c>
    </row>
    <row r="98" spans="1:28" s="72" customFormat="1" ht="13.5" customHeight="1">
      <c r="A98" s="83" t="s">
        <v>83</v>
      </c>
      <c r="B98" s="83">
        <v>368456</v>
      </c>
      <c r="C98" s="83" t="s">
        <v>88</v>
      </c>
      <c r="D98" s="61" t="s">
        <v>291</v>
      </c>
      <c r="E98" s="133" t="s">
        <v>318</v>
      </c>
      <c r="F98" s="115">
        <v>0</v>
      </c>
      <c r="G98" s="113">
        <f t="shared" si="26"/>
        <v>0</v>
      </c>
      <c r="H98" s="83">
        <v>6</v>
      </c>
      <c r="I98" s="70">
        <f t="shared" si="23"/>
        <v>444</v>
      </c>
      <c r="J98" s="172">
        <f t="shared" si="14"/>
        <v>444</v>
      </c>
      <c r="K98" s="249" t="s">
        <v>335</v>
      </c>
      <c r="L98" s="172">
        <f t="shared" si="21"/>
        <v>444</v>
      </c>
      <c r="M98" s="218"/>
      <c r="N98" s="218"/>
      <c r="O98" s="218">
        <f t="shared" si="20"/>
        <v>444</v>
      </c>
      <c r="P98" s="115">
        <v>0</v>
      </c>
      <c r="Q98" s="110">
        <f t="shared" si="18"/>
        <v>0</v>
      </c>
      <c r="R98" s="115">
        <v>0</v>
      </c>
      <c r="S98" s="113">
        <f t="shared" si="11"/>
        <v>0</v>
      </c>
      <c r="T98" s="115">
        <v>0</v>
      </c>
      <c r="U98" s="113">
        <f t="shared" si="24"/>
        <v>0</v>
      </c>
      <c r="V98" s="179">
        <f t="shared" si="25"/>
        <v>0</v>
      </c>
      <c r="W98" s="309"/>
      <c r="X98" s="281"/>
      <c r="Y98" s="282"/>
      <c r="Z98" s="228"/>
      <c r="AA98" s="228"/>
      <c r="AB98" s="200" t="s">
        <v>34</v>
      </c>
    </row>
    <row r="99" spans="1:28" s="72" customFormat="1" ht="13.5" customHeight="1">
      <c r="A99" s="83" t="s">
        <v>83</v>
      </c>
      <c r="B99" s="83">
        <v>368458</v>
      </c>
      <c r="C99" s="83" t="s">
        <v>88</v>
      </c>
      <c r="D99" s="61" t="s">
        <v>291</v>
      </c>
      <c r="E99" s="133" t="s">
        <v>319</v>
      </c>
      <c r="F99" s="115">
        <v>0</v>
      </c>
      <c r="G99" s="113">
        <f t="shared" si="26"/>
        <v>0</v>
      </c>
      <c r="H99" s="83">
        <v>6</v>
      </c>
      <c r="I99" s="70">
        <f t="shared" si="23"/>
        <v>444</v>
      </c>
      <c r="J99" s="172">
        <f t="shared" si="14"/>
        <v>444</v>
      </c>
      <c r="K99" s="249" t="s">
        <v>335</v>
      </c>
      <c r="L99" s="172">
        <f t="shared" si="21"/>
        <v>444</v>
      </c>
      <c r="M99" s="218"/>
      <c r="N99" s="218"/>
      <c r="O99" s="218">
        <f t="shared" si="20"/>
        <v>444</v>
      </c>
      <c r="P99" s="115">
        <v>0</v>
      </c>
      <c r="Q99" s="110">
        <f t="shared" si="18"/>
        <v>0</v>
      </c>
      <c r="R99" s="115">
        <v>0</v>
      </c>
      <c r="S99" s="113">
        <f>R99*S$5</f>
        <v>0</v>
      </c>
      <c r="T99" s="115">
        <v>0</v>
      </c>
      <c r="U99" s="113">
        <f t="shared" si="24"/>
        <v>0</v>
      </c>
      <c r="V99" s="179">
        <f t="shared" si="25"/>
        <v>0</v>
      </c>
      <c r="W99" s="309"/>
      <c r="X99" s="281"/>
      <c r="Y99" s="282"/>
      <c r="Z99" s="228"/>
      <c r="AA99" s="228"/>
      <c r="AB99" s="200" t="s">
        <v>34</v>
      </c>
    </row>
    <row r="100" spans="1:28" s="64" customFormat="1" ht="27" customHeight="1">
      <c r="A100" s="60" t="s">
        <v>83</v>
      </c>
      <c r="B100" s="60">
        <v>368150</v>
      </c>
      <c r="C100" s="60" t="s">
        <v>79</v>
      </c>
      <c r="D100" s="60" t="s">
        <v>291</v>
      </c>
      <c r="E100" s="134" t="s">
        <v>383</v>
      </c>
      <c r="F100" s="116">
        <v>0</v>
      </c>
      <c r="G100" s="117">
        <f>F100*$G$6</f>
        <v>0</v>
      </c>
      <c r="H100" s="116">
        <v>0</v>
      </c>
      <c r="I100" s="117">
        <f>H100*I$6</f>
        <v>0</v>
      </c>
      <c r="J100" s="173">
        <f>G100+H100</f>
        <v>0</v>
      </c>
      <c r="K100" s="250"/>
      <c r="L100" s="261"/>
      <c r="M100" s="219"/>
      <c r="N100" s="219"/>
      <c r="O100" s="219"/>
      <c r="P100" s="60">
        <v>6</v>
      </c>
      <c r="Q100" s="60">
        <f>P100*Q$6</f>
        <v>228</v>
      </c>
      <c r="R100" s="126">
        <v>0</v>
      </c>
      <c r="S100" s="124">
        <f>R100*S$5</f>
        <v>0</v>
      </c>
      <c r="T100" s="126">
        <v>0</v>
      </c>
      <c r="U100" s="124">
        <f>T100*U$5</f>
        <v>0</v>
      </c>
      <c r="V100" s="180">
        <f t="shared" si="25"/>
        <v>228</v>
      </c>
      <c r="W100" s="310" t="s">
        <v>335</v>
      </c>
      <c r="X100" s="269">
        <v>228</v>
      </c>
      <c r="Y100" s="229">
        <f>V100</f>
        <v>228</v>
      </c>
      <c r="Z100" s="229"/>
      <c r="AA100" s="229"/>
      <c r="AB100" s="201"/>
    </row>
    <row r="101" spans="1:28" s="64" customFormat="1" ht="13.5" customHeight="1">
      <c r="A101" s="60" t="s">
        <v>83</v>
      </c>
      <c r="B101" s="60">
        <v>368152</v>
      </c>
      <c r="C101" s="60" t="s">
        <v>79</v>
      </c>
      <c r="D101" s="60" t="s">
        <v>291</v>
      </c>
      <c r="E101" s="134" t="s">
        <v>386</v>
      </c>
      <c r="F101" s="116">
        <v>0</v>
      </c>
      <c r="G101" s="117">
        <f aca="true" t="shared" si="27" ref="G101:G110">F101*$G$6</f>
        <v>0</v>
      </c>
      <c r="H101" s="116">
        <v>0</v>
      </c>
      <c r="I101" s="117">
        <f aca="true" t="shared" si="28" ref="I101:I110">H101*I$6</f>
        <v>0</v>
      </c>
      <c r="J101" s="173">
        <f aca="true" t="shared" si="29" ref="J101:J132">G101+H101</f>
        <v>0</v>
      </c>
      <c r="K101" s="250"/>
      <c r="L101" s="261"/>
      <c r="M101" s="219"/>
      <c r="N101" s="219"/>
      <c r="O101" s="219"/>
      <c r="P101" s="60">
        <v>6</v>
      </c>
      <c r="Q101" s="60">
        <f aca="true" t="shared" si="30" ref="Q101:Q110">P101*Q$6</f>
        <v>228</v>
      </c>
      <c r="R101" s="126">
        <v>0</v>
      </c>
      <c r="S101" s="124">
        <f>R101*S$5</f>
        <v>0</v>
      </c>
      <c r="T101" s="126">
        <v>0</v>
      </c>
      <c r="U101" s="124">
        <f t="shared" si="24"/>
        <v>0</v>
      </c>
      <c r="V101" s="180">
        <f t="shared" si="25"/>
        <v>228</v>
      </c>
      <c r="W101" s="310" t="s">
        <v>335</v>
      </c>
      <c r="X101" s="269">
        <v>228</v>
      </c>
      <c r="Y101" s="229">
        <f aca="true" t="shared" si="31" ref="Y101:Y115">V101</f>
        <v>228</v>
      </c>
      <c r="Z101" s="229"/>
      <c r="AA101" s="229"/>
      <c r="AB101" s="201"/>
    </row>
    <row r="102" spans="1:28" s="64" customFormat="1" ht="13.5" customHeight="1">
      <c r="A102" s="60" t="s">
        <v>83</v>
      </c>
      <c r="B102" s="60">
        <v>368154</v>
      </c>
      <c r="C102" s="60" t="s">
        <v>79</v>
      </c>
      <c r="D102" s="60" t="s">
        <v>291</v>
      </c>
      <c r="E102" s="134" t="s">
        <v>310</v>
      </c>
      <c r="F102" s="116">
        <v>0</v>
      </c>
      <c r="G102" s="117">
        <f t="shared" si="27"/>
        <v>0</v>
      </c>
      <c r="H102" s="116">
        <v>0</v>
      </c>
      <c r="I102" s="117">
        <f t="shared" si="28"/>
        <v>0</v>
      </c>
      <c r="J102" s="173">
        <f t="shared" si="29"/>
        <v>0</v>
      </c>
      <c r="K102" s="250"/>
      <c r="L102" s="261"/>
      <c r="M102" s="219"/>
      <c r="N102" s="219"/>
      <c r="O102" s="219"/>
      <c r="P102" s="60">
        <v>6</v>
      </c>
      <c r="Q102" s="60">
        <f t="shared" si="30"/>
        <v>228</v>
      </c>
      <c r="R102" s="126">
        <v>0</v>
      </c>
      <c r="S102" s="124">
        <f>R102*S$5</f>
        <v>0</v>
      </c>
      <c r="T102" s="126">
        <v>0</v>
      </c>
      <c r="U102" s="124">
        <f t="shared" si="24"/>
        <v>0</v>
      </c>
      <c r="V102" s="180">
        <f t="shared" si="25"/>
        <v>228</v>
      </c>
      <c r="W102" s="310" t="s">
        <v>335</v>
      </c>
      <c r="X102" s="269">
        <v>228</v>
      </c>
      <c r="Y102" s="229">
        <f t="shared" si="31"/>
        <v>228</v>
      </c>
      <c r="Z102" s="229"/>
      <c r="AA102" s="229"/>
      <c r="AB102" s="201"/>
    </row>
    <row r="103" spans="1:28" s="64" customFormat="1" ht="13.5" customHeight="1">
      <c r="A103" s="60" t="s">
        <v>83</v>
      </c>
      <c r="B103" s="60">
        <v>368156</v>
      </c>
      <c r="C103" s="60" t="s">
        <v>79</v>
      </c>
      <c r="D103" s="60" t="s">
        <v>291</v>
      </c>
      <c r="E103" s="134" t="s">
        <v>384</v>
      </c>
      <c r="F103" s="116">
        <v>0</v>
      </c>
      <c r="G103" s="117">
        <f t="shared" si="27"/>
        <v>0</v>
      </c>
      <c r="H103" s="116">
        <v>0</v>
      </c>
      <c r="I103" s="117">
        <f t="shared" si="28"/>
        <v>0</v>
      </c>
      <c r="J103" s="173">
        <f t="shared" si="29"/>
        <v>0</v>
      </c>
      <c r="K103" s="250"/>
      <c r="L103" s="261"/>
      <c r="M103" s="219"/>
      <c r="N103" s="219"/>
      <c r="O103" s="219"/>
      <c r="P103" s="60">
        <v>6</v>
      </c>
      <c r="Q103" s="60">
        <f t="shared" si="30"/>
        <v>228</v>
      </c>
      <c r="R103" s="126">
        <v>0</v>
      </c>
      <c r="S103" s="124">
        <f t="shared" si="11"/>
        <v>0</v>
      </c>
      <c r="T103" s="126">
        <v>0</v>
      </c>
      <c r="U103" s="124">
        <f t="shared" si="12"/>
        <v>0</v>
      </c>
      <c r="V103" s="180">
        <f t="shared" si="25"/>
        <v>228</v>
      </c>
      <c r="W103" s="310" t="s">
        <v>335</v>
      </c>
      <c r="X103" s="269">
        <v>228</v>
      </c>
      <c r="Y103" s="229">
        <f t="shared" si="31"/>
        <v>228</v>
      </c>
      <c r="Z103" s="229"/>
      <c r="AA103" s="229"/>
      <c r="AB103" s="201"/>
    </row>
    <row r="104" spans="1:28" s="64" customFormat="1" ht="13.5" customHeight="1">
      <c r="A104" s="60" t="s">
        <v>83</v>
      </c>
      <c r="B104" s="60">
        <v>368158</v>
      </c>
      <c r="C104" s="60" t="s">
        <v>79</v>
      </c>
      <c r="D104" s="60" t="s">
        <v>291</v>
      </c>
      <c r="E104" s="134" t="s">
        <v>382</v>
      </c>
      <c r="F104" s="116">
        <v>0</v>
      </c>
      <c r="G104" s="117">
        <f t="shared" si="27"/>
        <v>0</v>
      </c>
      <c r="H104" s="116">
        <v>0</v>
      </c>
      <c r="I104" s="117">
        <f t="shared" si="28"/>
        <v>0</v>
      </c>
      <c r="J104" s="173">
        <f t="shared" si="29"/>
        <v>0</v>
      </c>
      <c r="K104" s="250"/>
      <c r="L104" s="261"/>
      <c r="M104" s="219"/>
      <c r="N104" s="219"/>
      <c r="O104" s="219"/>
      <c r="P104" s="60">
        <v>6</v>
      </c>
      <c r="Q104" s="60">
        <f t="shared" si="30"/>
        <v>228</v>
      </c>
      <c r="R104" s="126">
        <v>0</v>
      </c>
      <c r="S104" s="124">
        <f aca="true" t="shared" si="32" ref="S104:S119">R104*S$5</f>
        <v>0</v>
      </c>
      <c r="T104" s="126">
        <v>0</v>
      </c>
      <c r="U104" s="124">
        <f aca="true" t="shared" si="33" ref="U104:U135">T104*U$5</f>
        <v>0</v>
      </c>
      <c r="V104" s="180">
        <f t="shared" si="25"/>
        <v>228</v>
      </c>
      <c r="W104" s="310" t="s">
        <v>335</v>
      </c>
      <c r="X104" s="269">
        <v>228</v>
      </c>
      <c r="Y104" s="229">
        <f t="shared" si="31"/>
        <v>228</v>
      </c>
      <c r="Z104" s="229"/>
      <c r="AA104" s="229"/>
      <c r="AB104" s="201"/>
    </row>
    <row r="105" spans="1:28" s="64" customFormat="1" ht="13.5" customHeight="1">
      <c r="A105" s="60" t="s">
        <v>83</v>
      </c>
      <c r="B105" s="60">
        <v>368160</v>
      </c>
      <c r="C105" s="60" t="s">
        <v>79</v>
      </c>
      <c r="D105" s="60" t="s">
        <v>291</v>
      </c>
      <c r="E105" s="134" t="s">
        <v>385</v>
      </c>
      <c r="F105" s="116">
        <v>0</v>
      </c>
      <c r="G105" s="117">
        <f t="shared" si="27"/>
        <v>0</v>
      </c>
      <c r="H105" s="116">
        <v>0</v>
      </c>
      <c r="I105" s="117">
        <f t="shared" si="28"/>
        <v>0</v>
      </c>
      <c r="J105" s="173">
        <f t="shared" si="29"/>
        <v>0</v>
      </c>
      <c r="K105" s="250"/>
      <c r="L105" s="261"/>
      <c r="M105" s="219"/>
      <c r="N105" s="219"/>
      <c r="O105" s="219"/>
      <c r="P105" s="60">
        <v>6</v>
      </c>
      <c r="Q105" s="60">
        <f t="shared" si="30"/>
        <v>228</v>
      </c>
      <c r="R105" s="126">
        <v>0</v>
      </c>
      <c r="S105" s="124">
        <f t="shared" si="32"/>
        <v>0</v>
      </c>
      <c r="T105" s="126">
        <v>0</v>
      </c>
      <c r="U105" s="124">
        <f t="shared" si="33"/>
        <v>0</v>
      </c>
      <c r="V105" s="180">
        <f t="shared" si="25"/>
        <v>228</v>
      </c>
      <c r="W105" s="310" t="s">
        <v>335</v>
      </c>
      <c r="X105" s="269">
        <v>228</v>
      </c>
      <c r="Y105" s="229">
        <f t="shared" si="31"/>
        <v>228</v>
      </c>
      <c r="Z105" s="229"/>
      <c r="AA105" s="229"/>
      <c r="AB105" s="201"/>
    </row>
    <row r="106" spans="1:28" s="64" customFormat="1" ht="13.5" customHeight="1">
      <c r="A106" s="60" t="s">
        <v>156</v>
      </c>
      <c r="B106" s="60">
        <v>368192</v>
      </c>
      <c r="C106" s="60" t="s">
        <v>83</v>
      </c>
      <c r="D106" s="60" t="s">
        <v>291</v>
      </c>
      <c r="E106" s="134" t="s">
        <v>209</v>
      </c>
      <c r="F106" s="116">
        <v>0</v>
      </c>
      <c r="G106" s="117">
        <f t="shared" si="27"/>
        <v>0</v>
      </c>
      <c r="H106" s="116">
        <v>0</v>
      </c>
      <c r="I106" s="117">
        <f t="shared" si="28"/>
        <v>0</v>
      </c>
      <c r="J106" s="173">
        <f t="shared" si="29"/>
        <v>0</v>
      </c>
      <c r="K106" s="250"/>
      <c r="L106" s="261"/>
      <c r="M106" s="219"/>
      <c r="N106" s="219"/>
      <c r="O106" s="219"/>
      <c r="P106" s="60">
        <v>6</v>
      </c>
      <c r="Q106" s="60">
        <f t="shared" si="30"/>
        <v>228</v>
      </c>
      <c r="R106" s="126">
        <v>0</v>
      </c>
      <c r="S106" s="124">
        <f t="shared" si="32"/>
        <v>0</v>
      </c>
      <c r="T106" s="126">
        <v>0</v>
      </c>
      <c r="U106" s="124">
        <f t="shared" si="33"/>
        <v>0</v>
      </c>
      <c r="V106" s="180">
        <f t="shared" si="25"/>
        <v>228</v>
      </c>
      <c r="W106" s="310" t="s">
        <v>335</v>
      </c>
      <c r="X106" s="269">
        <v>228</v>
      </c>
      <c r="Y106" s="229">
        <f t="shared" si="31"/>
        <v>228</v>
      </c>
      <c r="Z106" s="229"/>
      <c r="AA106" s="229"/>
      <c r="AB106" s="201"/>
    </row>
    <row r="107" spans="1:28" s="64" customFormat="1" ht="13.5" customHeight="1">
      <c r="A107" s="60" t="s">
        <v>156</v>
      </c>
      <c r="B107" s="60">
        <v>368195</v>
      </c>
      <c r="C107" s="60" t="s">
        <v>83</v>
      </c>
      <c r="D107" s="60" t="s">
        <v>291</v>
      </c>
      <c r="E107" s="134" t="s">
        <v>210</v>
      </c>
      <c r="F107" s="116">
        <v>0</v>
      </c>
      <c r="G107" s="117">
        <f t="shared" si="27"/>
        <v>0</v>
      </c>
      <c r="H107" s="116">
        <v>0</v>
      </c>
      <c r="I107" s="117">
        <f t="shared" si="28"/>
        <v>0</v>
      </c>
      <c r="J107" s="173">
        <f t="shared" si="29"/>
        <v>0</v>
      </c>
      <c r="K107" s="250"/>
      <c r="L107" s="261"/>
      <c r="M107" s="219"/>
      <c r="N107" s="219"/>
      <c r="O107" s="219"/>
      <c r="P107" s="60">
        <v>6</v>
      </c>
      <c r="Q107" s="60">
        <f t="shared" si="30"/>
        <v>228</v>
      </c>
      <c r="R107" s="126">
        <v>0</v>
      </c>
      <c r="S107" s="124">
        <f t="shared" si="32"/>
        <v>0</v>
      </c>
      <c r="T107" s="126">
        <v>0</v>
      </c>
      <c r="U107" s="124">
        <f t="shared" si="33"/>
        <v>0</v>
      </c>
      <c r="V107" s="180">
        <f t="shared" si="25"/>
        <v>228</v>
      </c>
      <c r="W107" s="310" t="s">
        <v>335</v>
      </c>
      <c r="X107" s="269">
        <v>228</v>
      </c>
      <c r="Y107" s="229">
        <f t="shared" si="31"/>
        <v>228</v>
      </c>
      <c r="Z107" s="229"/>
      <c r="AA107" s="229"/>
      <c r="AB107" s="201"/>
    </row>
    <row r="108" spans="1:28" s="64" customFormat="1" ht="13.5" customHeight="1">
      <c r="A108" s="60" t="s">
        <v>156</v>
      </c>
      <c r="B108" s="60">
        <v>368196</v>
      </c>
      <c r="C108" s="60" t="s">
        <v>83</v>
      </c>
      <c r="D108" s="60" t="s">
        <v>291</v>
      </c>
      <c r="E108" s="134" t="s">
        <v>211</v>
      </c>
      <c r="F108" s="116">
        <v>0</v>
      </c>
      <c r="G108" s="117">
        <f t="shared" si="27"/>
        <v>0</v>
      </c>
      <c r="H108" s="116">
        <v>0</v>
      </c>
      <c r="I108" s="117">
        <f t="shared" si="28"/>
        <v>0</v>
      </c>
      <c r="J108" s="173">
        <f t="shared" si="29"/>
        <v>0</v>
      </c>
      <c r="K108" s="250"/>
      <c r="L108" s="261"/>
      <c r="M108" s="219"/>
      <c r="N108" s="219"/>
      <c r="O108" s="219"/>
      <c r="P108" s="60">
        <v>6</v>
      </c>
      <c r="Q108" s="60">
        <f t="shared" si="30"/>
        <v>228</v>
      </c>
      <c r="R108" s="126">
        <v>0</v>
      </c>
      <c r="S108" s="124">
        <f t="shared" si="32"/>
        <v>0</v>
      </c>
      <c r="T108" s="126">
        <v>0</v>
      </c>
      <c r="U108" s="124">
        <f t="shared" si="33"/>
        <v>0</v>
      </c>
      <c r="V108" s="180">
        <f t="shared" si="25"/>
        <v>228</v>
      </c>
      <c r="W108" s="310" t="s">
        <v>335</v>
      </c>
      <c r="X108" s="269">
        <v>228</v>
      </c>
      <c r="Y108" s="229">
        <f t="shared" si="31"/>
        <v>228</v>
      </c>
      <c r="Z108" s="229"/>
      <c r="AA108" s="229"/>
      <c r="AB108" s="201"/>
    </row>
    <row r="109" spans="1:28" s="64" customFormat="1" ht="13.5" customHeight="1">
      <c r="A109" s="60" t="s">
        <v>79</v>
      </c>
      <c r="B109" s="60">
        <v>368198</v>
      </c>
      <c r="C109" s="60" t="s">
        <v>88</v>
      </c>
      <c r="D109" s="60" t="s">
        <v>291</v>
      </c>
      <c r="E109" s="134" t="s">
        <v>212</v>
      </c>
      <c r="F109" s="116">
        <v>0</v>
      </c>
      <c r="G109" s="117">
        <f t="shared" si="27"/>
        <v>0</v>
      </c>
      <c r="H109" s="121">
        <v>0</v>
      </c>
      <c r="I109" s="117">
        <f t="shared" si="28"/>
        <v>0</v>
      </c>
      <c r="J109" s="173">
        <f t="shared" si="29"/>
        <v>0</v>
      </c>
      <c r="K109" s="250"/>
      <c r="L109" s="261"/>
      <c r="M109" s="219"/>
      <c r="N109" s="219"/>
      <c r="O109" s="219"/>
      <c r="P109" s="60">
        <v>4</v>
      </c>
      <c r="Q109" s="60">
        <f t="shared" si="30"/>
        <v>152</v>
      </c>
      <c r="R109" s="126">
        <v>0</v>
      </c>
      <c r="S109" s="124">
        <f t="shared" si="32"/>
        <v>0</v>
      </c>
      <c r="T109" s="126">
        <v>0</v>
      </c>
      <c r="U109" s="124">
        <f t="shared" si="33"/>
        <v>0</v>
      </c>
      <c r="V109" s="180">
        <f t="shared" si="25"/>
        <v>152</v>
      </c>
      <c r="W109" s="310" t="s">
        <v>335</v>
      </c>
      <c r="X109" s="269">
        <v>152</v>
      </c>
      <c r="Y109" s="229">
        <f t="shared" si="31"/>
        <v>152</v>
      </c>
      <c r="Z109" s="229"/>
      <c r="AA109" s="229"/>
      <c r="AB109" s="201"/>
    </row>
    <row r="110" spans="1:28" s="64" customFormat="1" ht="13.5" customHeight="1">
      <c r="A110" s="60" t="s">
        <v>79</v>
      </c>
      <c r="B110" s="60">
        <v>368199</v>
      </c>
      <c r="C110" s="60" t="s">
        <v>88</v>
      </c>
      <c r="D110" s="60" t="s">
        <v>291</v>
      </c>
      <c r="E110" s="134" t="s">
        <v>213</v>
      </c>
      <c r="F110" s="116">
        <v>0</v>
      </c>
      <c r="G110" s="117">
        <f t="shared" si="27"/>
        <v>0</v>
      </c>
      <c r="H110" s="121">
        <v>0</v>
      </c>
      <c r="I110" s="117">
        <f t="shared" si="28"/>
        <v>0</v>
      </c>
      <c r="J110" s="173">
        <f t="shared" si="29"/>
        <v>0</v>
      </c>
      <c r="K110" s="250"/>
      <c r="L110" s="261"/>
      <c r="M110" s="219"/>
      <c r="N110" s="219"/>
      <c r="O110" s="219"/>
      <c r="P110" s="60">
        <v>8</v>
      </c>
      <c r="Q110" s="60">
        <f t="shared" si="30"/>
        <v>304</v>
      </c>
      <c r="R110" s="126">
        <v>0</v>
      </c>
      <c r="S110" s="124">
        <f t="shared" si="32"/>
        <v>0</v>
      </c>
      <c r="T110" s="126">
        <v>0</v>
      </c>
      <c r="U110" s="124">
        <f t="shared" si="33"/>
        <v>0</v>
      </c>
      <c r="V110" s="180">
        <f t="shared" si="25"/>
        <v>304</v>
      </c>
      <c r="W110" s="310" t="s">
        <v>335</v>
      </c>
      <c r="X110" s="269">
        <v>304</v>
      </c>
      <c r="Y110" s="229">
        <f t="shared" si="31"/>
        <v>304</v>
      </c>
      <c r="Z110" s="229"/>
      <c r="AA110" s="229"/>
      <c r="AB110" s="201"/>
    </row>
    <row r="111" spans="1:28" s="84" customFormat="1" ht="13.5" customHeight="1">
      <c r="A111" s="63" t="s">
        <v>196</v>
      </c>
      <c r="B111" s="63">
        <v>368215</v>
      </c>
      <c r="C111" s="63" t="s">
        <v>157</v>
      </c>
      <c r="D111" s="63" t="s">
        <v>291</v>
      </c>
      <c r="E111" s="135" t="s">
        <v>214</v>
      </c>
      <c r="F111" s="118">
        <v>0</v>
      </c>
      <c r="G111" s="119">
        <f aca="true" t="shared" si="34" ref="G111:G125">F111*$G$5</f>
        <v>0</v>
      </c>
      <c r="H111" s="120">
        <v>0</v>
      </c>
      <c r="I111" s="119">
        <f aca="true" t="shared" si="35" ref="I111:I125">H111*I$5</f>
        <v>0</v>
      </c>
      <c r="J111" s="174">
        <f t="shared" si="29"/>
        <v>0</v>
      </c>
      <c r="K111" s="251"/>
      <c r="L111" s="262"/>
      <c r="M111" s="220"/>
      <c r="N111" s="220"/>
      <c r="O111" s="220"/>
      <c r="P111" s="63">
        <v>3</v>
      </c>
      <c r="Q111" s="63">
        <f>P111*Q$5</f>
        <v>108</v>
      </c>
      <c r="R111" s="127">
        <v>0</v>
      </c>
      <c r="S111" s="125">
        <f t="shared" si="32"/>
        <v>0</v>
      </c>
      <c r="T111" s="127">
        <v>0</v>
      </c>
      <c r="U111" s="125">
        <f t="shared" si="33"/>
        <v>0</v>
      </c>
      <c r="V111" s="181">
        <f t="shared" si="25"/>
        <v>108</v>
      </c>
      <c r="W111" s="310" t="s">
        <v>335</v>
      </c>
      <c r="X111" s="269">
        <v>108</v>
      </c>
      <c r="Y111" s="229">
        <f t="shared" si="31"/>
        <v>108</v>
      </c>
      <c r="Z111" s="229"/>
      <c r="AA111" s="229"/>
      <c r="AB111" s="202"/>
    </row>
    <row r="112" spans="1:28" s="84" customFormat="1" ht="13.5" customHeight="1">
      <c r="A112" s="63" t="s">
        <v>196</v>
      </c>
      <c r="B112" s="63">
        <v>368216</v>
      </c>
      <c r="C112" s="63" t="s">
        <v>83</v>
      </c>
      <c r="D112" s="63" t="s">
        <v>291</v>
      </c>
      <c r="E112" s="135" t="s">
        <v>215</v>
      </c>
      <c r="F112" s="118">
        <v>0</v>
      </c>
      <c r="G112" s="119">
        <f t="shared" si="34"/>
        <v>0</v>
      </c>
      <c r="H112" s="120">
        <v>0</v>
      </c>
      <c r="I112" s="119">
        <f t="shared" si="35"/>
        <v>0</v>
      </c>
      <c r="J112" s="174">
        <f t="shared" si="29"/>
        <v>0</v>
      </c>
      <c r="K112" s="251"/>
      <c r="L112" s="262"/>
      <c r="M112" s="220"/>
      <c r="N112" s="220"/>
      <c r="O112" s="220"/>
      <c r="P112" s="63">
        <v>1</v>
      </c>
      <c r="Q112" s="63">
        <f>P112*Q$5</f>
        <v>36</v>
      </c>
      <c r="R112" s="127">
        <v>0</v>
      </c>
      <c r="S112" s="125">
        <f t="shared" si="32"/>
        <v>0</v>
      </c>
      <c r="T112" s="127">
        <v>0</v>
      </c>
      <c r="U112" s="125">
        <f t="shared" si="33"/>
        <v>0</v>
      </c>
      <c r="V112" s="181">
        <f t="shared" si="25"/>
        <v>36</v>
      </c>
      <c r="W112" s="310" t="s">
        <v>335</v>
      </c>
      <c r="X112" s="269">
        <v>36</v>
      </c>
      <c r="Y112" s="229">
        <f t="shared" si="31"/>
        <v>36</v>
      </c>
      <c r="Z112" s="229"/>
      <c r="AA112" s="229"/>
      <c r="AB112" s="202"/>
    </row>
    <row r="113" spans="1:28" s="84" customFormat="1" ht="13.5" customHeight="1">
      <c r="A113" s="63" t="s">
        <v>196</v>
      </c>
      <c r="B113" s="63">
        <v>368217</v>
      </c>
      <c r="C113" s="63" t="s">
        <v>83</v>
      </c>
      <c r="D113" s="63" t="s">
        <v>291</v>
      </c>
      <c r="E113" s="135" t="s">
        <v>216</v>
      </c>
      <c r="F113" s="118">
        <v>0</v>
      </c>
      <c r="G113" s="119">
        <f t="shared" si="34"/>
        <v>0</v>
      </c>
      <c r="H113" s="120">
        <v>0</v>
      </c>
      <c r="I113" s="119">
        <f t="shared" si="35"/>
        <v>0</v>
      </c>
      <c r="J113" s="174">
        <f t="shared" si="29"/>
        <v>0</v>
      </c>
      <c r="K113" s="251"/>
      <c r="L113" s="262"/>
      <c r="M113" s="220"/>
      <c r="N113" s="220"/>
      <c r="O113" s="220"/>
      <c r="P113" s="63">
        <v>2</v>
      </c>
      <c r="Q113" s="63">
        <f>P113*Q$5</f>
        <v>72</v>
      </c>
      <c r="R113" s="127">
        <v>0</v>
      </c>
      <c r="S113" s="125">
        <f t="shared" si="32"/>
        <v>0</v>
      </c>
      <c r="T113" s="127">
        <v>0</v>
      </c>
      <c r="U113" s="125">
        <f t="shared" si="33"/>
        <v>0</v>
      </c>
      <c r="V113" s="181">
        <f t="shared" si="25"/>
        <v>72</v>
      </c>
      <c r="W113" s="310" t="s">
        <v>335</v>
      </c>
      <c r="X113" s="269">
        <v>72</v>
      </c>
      <c r="Y113" s="229">
        <f t="shared" si="31"/>
        <v>72</v>
      </c>
      <c r="Z113" s="229"/>
      <c r="AA113" s="229"/>
      <c r="AB113" s="202"/>
    </row>
    <row r="114" spans="1:28" s="84" customFormat="1" ht="13.5" customHeight="1">
      <c r="A114" s="63" t="s">
        <v>196</v>
      </c>
      <c r="B114" s="63">
        <v>368218</v>
      </c>
      <c r="C114" s="63" t="s">
        <v>83</v>
      </c>
      <c r="D114" s="63" t="s">
        <v>291</v>
      </c>
      <c r="E114" s="135" t="s">
        <v>217</v>
      </c>
      <c r="F114" s="118">
        <v>0</v>
      </c>
      <c r="G114" s="119">
        <f t="shared" si="34"/>
        <v>0</v>
      </c>
      <c r="H114" s="120">
        <v>0</v>
      </c>
      <c r="I114" s="119">
        <f t="shared" si="35"/>
        <v>0</v>
      </c>
      <c r="J114" s="174">
        <f t="shared" si="29"/>
        <v>0</v>
      </c>
      <c r="K114" s="251"/>
      <c r="L114" s="262"/>
      <c r="M114" s="220"/>
      <c r="N114" s="220"/>
      <c r="O114" s="220"/>
      <c r="P114" s="63">
        <v>1</v>
      </c>
      <c r="Q114" s="63">
        <f>P114*Q$5</f>
        <v>36</v>
      </c>
      <c r="R114" s="127">
        <v>0</v>
      </c>
      <c r="S114" s="125">
        <f t="shared" si="32"/>
        <v>0</v>
      </c>
      <c r="T114" s="127">
        <v>0</v>
      </c>
      <c r="U114" s="125">
        <f t="shared" si="33"/>
        <v>0</v>
      </c>
      <c r="V114" s="181">
        <f t="shared" si="25"/>
        <v>36</v>
      </c>
      <c r="W114" s="310" t="s">
        <v>335</v>
      </c>
      <c r="X114" s="269">
        <v>36</v>
      </c>
      <c r="Y114" s="229">
        <f t="shared" si="31"/>
        <v>36</v>
      </c>
      <c r="Z114" s="229"/>
      <c r="AA114" s="229"/>
      <c r="AB114" s="202"/>
    </row>
    <row r="115" spans="1:28" s="64" customFormat="1" ht="13.5" customHeight="1">
      <c r="A115" s="60" t="s">
        <v>79</v>
      </c>
      <c r="B115" s="60">
        <v>368331</v>
      </c>
      <c r="C115" s="60" t="s">
        <v>79</v>
      </c>
      <c r="D115" s="60" t="s">
        <v>291</v>
      </c>
      <c r="E115" s="134" t="s">
        <v>309</v>
      </c>
      <c r="F115" s="116">
        <v>0</v>
      </c>
      <c r="G115" s="117">
        <f>F115*$G$6</f>
        <v>0</v>
      </c>
      <c r="H115" s="116">
        <v>0</v>
      </c>
      <c r="I115" s="117">
        <f>H115*I$6</f>
        <v>0</v>
      </c>
      <c r="J115" s="173">
        <f t="shared" si="29"/>
        <v>0</v>
      </c>
      <c r="K115" s="250"/>
      <c r="L115" s="261"/>
      <c r="M115" s="219"/>
      <c r="N115" s="219"/>
      <c r="O115" s="219"/>
      <c r="P115" s="60">
        <v>1</v>
      </c>
      <c r="Q115" s="60">
        <f>P115*Q$6</f>
        <v>38</v>
      </c>
      <c r="R115" s="126">
        <v>0</v>
      </c>
      <c r="S115" s="124">
        <f t="shared" si="32"/>
        <v>0</v>
      </c>
      <c r="T115" s="126">
        <v>0</v>
      </c>
      <c r="U115" s="124">
        <f t="shared" si="33"/>
        <v>0</v>
      </c>
      <c r="V115" s="180">
        <f t="shared" si="25"/>
        <v>38</v>
      </c>
      <c r="W115" s="310" t="s">
        <v>335</v>
      </c>
      <c r="X115" s="269">
        <v>38</v>
      </c>
      <c r="Y115" s="229">
        <f t="shared" si="31"/>
        <v>38</v>
      </c>
      <c r="Z115" s="229"/>
      <c r="AA115" s="229"/>
      <c r="AB115" s="201"/>
    </row>
    <row r="116" spans="1:28" s="84" customFormat="1" ht="27" customHeight="1">
      <c r="A116" s="63" t="s">
        <v>196</v>
      </c>
      <c r="B116" s="63">
        <v>368315</v>
      </c>
      <c r="C116" s="63" t="s">
        <v>79</v>
      </c>
      <c r="D116" s="63" t="s">
        <v>291</v>
      </c>
      <c r="E116" s="135" t="s">
        <v>233</v>
      </c>
      <c r="F116" s="118">
        <v>0</v>
      </c>
      <c r="G116" s="119">
        <f t="shared" si="34"/>
        <v>0</v>
      </c>
      <c r="H116" s="118">
        <v>0</v>
      </c>
      <c r="I116" s="119">
        <f t="shared" si="35"/>
        <v>0</v>
      </c>
      <c r="J116" s="174">
        <f t="shared" si="29"/>
        <v>0</v>
      </c>
      <c r="K116" s="251"/>
      <c r="L116" s="262"/>
      <c r="M116" s="220"/>
      <c r="N116" s="220"/>
      <c r="O116" s="220"/>
      <c r="P116" s="118">
        <v>0</v>
      </c>
      <c r="Q116" s="118">
        <f aca="true" t="shared" si="36" ref="Q116:Q146">P116*Q$6</f>
        <v>0</v>
      </c>
      <c r="R116" s="101">
        <v>3</v>
      </c>
      <c r="S116" s="100">
        <f>R116*S$5</f>
        <v>108</v>
      </c>
      <c r="T116" s="127">
        <v>0</v>
      </c>
      <c r="U116" s="125">
        <f t="shared" si="33"/>
        <v>0</v>
      </c>
      <c r="V116" s="181">
        <f t="shared" si="25"/>
        <v>108</v>
      </c>
      <c r="W116" s="310" t="s">
        <v>335</v>
      </c>
      <c r="X116" s="269">
        <v>108</v>
      </c>
      <c r="Y116" s="229"/>
      <c r="Z116" s="229">
        <f>V116</f>
        <v>108</v>
      </c>
      <c r="AA116" s="229"/>
      <c r="AB116" s="202"/>
    </row>
    <row r="117" spans="1:28" s="84" customFormat="1" ht="13.5" customHeight="1">
      <c r="A117" s="63" t="s">
        <v>196</v>
      </c>
      <c r="B117" s="63">
        <v>368316</v>
      </c>
      <c r="C117" s="63" t="s">
        <v>79</v>
      </c>
      <c r="D117" s="63" t="s">
        <v>291</v>
      </c>
      <c r="E117" s="135" t="s">
        <v>234</v>
      </c>
      <c r="F117" s="120">
        <v>0</v>
      </c>
      <c r="G117" s="119">
        <f t="shared" si="34"/>
        <v>0</v>
      </c>
      <c r="H117" s="118">
        <v>0</v>
      </c>
      <c r="I117" s="119">
        <f t="shared" si="35"/>
        <v>0</v>
      </c>
      <c r="J117" s="174">
        <f t="shared" si="29"/>
        <v>0</v>
      </c>
      <c r="K117" s="251"/>
      <c r="L117" s="262"/>
      <c r="M117" s="220"/>
      <c r="N117" s="220"/>
      <c r="O117" s="220"/>
      <c r="P117" s="118">
        <v>0</v>
      </c>
      <c r="Q117" s="118">
        <f t="shared" si="36"/>
        <v>0</v>
      </c>
      <c r="R117" s="101">
        <v>1</v>
      </c>
      <c r="S117" s="100">
        <f t="shared" si="32"/>
        <v>36</v>
      </c>
      <c r="T117" s="128">
        <v>0</v>
      </c>
      <c r="U117" s="125">
        <f t="shared" si="33"/>
        <v>0</v>
      </c>
      <c r="V117" s="181">
        <f t="shared" si="25"/>
        <v>36</v>
      </c>
      <c r="W117" s="310" t="s">
        <v>335</v>
      </c>
      <c r="X117" s="269">
        <v>36</v>
      </c>
      <c r="Y117" s="229"/>
      <c r="Z117" s="229">
        <f aca="true" t="shared" si="37" ref="Z117:Z131">V117</f>
        <v>36</v>
      </c>
      <c r="AA117" s="229"/>
      <c r="AB117" s="202"/>
    </row>
    <row r="118" spans="1:28" s="84" customFormat="1" ht="13.5" customHeight="1">
      <c r="A118" s="63" t="s">
        <v>196</v>
      </c>
      <c r="B118" s="63">
        <v>368317</v>
      </c>
      <c r="C118" s="63" t="s">
        <v>79</v>
      </c>
      <c r="D118" s="63" t="s">
        <v>291</v>
      </c>
      <c r="E118" s="135" t="s">
        <v>236</v>
      </c>
      <c r="F118" s="120">
        <v>0</v>
      </c>
      <c r="G118" s="119">
        <f t="shared" si="34"/>
        <v>0</v>
      </c>
      <c r="H118" s="118">
        <v>0</v>
      </c>
      <c r="I118" s="119">
        <f t="shared" si="35"/>
        <v>0</v>
      </c>
      <c r="J118" s="174">
        <f t="shared" si="29"/>
        <v>0</v>
      </c>
      <c r="K118" s="251"/>
      <c r="L118" s="262"/>
      <c r="M118" s="220"/>
      <c r="N118" s="220"/>
      <c r="O118" s="220"/>
      <c r="P118" s="118">
        <v>0</v>
      </c>
      <c r="Q118" s="118">
        <f t="shared" si="36"/>
        <v>0</v>
      </c>
      <c r="R118" s="101">
        <v>2</v>
      </c>
      <c r="S118" s="100">
        <f t="shared" si="32"/>
        <v>72</v>
      </c>
      <c r="T118" s="128">
        <v>0</v>
      </c>
      <c r="U118" s="125">
        <f t="shared" si="33"/>
        <v>0</v>
      </c>
      <c r="V118" s="181">
        <f t="shared" si="25"/>
        <v>72</v>
      </c>
      <c r="W118" s="310" t="s">
        <v>335</v>
      </c>
      <c r="X118" s="269">
        <v>72</v>
      </c>
      <c r="Y118" s="229"/>
      <c r="Z118" s="229">
        <f t="shared" si="37"/>
        <v>72</v>
      </c>
      <c r="AA118" s="229"/>
      <c r="AB118" s="202"/>
    </row>
    <row r="119" spans="1:28" s="84" customFormat="1" ht="13.5" customHeight="1">
      <c r="A119" s="63" t="s">
        <v>196</v>
      </c>
      <c r="B119" s="63">
        <v>368318</v>
      </c>
      <c r="C119" s="63" t="s">
        <v>88</v>
      </c>
      <c r="D119" s="63" t="s">
        <v>291</v>
      </c>
      <c r="E119" s="135" t="s">
        <v>237</v>
      </c>
      <c r="F119" s="120">
        <v>0</v>
      </c>
      <c r="G119" s="119">
        <f t="shared" si="34"/>
        <v>0</v>
      </c>
      <c r="H119" s="118">
        <v>0</v>
      </c>
      <c r="I119" s="119">
        <f t="shared" si="35"/>
        <v>0</v>
      </c>
      <c r="J119" s="174">
        <f t="shared" si="29"/>
        <v>0</v>
      </c>
      <c r="K119" s="251"/>
      <c r="L119" s="262"/>
      <c r="M119" s="220"/>
      <c r="N119" s="220"/>
      <c r="O119" s="220"/>
      <c r="P119" s="118">
        <v>0</v>
      </c>
      <c r="Q119" s="118">
        <f t="shared" si="36"/>
        <v>0</v>
      </c>
      <c r="R119" s="101">
        <v>1</v>
      </c>
      <c r="S119" s="100">
        <f t="shared" si="32"/>
        <v>36</v>
      </c>
      <c r="T119" s="128">
        <v>0</v>
      </c>
      <c r="U119" s="125">
        <f t="shared" si="33"/>
        <v>0</v>
      </c>
      <c r="V119" s="181">
        <f t="shared" si="25"/>
        <v>36</v>
      </c>
      <c r="W119" s="310" t="s">
        <v>335</v>
      </c>
      <c r="X119" s="269">
        <v>36</v>
      </c>
      <c r="Y119" s="229"/>
      <c r="Z119" s="229">
        <f t="shared" si="37"/>
        <v>36</v>
      </c>
      <c r="AA119" s="229"/>
      <c r="AB119" s="202"/>
    </row>
    <row r="120" spans="1:28" s="64" customFormat="1" ht="13.5" customHeight="1">
      <c r="A120" s="60" t="s">
        <v>156</v>
      </c>
      <c r="B120" s="60">
        <v>368460</v>
      </c>
      <c r="C120" s="60" t="s">
        <v>83</v>
      </c>
      <c r="D120" s="60" t="s">
        <v>291</v>
      </c>
      <c r="E120" s="134" t="s">
        <v>259</v>
      </c>
      <c r="F120" s="116">
        <v>0</v>
      </c>
      <c r="G120" s="117">
        <f t="shared" si="34"/>
        <v>0</v>
      </c>
      <c r="H120" s="118">
        <v>0</v>
      </c>
      <c r="I120" s="117">
        <f t="shared" si="35"/>
        <v>0</v>
      </c>
      <c r="J120" s="173">
        <f t="shared" si="29"/>
        <v>0</v>
      </c>
      <c r="K120" s="250"/>
      <c r="L120" s="261"/>
      <c r="M120" s="219"/>
      <c r="N120" s="219"/>
      <c r="O120" s="219"/>
      <c r="P120" s="118">
        <v>0</v>
      </c>
      <c r="Q120" s="116">
        <f t="shared" si="36"/>
        <v>0</v>
      </c>
      <c r="R120" s="99">
        <v>6</v>
      </c>
      <c r="S120" s="98">
        <f>R120*S$6</f>
        <v>228</v>
      </c>
      <c r="T120" s="128">
        <v>0</v>
      </c>
      <c r="U120" s="124">
        <f t="shared" si="33"/>
        <v>0</v>
      </c>
      <c r="V120" s="180">
        <f t="shared" si="25"/>
        <v>228</v>
      </c>
      <c r="W120" s="310" t="s">
        <v>335</v>
      </c>
      <c r="X120" s="269">
        <v>228</v>
      </c>
      <c r="Y120" s="229"/>
      <c r="Z120" s="229">
        <f t="shared" si="37"/>
        <v>228</v>
      </c>
      <c r="AA120" s="229"/>
      <c r="AB120" s="202"/>
    </row>
    <row r="121" spans="1:28" s="64" customFormat="1" ht="13.5" customHeight="1">
      <c r="A121" s="60" t="s">
        <v>156</v>
      </c>
      <c r="B121" s="60">
        <v>368463</v>
      </c>
      <c r="C121" s="60" t="s">
        <v>79</v>
      </c>
      <c r="D121" s="60" t="s">
        <v>291</v>
      </c>
      <c r="E121" s="134" t="s">
        <v>260</v>
      </c>
      <c r="F121" s="116">
        <v>0</v>
      </c>
      <c r="G121" s="117">
        <f t="shared" si="34"/>
        <v>0</v>
      </c>
      <c r="H121" s="118">
        <v>0</v>
      </c>
      <c r="I121" s="117">
        <f t="shared" si="35"/>
        <v>0</v>
      </c>
      <c r="J121" s="173">
        <f t="shared" si="29"/>
        <v>0</v>
      </c>
      <c r="K121" s="250"/>
      <c r="L121" s="261"/>
      <c r="M121" s="219"/>
      <c r="N121" s="219"/>
      <c r="O121" s="219"/>
      <c r="P121" s="118">
        <v>0</v>
      </c>
      <c r="Q121" s="116">
        <f t="shared" si="36"/>
        <v>0</v>
      </c>
      <c r="R121" s="99">
        <v>6</v>
      </c>
      <c r="S121" s="98">
        <f aca="true" t="shared" si="38" ref="S121:S130">R121*S$6</f>
        <v>228</v>
      </c>
      <c r="T121" s="128">
        <v>0</v>
      </c>
      <c r="U121" s="124">
        <f t="shared" si="33"/>
        <v>0</v>
      </c>
      <c r="V121" s="180">
        <f t="shared" si="25"/>
        <v>228</v>
      </c>
      <c r="W121" s="310" t="s">
        <v>335</v>
      </c>
      <c r="X121" s="269">
        <v>228</v>
      </c>
      <c r="Y121" s="229"/>
      <c r="Z121" s="229">
        <f t="shared" si="37"/>
        <v>228</v>
      </c>
      <c r="AA121" s="229"/>
      <c r="AB121" s="202"/>
    </row>
    <row r="122" spans="1:28" s="64" customFormat="1" ht="13.5" customHeight="1">
      <c r="A122" s="60" t="s">
        <v>156</v>
      </c>
      <c r="B122" s="60">
        <v>368464</v>
      </c>
      <c r="C122" s="60" t="s">
        <v>79</v>
      </c>
      <c r="D122" s="60" t="s">
        <v>291</v>
      </c>
      <c r="E122" s="134" t="s">
        <v>261</v>
      </c>
      <c r="F122" s="116">
        <v>0</v>
      </c>
      <c r="G122" s="117">
        <f t="shared" si="34"/>
        <v>0</v>
      </c>
      <c r="H122" s="118">
        <v>0</v>
      </c>
      <c r="I122" s="117">
        <f t="shared" si="35"/>
        <v>0</v>
      </c>
      <c r="J122" s="173">
        <f t="shared" si="29"/>
        <v>0</v>
      </c>
      <c r="K122" s="250"/>
      <c r="L122" s="261"/>
      <c r="M122" s="219"/>
      <c r="N122" s="219"/>
      <c r="O122" s="219"/>
      <c r="P122" s="118">
        <v>0</v>
      </c>
      <c r="Q122" s="116">
        <f t="shared" si="36"/>
        <v>0</v>
      </c>
      <c r="R122" s="99">
        <v>6</v>
      </c>
      <c r="S122" s="98">
        <f t="shared" si="38"/>
        <v>228</v>
      </c>
      <c r="T122" s="128">
        <v>0</v>
      </c>
      <c r="U122" s="124">
        <f t="shared" si="33"/>
        <v>0</v>
      </c>
      <c r="V122" s="180">
        <f t="shared" si="25"/>
        <v>228</v>
      </c>
      <c r="W122" s="310" t="s">
        <v>335</v>
      </c>
      <c r="X122" s="269">
        <v>228</v>
      </c>
      <c r="Y122" s="229"/>
      <c r="Z122" s="229">
        <f t="shared" si="37"/>
        <v>228</v>
      </c>
      <c r="AA122" s="229"/>
      <c r="AB122" s="202"/>
    </row>
    <row r="123" spans="1:28" s="64" customFormat="1" ht="13.5" customHeight="1">
      <c r="A123" s="60" t="s">
        <v>79</v>
      </c>
      <c r="B123" s="60">
        <v>368465</v>
      </c>
      <c r="C123" s="60" t="s">
        <v>88</v>
      </c>
      <c r="D123" s="60" t="s">
        <v>291</v>
      </c>
      <c r="E123" s="134" t="s">
        <v>262</v>
      </c>
      <c r="F123" s="116">
        <v>0</v>
      </c>
      <c r="G123" s="117">
        <f t="shared" si="34"/>
        <v>0</v>
      </c>
      <c r="H123" s="118">
        <v>0</v>
      </c>
      <c r="I123" s="117">
        <f t="shared" si="35"/>
        <v>0</v>
      </c>
      <c r="J123" s="173">
        <f t="shared" si="29"/>
        <v>0</v>
      </c>
      <c r="K123" s="250"/>
      <c r="L123" s="261"/>
      <c r="M123" s="219"/>
      <c r="N123" s="219"/>
      <c r="O123" s="219"/>
      <c r="P123" s="118">
        <v>0</v>
      </c>
      <c r="Q123" s="116">
        <f t="shared" si="36"/>
        <v>0</v>
      </c>
      <c r="R123" s="99">
        <v>4</v>
      </c>
      <c r="S123" s="98">
        <f t="shared" si="38"/>
        <v>152</v>
      </c>
      <c r="T123" s="126">
        <v>0</v>
      </c>
      <c r="U123" s="124">
        <f t="shared" si="33"/>
        <v>0</v>
      </c>
      <c r="V123" s="180">
        <f t="shared" si="25"/>
        <v>152</v>
      </c>
      <c r="W123" s="310" t="s">
        <v>335</v>
      </c>
      <c r="X123" s="269">
        <v>152</v>
      </c>
      <c r="Y123" s="229"/>
      <c r="Z123" s="229">
        <f t="shared" si="37"/>
        <v>152</v>
      </c>
      <c r="AA123" s="229"/>
      <c r="AB123" s="202"/>
    </row>
    <row r="124" spans="1:28" s="64" customFormat="1" ht="13.5" customHeight="1">
      <c r="A124" s="60" t="s">
        <v>79</v>
      </c>
      <c r="B124" s="60">
        <v>368466</v>
      </c>
      <c r="C124" s="60" t="s">
        <v>88</v>
      </c>
      <c r="D124" s="60" t="s">
        <v>291</v>
      </c>
      <c r="E124" s="134" t="s">
        <v>263</v>
      </c>
      <c r="F124" s="116">
        <v>0</v>
      </c>
      <c r="G124" s="117">
        <f t="shared" si="34"/>
        <v>0</v>
      </c>
      <c r="H124" s="118">
        <v>0</v>
      </c>
      <c r="I124" s="117">
        <f t="shared" si="35"/>
        <v>0</v>
      </c>
      <c r="J124" s="173">
        <f t="shared" si="29"/>
        <v>0</v>
      </c>
      <c r="K124" s="250"/>
      <c r="L124" s="261"/>
      <c r="M124" s="219"/>
      <c r="N124" s="219"/>
      <c r="O124" s="219"/>
      <c r="P124" s="118">
        <v>0</v>
      </c>
      <c r="Q124" s="116">
        <f t="shared" si="36"/>
        <v>0</v>
      </c>
      <c r="R124" s="99">
        <v>8</v>
      </c>
      <c r="S124" s="98">
        <f t="shared" si="38"/>
        <v>304</v>
      </c>
      <c r="T124" s="126">
        <v>0</v>
      </c>
      <c r="U124" s="124">
        <f t="shared" si="33"/>
        <v>0</v>
      </c>
      <c r="V124" s="180">
        <f aca="true" t="shared" si="39" ref="V124:V155">Q124+S124+U124</f>
        <v>304</v>
      </c>
      <c r="W124" s="310" t="s">
        <v>335</v>
      </c>
      <c r="X124" s="269">
        <v>304</v>
      </c>
      <c r="Y124" s="229"/>
      <c r="Z124" s="229">
        <f t="shared" si="37"/>
        <v>304</v>
      </c>
      <c r="AA124" s="229"/>
      <c r="AB124" s="202"/>
    </row>
    <row r="125" spans="1:28" s="64" customFormat="1" ht="13.5" customHeight="1">
      <c r="A125" s="60" t="s">
        <v>83</v>
      </c>
      <c r="B125" s="60">
        <v>368468</v>
      </c>
      <c r="C125" s="60" t="s">
        <v>79</v>
      </c>
      <c r="D125" s="60" t="s">
        <v>291</v>
      </c>
      <c r="E125" s="134" t="s">
        <v>320</v>
      </c>
      <c r="F125" s="116">
        <v>0</v>
      </c>
      <c r="G125" s="117">
        <f t="shared" si="34"/>
        <v>0</v>
      </c>
      <c r="H125" s="118">
        <v>0</v>
      </c>
      <c r="I125" s="117">
        <f t="shared" si="35"/>
        <v>0</v>
      </c>
      <c r="J125" s="173">
        <f t="shared" si="29"/>
        <v>0</v>
      </c>
      <c r="K125" s="250"/>
      <c r="L125" s="261"/>
      <c r="M125" s="219"/>
      <c r="N125" s="219"/>
      <c r="O125" s="219"/>
      <c r="P125" s="118">
        <v>0</v>
      </c>
      <c r="Q125" s="116">
        <f t="shared" si="36"/>
        <v>0</v>
      </c>
      <c r="R125" s="99">
        <v>6</v>
      </c>
      <c r="S125" s="98">
        <f t="shared" si="38"/>
        <v>228</v>
      </c>
      <c r="T125" s="126">
        <v>0</v>
      </c>
      <c r="U125" s="124">
        <f t="shared" si="33"/>
        <v>0</v>
      </c>
      <c r="V125" s="180">
        <f t="shared" si="39"/>
        <v>228</v>
      </c>
      <c r="W125" s="310" t="s">
        <v>335</v>
      </c>
      <c r="X125" s="269">
        <v>228</v>
      </c>
      <c r="Y125" s="229"/>
      <c r="Z125" s="229">
        <f t="shared" si="37"/>
        <v>228</v>
      </c>
      <c r="AA125" s="229"/>
      <c r="AB125" s="202"/>
    </row>
    <row r="126" spans="1:28" s="64" customFormat="1" ht="13.5" customHeight="1">
      <c r="A126" s="60" t="s">
        <v>83</v>
      </c>
      <c r="B126" s="60">
        <v>368470</v>
      </c>
      <c r="C126" s="60" t="s">
        <v>79</v>
      </c>
      <c r="D126" s="60" t="s">
        <v>291</v>
      </c>
      <c r="E126" s="134" t="s">
        <v>321</v>
      </c>
      <c r="F126" s="116">
        <v>0</v>
      </c>
      <c r="G126" s="117">
        <f>F126*$G$5</f>
        <v>0</v>
      </c>
      <c r="H126" s="118">
        <v>0</v>
      </c>
      <c r="I126" s="117">
        <f>H126*I$5</f>
        <v>0</v>
      </c>
      <c r="J126" s="173">
        <f t="shared" si="29"/>
        <v>0</v>
      </c>
      <c r="K126" s="250"/>
      <c r="L126" s="261"/>
      <c r="M126" s="219"/>
      <c r="N126" s="219"/>
      <c r="O126" s="219"/>
      <c r="P126" s="118">
        <v>0</v>
      </c>
      <c r="Q126" s="116">
        <f t="shared" si="36"/>
        <v>0</v>
      </c>
      <c r="R126" s="99">
        <v>6</v>
      </c>
      <c r="S126" s="98">
        <f t="shared" si="38"/>
        <v>228</v>
      </c>
      <c r="T126" s="126">
        <v>0</v>
      </c>
      <c r="U126" s="124">
        <f t="shared" si="33"/>
        <v>0</v>
      </c>
      <c r="V126" s="180">
        <f t="shared" si="39"/>
        <v>228</v>
      </c>
      <c r="W126" s="310" t="s">
        <v>335</v>
      </c>
      <c r="X126" s="269">
        <v>228</v>
      </c>
      <c r="Y126" s="229"/>
      <c r="Z126" s="229">
        <f t="shared" si="37"/>
        <v>228</v>
      </c>
      <c r="AA126" s="229"/>
      <c r="AB126" s="202"/>
    </row>
    <row r="127" spans="1:28" s="64" customFormat="1" ht="13.5" customHeight="1">
      <c r="A127" s="60" t="s">
        <v>83</v>
      </c>
      <c r="B127" s="60">
        <v>368472</v>
      </c>
      <c r="C127" s="60" t="s">
        <v>79</v>
      </c>
      <c r="D127" s="60" t="s">
        <v>291</v>
      </c>
      <c r="E127" s="134" t="s">
        <v>322</v>
      </c>
      <c r="F127" s="116">
        <v>0</v>
      </c>
      <c r="G127" s="117">
        <f aca="true" t="shared" si="40" ref="G127:G145">F127*$G$5</f>
        <v>0</v>
      </c>
      <c r="H127" s="118">
        <v>0</v>
      </c>
      <c r="I127" s="117">
        <f aca="true" t="shared" si="41" ref="I127:I145">H127*I$5</f>
        <v>0</v>
      </c>
      <c r="J127" s="173">
        <f t="shared" si="29"/>
        <v>0</v>
      </c>
      <c r="K127" s="250"/>
      <c r="L127" s="261"/>
      <c r="M127" s="219"/>
      <c r="N127" s="219"/>
      <c r="O127" s="219"/>
      <c r="P127" s="118">
        <v>0</v>
      </c>
      <c r="Q127" s="116">
        <f t="shared" si="36"/>
        <v>0</v>
      </c>
      <c r="R127" s="99">
        <v>6</v>
      </c>
      <c r="S127" s="98">
        <f t="shared" si="38"/>
        <v>228</v>
      </c>
      <c r="T127" s="126">
        <v>0</v>
      </c>
      <c r="U127" s="124">
        <f t="shared" si="33"/>
        <v>0</v>
      </c>
      <c r="V127" s="180">
        <f t="shared" si="39"/>
        <v>228</v>
      </c>
      <c r="W127" s="310" t="s">
        <v>335</v>
      </c>
      <c r="X127" s="269">
        <v>228</v>
      </c>
      <c r="Y127" s="229"/>
      <c r="Z127" s="229">
        <f t="shared" si="37"/>
        <v>228</v>
      </c>
      <c r="AA127" s="229"/>
      <c r="AB127" s="202"/>
    </row>
    <row r="128" spans="1:28" s="64" customFormat="1" ht="13.5" customHeight="1">
      <c r="A128" s="60" t="s">
        <v>83</v>
      </c>
      <c r="B128" s="60">
        <v>368474</v>
      </c>
      <c r="C128" s="60" t="s">
        <v>79</v>
      </c>
      <c r="D128" s="60" t="s">
        <v>291</v>
      </c>
      <c r="E128" s="134" t="s">
        <v>323</v>
      </c>
      <c r="F128" s="116">
        <v>0</v>
      </c>
      <c r="G128" s="117">
        <f t="shared" si="40"/>
        <v>0</v>
      </c>
      <c r="H128" s="118">
        <v>0</v>
      </c>
      <c r="I128" s="117">
        <f t="shared" si="41"/>
        <v>0</v>
      </c>
      <c r="J128" s="173">
        <f t="shared" si="29"/>
        <v>0</v>
      </c>
      <c r="K128" s="250"/>
      <c r="L128" s="261"/>
      <c r="M128" s="219"/>
      <c r="N128" s="219"/>
      <c r="O128" s="219"/>
      <c r="P128" s="118">
        <v>0</v>
      </c>
      <c r="Q128" s="116">
        <f t="shared" si="36"/>
        <v>0</v>
      </c>
      <c r="R128" s="99">
        <v>6</v>
      </c>
      <c r="S128" s="98">
        <f t="shared" si="38"/>
        <v>228</v>
      </c>
      <c r="T128" s="126">
        <v>0</v>
      </c>
      <c r="U128" s="124">
        <f t="shared" si="33"/>
        <v>0</v>
      </c>
      <c r="V128" s="180">
        <f t="shared" si="39"/>
        <v>228</v>
      </c>
      <c r="W128" s="310" t="s">
        <v>335</v>
      </c>
      <c r="X128" s="269">
        <v>228</v>
      </c>
      <c r="Y128" s="229"/>
      <c r="Z128" s="229">
        <f t="shared" si="37"/>
        <v>228</v>
      </c>
      <c r="AA128" s="229"/>
      <c r="AB128" s="202"/>
    </row>
    <row r="129" spans="1:28" s="64" customFormat="1" ht="13.5" customHeight="1">
      <c r="A129" s="60" t="s">
        <v>83</v>
      </c>
      <c r="B129" s="60">
        <v>368476</v>
      </c>
      <c r="C129" s="60" t="s">
        <v>79</v>
      </c>
      <c r="D129" s="60" t="s">
        <v>291</v>
      </c>
      <c r="E129" s="134" t="s">
        <v>324</v>
      </c>
      <c r="F129" s="116">
        <v>0</v>
      </c>
      <c r="G129" s="117">
        <f t="shared" si="40"/>
        <v>0</v>
      </c>
      <c r="H129" s="118">
        <v>0</v>
      </c>
      <c r="I129" s="117">
        <f t="shared" si="41"/>
        <v>0</v>
      </c>
      <c r="J129" s="173">
        <f t="shared" si="29"/>
        <v>0</v>
      </c>
      <c r="K129" s="250"/>
      <c r="L129" s="261"/>
      <c r="M129" s="219"/>
      <c r="N129" s="219"/>
      <c r="O129" s="219"/>
      <c r="P129" s="118">
        <v>0</v>
      </c>
      <c r="Q129" s="116">
        <f t="shared" si="36"/>
        <v>0</v>
      </c>
      <c r="R129" s="99">
        <v>6</v>
      </c>
      <c r="S129" s="98">
        <f t="shared" si="38"/>
        <v>228</v>
      </c>
      <c r="T129" s="126">
        <v>0</v>
      </c>
      <c r="U129" s="124">
        <f t="shared" si="33"/>
        <v>0</v>
      </c>
      <c r="V129" s="180">
        <f t="shared" si="39"/>
        <v>228</v>
      </c>
      <c r="W129" s="310" t="s">
        <v>335</v>
      </c>
      <c r="X129" s="269">
        <v>228</v>
      </c>
      <c r="Y129" s="229"/>
      <c r="Z129" s="229">
        <f t="shared" si="37"/>
        <v>228</v>
      </c>
      <c r="AA129" s="229"/>
      <c r="AB129" s="202"/>
    </row>
    <row r="130" spans="1:28" s="64" customFormat="1" ht="13.5" customHeight="1">
      <c r="A130" s="60" t="s">
        <v>83</v>
      </c>
      <c r="B130" s="60">
        <v>368478</v>
      </c>
      <c r="C130" s="60" t="s">
        <v>79</v>
      </c>
      <c r="D130" s="60" t="s">
        <v>291</v>
      </c>
      <c r="E130" s="134" t="s">
        <v>325</v>
      </c>
      <c r="F130" s="116">
        <v>0</v>
      </c>
      <c r="G130" s="117">
        <f t="shared" si="40"/>
        <v>0</v>
      </c>
      <c r="H130" s="118">
        <v>0</v>
      </c>
      <c r="I130" s="117">
        <f t="shared" si="41"/>
        <v>0</v>
      </c>
      <c r="J130" s="173">
        <f t="shared" si="29"/>
        <v>0</v>
      </c>
      <c r="K130" s="250"/>
      <c r="L130" s="261"/>
      <c r="M130" s="219"/>
      <c r="N130" s="219"/>
      <c r="O130" s="219"/>
      <c r="P130" s="118">
        <v>0</v>
      </c>
      <c r="Q130" s="116">
        <f t="shared" si="36"/>
        <v>0</v>
      </c>
      <c r="R130" s="99">
        <v>6</v>
      </c>
      <c r="S130" s="98">
        <f t="shared" si="38"/>
        <v>228</v>
      </c>
      <c r="T130" s="126">
        <v>0</v>
      </c>
      <c r="U130" s="124">
        <f t="shared" si="33"/>
        <v>0</v>
      </c>
      <c r="V130" s="180">
        <f t="shared" si="39"/>
        <v>228</v>
      </c>
      <c r="W130" s="310" t="s">
        <v>335</v>
      </c>
      <c r="X130" s="269">
        <v>228</v>
      </c>
      <c r="Y130" s="229"/>
      <c r="Z130" s="229">
        <f t="shared" si="37"/>
        <v>228</v>
      </c>
      <c r="AA130" s="229"/>
      <c r="AB130" s="202"/>
    </row>
    <row r="131" spans="1:28" s="64" customFormat="1" ht="13.5" customHeight="1">
      <c r="A131" s="60" t="s">
        <v>79</v>
      </c>
      <c r="B131" s="60">
        <v>368480</v>
      </c>
      <c r="C131" s="60" t="s">
        <v>88</v>
      </c>
      <c r="D131" s="60" t="s">
        <v>291</v>
      </c>
      <c r="E131" s="134" t="s">
        <v>0</v>
      </c>
      <c r="F131" s="116">
        <v>0</v>
      </c>
      <c r="G131" s="117">
        <f t="shared" si="40"/>
        <v>0</v>
      </c>
      <c r="H131" s="118">
        <v>0</v>
      </c>
      <c r="I131" s="117">
        <f t="shared" si="41"/>
        <v>0</v>
      </c>
      <c r="J131" s="173">
        <f t="shared" si="29"/>
        <v>0</v>
      </c>
      <c r="K131" s="250"/>
      <c r="L131" s="261"/>
      <c r="M131" s="219"/>
      <c r="N131" s="219"/>
      <c r="O131" s="219"/>
      <c r="P131" s="118">
        <v>0</v>
      </c>
      <c r="Q131" s="116">
        <f t="shared" si="36"/>
        <v>0</v>
      </c>
      <c r="R131" s="99">
        <v>1</v>
      </c>
      <c r="S131" s="98">
        <f>R131*S$6</f>
        <v>38</v>
      </c>
      <c r="T131" s="126">
        <v>0</v>
      </c>
      <c r="U131" s="124">
        <f t="shared" si="33"/>
        <v>0</v>
      </c>
      <c r="V131" s="180">
        <f t="shared" si="39"/>
        <v>38</v>
      </c>
      <c r="W131" s="310" t="s">
        <v>335</v>
      </c>
      <c r="X131" s="269">
        <v>38</v>
      </c>
      <c r="Y131" s="229"/>
      <c r="Z131" s="229">
        <f t="shared" si="37"/>
        <v>38</v>
      </c>
      <c r="AA131" s="229"/>
      <c r="AB131" s="202"/>
    </row>
    <row r="132" spans="1:28" s="84" customFormat="1" ht="27" customHeight="1">
      <c r="A132" s="63" t="s">
        <v>196</v>
      </c>
      <c r="B132" s="63">
        <v>368415</v>
      </c>
      <c r="C132" s="63" t="s">
        <v>79</v>
      </c>
      <c r="D132" s="63" t="s">
        <v>291</v>
      </c>
      <c r="E132" s="135" t="s">
        <v>245</v>
      </c>
      <c r="F132" s="118">
        <v>0</v>
      </c>
      <c r="G132" s="119">
        <f t="shared" si="40"/>
        <v>0</v>
      </c>
      <c r="H132" s="118">
        <v>0</v>
      </c>
      <c r="I132" s="119">
        <f t="shared" si="41"/>
        <v>0</v>
      </c>
      <c r="J132" s="174">
        <f t="shared" si="29"/>
        <v>0</v>
      </c>
      <c r="K132" s="251"/>
      <c r="L132" s="262"/>
      <c r="M132" s="220"/>
      <c r="N132" s="220"/>
      <c r="O132" s="220"/>
      <c r="P132" s="118">
        <v>0</v>
      </c>
      <c r="Q132" s="118">
        <f t="shared" si="36"/>
        <v>0</v>
      </c>
      <c r="R132" s="127">
        <v>0</v>
      </c>
      <c r="S132" s="125">
        <f aca="true" t="shared" si="42" ref="S132:S147">R132*S$5</f>
        <v>0</v>
      </c>
      <c r="T132" s="102">
        <v>3</v>
      </c>
      <c r="U132" s="100">
        <f t="shared" si="33"/>
        <v>108</v>
      </c>
      <c r="V132" s="181">
        <f t="shared" si="39"/>
        <v>108</v>
      </c>
      <c r="W132" s="310" t="s">
        <v>335</v>
      </c>
      <c r="X132" s="269">
        <v>108</v>
      </c>
      <c r="Y132" s="229"/>
      <c r="Z132" s="229"/>
      <c r="AA132" s="229">
        <f>V132</f>
        <v>108</v>
      </c>
      <c r="AB132" s="202" t="s">
        <v>160</v>
      </c>
    </row>
    <row r="133" spans="1:28" s="84" customFormat="1" ht="13.5" customHeight="1">
      <c r="A133" s="63" t="s">
        <v>196</v>
      </c>
      <c r="B133" s="63">
        <v>368416</v>
      </c>
      <c r="C133" s="63" t="s">
        <v>79</v>
      </c>
      <c r="D133" s="63" t="s">
        <v>291</v>
      </c>
      <c r="E133" s="135" t="s">
        <v>246</v>
      </c>
      <c r="F133" s="118">
        <v>0</v>
      </c>
      <c r="G133" s="119">
        <f t="shared" si="40"/>
        <v>0</v>
      </c>
      <c r="H133" s="118">
        <v>0</v>
      </c>
      <c r="I133" s="119">
        <f t="shared" si="41"/>
        <v>0</v>
      </c>
      <c r="J133" s="174">
        <f aca="true" t="shared" si="43" ref="J133:J153">G133+H133</f>
        <v>0</v>
      </c>
      <c r="K133" s="251"/>
      <c r="L133" s="262"/>
      <c r="M133" s="220"/>
      <c r="N133" s="220"/>
      <c r="O133" s="220"/>
      <c r="P133" s="118">
        <v>0</v>
      </c>
      <c r="Q133" s="118">
        <f t="shared" si="36"/>
        <v>0</v>
      </c>
      <c r="R133" s="127">
        <v>0</v>
      </c>
      <c r="S133" s="125">
        <f t="shared" si="42"/>
        <v>0</v>
      </c>
      <c r="T133" s="102">
        <v>1</v>
      </c>
      <c r="U133" s="100">
        <f t="shared" si="33"/>
        <v>36</v>
      </c>
      <c r="V133" s="181">
        <f t="shared" si="39"/>
        <v>36</v>
      </c>
      <c r="W133" s="310" t="s">
        <v>335</v>
      </c>
      <c r="X133" s="269">
        <v>36</v>
      </c>
      <c r="Y133" s="229"/>
      <c r="Z133" s="229"/>
      <c r="AA133" s="229">
        <f>V133</f>
        <v>36</v>
      </c>
      <c r="AB133" s="202" t="s">
        <v>160</v>
      </c>
    </row>
    <row r="134" spans="1:28" s="84" customFormat="1" ht="13.5" customHeight="1">
      <c r="A134" s="63" t="s">
        <v>196</v>
      </c>
      <c r="B134" s="63">
        <v>368417</v>
      </c>
      <c r="C134" s="63" t="s">
        <v>79</v>
      </c>
      <c r="D134" s="63" t="s">
        <v>291</v>
      </c>
      <c r="E134" s="135" t="s">
        <v>247</v>
      </c>
      <c r="F134" s="118">
        <v>0</v>
      </c>
      <c r="G134" s="119">
        <f t="shared" si="40"/>
        <v>0</v>
      </c>
      <c r="H134" s="118">
        <v>0</v>
      </c>
      <c r="I134" s="119">
        <f t="shared" si="41"/>
        <v>0</v>
      </c>
      <c r="J134" s="174">
        <f t="shared" si="43"/>
        <v>0</v>
      </c>
      <c r="K134" s="251"/>
      <c r="L134" s="262"/>
      <c r="M134" s="220"/>
      <c r="N134" s="220"/>
      <c r="O134" s="220"/>
      <c r="P134" s="118">
        <v>0</v>
      </c>
      <c r="Q134" s="118">
        <f t="shared" si="36"/>
        <v>0</v>
      </c>
      <c r="R134" s="127">
        <v>0</v>
      </c>
      <c r="S134" s="125">
        <f t="shared" si="42"/>
        <v>0</v>
      </c>
      <c r="T134" s="102">
        <v>2</v>
      </c>
      <c r="U134" s="100">
        <f t="shared" si="33"/>
        <v>72</v>
      </c>
      <c r="V134" s="181">
        <f t="shared" si="39"/>
        <v>72</v>
      </c>
      <c r="W134" s="310" t="s">
        <v>335</v>
      </c>
      <c r="X134" s="269">
        <v>72</v>
      </c>
      <c r="Y134" s="229"/>
      <c r="Z134" s="229"/>
      <c r="AA134" s="229">
        <f>V134</f>
        <v>72</v>
      </c>
      <c r="AB134" s="202" t="s">
        <v>160</v>
      </c>
    </row>
    <row r="135" spans="1:28" s="84" customFormat="1" ht="13.5" customHeight="1">
      <c r="A135" s="63" t="s">
        <v>196</v>
      </c>
      <c r="B135" s="63">
        <v>368418</v>
      </c>
      <c r="C135" s="63" t="s">
        <v>79</v>
      </c>
      <c r="D135" s="63" t="s">
        <v>291</v>
      </c>
      <c r="E135" s="135" t="s">
        <v>248</v>
      </c>
      <c r="F135" s="118">
        <v>0</v>
      </c>
      <c r="G135" s="119">
        <f t="shared" si="40"/>
        <v>0</v>
      </c>
      <c r="H135" s="118">
        <v>0</v>
      </c>
      <c r="I135" s="119">
        <f t="shared" si="41"/>
        <v>0</v>
      </c>
      <c r="J135" s="174">
        <f t="shared" si="43"/>
        <v>0</v>
      </c>
      <c r="K135" s="251"/>
      <c r="L135" s="262"/>
      <c r="M135" s="220"/>
      <c r="N135" s="220"/>
      <c r="O135" s="220"/>
      <c r="P135" s="118">
        <v>0</v>
      </c>
      <c r="Q135" s="118">
        <f t="shared" si="36"/>
        <v>0</v>
      </c>
      <c r="R135" s="127">
        <v>0</v>
      </c>
      <c r="S135" s="125">
        <f t="shared" si="42"/>
        <v>0</v>
      </c>
      <c r="T135" s="102">
        <v>1</v>
      </c>
      <c r="U135" s="100">
        <f t="shared" si="33"/>
        <v>36</v>
      </c>
      <c r="V135" s="181">
        <f t="shared" si="39"/>
        <v>36</v>
      </c>
      <c r="W135" s="310" t="s">
        <v>335</v>
      </c>
      <c r="X135" s="269">
        <v>36</v>
      </c>
      <c r="Y135" s="229"/>
      <c r="Z135" s="229"/>
      <c r="AA135" s="229">
        <f>V135</f>
        <v>36</v>
      </c>
      <c r="AB135" s="202" t="s">
        <v>160</v>
      </c>
    </row>
    <row r="136" spans="1:28" s="86" customFormat="1" ht="13.5" customHeight="1">
      <c r="A136" s="65" t="s">
        <v>83</v>
      </c>
      <c r="B136" s="85">
        <v>368486</v>
      </c>
      <c r="C136" s="85" t="s">
        <v>79</v>
      </c>
      <c r="D136" s="60" t="s">
        <v>291</v>
      </c>
      <c r="E136" s="134" t="s">
        <v>326</v>
      </c>
      <c r="F136" s="121">
        <v>0</v>
      </c>
      <c r="G136" s="117">
        <f t="shared" si="40"/>
        <v>0</v>
      </c>
      <c r="H136" s="121">
        <v>0</v>
      </c>
      <c r="I136" s="117">
        <f t="shared" si="41"/>
        <v>0</v>
      </c>
      <c r="J136" s="173">
        <f t="shared" si="43"/>
        <v>0</v>
      </c>
      <c r="K136" s="250"/>
      <c r="L136" s="261"/>
      <c r="M136" s="219"/>
      <c r="N136" s="219"/>
      <c r="O136" s="219"/>
      <c r="P136" s="121">
        <v>0</v>
      </c>
      <c r="Q136" s="116">
        <f t="shared" si="36"/>
        <v>0</v>
      </c>
      <c r="R136" s="129">
        <v>0</v>
      </c>
      <c r="S136" s="124">
        <f t="shared" si="42"/>
        <v>0</v>
      </c>
      <c r="T136" s="103">
        <v>6</v>
      </c>
      <c r="U136" s="98">
        <f>T136*U$6</f>
        <v>228</v>
      </c>
      <c r="V136" s="180">
        <f t="shared" si="39"/>
        <v>228</v>
      </c>
      <c r="W136" s="310" t="s">
        <v>335</v>
      </c>
      <c r="X136" s="269">
        <v>228</v>
      </c>
      <c r="Y136" s="229"/>
      <c r="Z136" s="229">
        <f aca="true" t="shared" si="44" ref="Z136:Z147">V136</f>
        <v>228</v>
      </c>
      <c r="AA136" s="497"/>
      <c r="AB136" s="202"/>
    </row>
    <row r="137" spans="1:28" s="64" customFormat="1" ht="13.5" customHeight="1">
      <c r="A137" s="60" t="s">
        <v>83</v>
      </c>
      <c r="B137" s="65">
        <v>368488</v>
      </c>
      <c r="C137" s="65" t="s">
        <v>79</v>
      </c>
      <c r="D137" s="60" t="s">
        <v>291</v>
      </c>
      <c r="E137" s="134" t="s">
        <v>327</v>
      </c>
      <c r="F137" s="121">
        <v>0</v>
      </c>
      <c r="G137" s="117">
        <f t="shared" si="40"/>
        <v>0</v>
      </c>
      <c r="H137" s="121">
        <v>0</v>
      </c>
      <c r="I137" s="117">
        <f t="shared" si="41"/>
        <v>0</v>
      </c>
      <c r="J137" s="173">
        <f t="shared" si="43"/>
        <v>0</v>
      </c>
      <c r="K137" s="250"/>
      <c r="L137" s="261"/>
      <c r="M137" s="219"/>
      <c r="N137" s="219"/>
      <c r="O137" s="219"/>
      <c r="P137" s="121">
        <v>0</v>
      </c>
      <c r="Q137" s="116">
        <f t="shared" si="36"/>
        <v>0</v>
      </c>
      <c r="R137" s="129">
        <v>0</v>
      </c>
      <c r="S137" s="124">
        <f t="shared" si="42"/>
        <v>0</v>
      </c>
      <c r="T137" s="103">
        <v>6</v>
      </c>
      <c r="U137" s="98">
        <f aca="true" t="shared" si="45" ref="U137:U147">T137*U$6</f>
        <v>228</v>
      </c>
      <c r="V137" s="180">
        <f t="shared" si="39"/>
        <v>228</v>
      </c>
      <c r="W137" s="310" t="s">
        <v>335</v>
      </c>
      <c r="X137" s="269">
        <v>228</v>
      </c>
      <c r="Y137" s="229"/>
      <c r="Z137" s="229">
        <f t="shared" si="44"/>
        <v>228</v>
      </c>
      <c r="AA137" s="497"/>
      <c r="AB137" s="202"/>
    </row>
    <row r="138" spans="1:28" s="64" customFormat="1" ht="13.5" customHeight="1">
      <c r="A138" s="60" t="s">
        <v>83</v>
      </c>
      <c r="B138" s="65">
        <v>368490</v>
      </c>
      <c r="C138" s="65" t="s">
        <v>79</v>
      </c>
      <c r="D138" s="60" t="s">
        <v>291</v>
      </c>
      <c r="E138" s="134" t="s">
        <v>328</v>
      </c>
      <c r="F138" s="121">
        <v>0</v>
      </c>
      <c r="G138" s="117">
        <f t="shared" si="40"/>
        <v>0</v>
      </c>
      <c r="H138" s="121">
        <v>0</v>
      </c>
      <c r="I138" s="117">
        <f t="shared" si="41"/>
        <v>0</v>
      </c>
      <c r="J138" s="173">
        <f t="shared" si="43"/>
        <v>0</v>
      </c>
      <c r="K138" s="250"/>
      <c r="L138" s="261"/>
      <c r="M138" s="219"/>
      <c r="N138" s="219"/>
      <c r="O138" s="219"/>
      <c r="P138" s="121">
        <v>0</v>
      </c>
      <c r="Q138" s="116">
        <f t="shared" si="36"/>
        <v>0</v>
      </c>
      <c r="R138" s="129">
        <v>0</v>
      </c>
      <c r="S138" s="124">
        <f t="shared" si="42"/>
        <v>0</v>
      </c>
      <c r="T138" s="103">
        <v>6</v>
      </c>
      <c r="U138" s="98">
        <f t="shared" si="45"/>
        <v>228</v>
      </c>
      <c r="V138" s="180">
        <f t="shared" si="39"/>
        <v>228</v>
      </c>
      <c r="W138" s="310" t="s">
        <v>335</v>
      </c>
      <c r="X138" s="269">
        <v>228</v>
      </c>
      <c r="Y138" s="229"/>
      <c r="Z138" s="229">
        <f t="shared" si="44"/>
        <v>228</v>
      </c>
      <c r="AA138" s="497"/>
      <c r="AB138" s="202"/>
    </row>
    <row r="139" spans="1:28" s="64" customFormat="1" ht="13.5" customHeight="1">
      <c r="A139" s="60" t="s">
        <v>83</v>
      </c>
      <c r="B139" s="65">
        <v>368492</v>
      </c>
      <c r="C139" s="65" t="s">
        <v>79</v>
      </c>
      <c r="D139" s="60" t="s">
        <v>291</v>
      </c>
      <c r="E139" s="134" t="s">
        <v>331</v>
      </c>
      <c r="F139" s="121">
        <v>0</v>
      </c>
      <c r="G139" s="117">
        <f t="shared" si="40"/>
        <v>0</v>
      </c>
      <c r="H139" s="121">
        <v>0</v>
      </c>
      <c r="I139" s="117">
        <f t="shared" si="41"/>
        <v>0</v>
      </c>
      <c r="J139" s="173">
        <f t="shared" si="43"/>
        <v>0</v>
      </c>
      <c r="K139" s="250"/>
      <c r="L139" s="261"/>
      <c r="M139" s="219"/>
      <c r="N139" s="219"/>
      <c r="O139" s="219"/>
      <c r="P139" s="121">
        <v>0</v>
      </c>
      <c r="Q139" s="116">
        <f t="shared" si="36"/>
        <v>0</v>
      </c>
      <c r="R139" s="129">
        <v>0</v>
      </c>
      <c r="S139" s="124">
        <f t="shared" si="42"/>
        <v>0</v>
      </c>
      <c r="T139" s="103">
        <v>6</v>
      </c>
      <c r="U139" s="98">
        <f t="shared" si="45"/>
        <v>228</v>
      </c>
      <c r="V139" s="180">
        <f t="shared" si="39"/>
        <v>228</v>
      </c>
      <c r="W139" s="310" t="s">
        <v>335</v>
      </c>
      <c r="X139" s="269">
        <v>228</v>
      </c>
      <c r="Y139" s="229"/>
      <c r="Z139" s="229">
        <f t="shared" si="44"/>
        <v>228</v>
      </c>
      <c r="AA139" s="497"/>
      <c r="AB139" s="202"/>
    </row>
    <row r="140" spans="1:28" s="64" customFormat="1" ht="13.5" customHeight="1">
      <c r="A140" s="60" t="s">
        <v>83</v>
      </c>
      <c r="B140" s="65">
        <v>368494</v>
      </c>
      <c r="C140" s="65" t="s">
        <v>79</v>
      </c>
      <c r="D140" s="60" t="s">
        <v>291</v>
      </c>
      <c r="E140" s="134" t="s">
        <v>332</v>
      </c>
      <c r="F140" s="121">
        <v>0</v>
      </c>
      <c r="G140" s="117">
        <f t="shared" si="40"/>
        <v>0</v>
      </c>
      <c r="H140" s="121">
        <v>0</v>
      </c>
      <c r="I140" s="117">
        <f t="shared" si="41"/>
        <v>0</v>
      </c>
      <c r="J140" s="173">
        <f t="shared" si="43"/>
        <v>0</v>
      </c>
      <c r="K140" s="250"/>
      <c r="L140" s="261"/>
      <c r="M140" s="219"/>
      <c r="N140" s="219"/>
      <c r="O140" s="219"/>
      <c r="P140" s="121">
        <v>0</v>
      </c>
      <c r="Q140" s="116">
        <f t="shared" si="36"/>
        <v>0</v>
      </c>
      <c r="R140" s="129">
        <v>0</v>
      </c>
      <c r="S140" s="124">
        <f t="shared" si="42"/>
        <v>0</v>
      </c>
      <c r="T140" s="103">
        <v>6</v>
      </c>
      <c r="U140" s="98">
        <f t="shared" si="45"/>
        <v>228</v>
      </c>
      <c r="V140" s="180">
        <f t="shared" si="39"/>
        <v>228</v>
      </c>
      <c r="W140" s="310" t="s">
        <v>335</v>
      </c>
      <c r="X140" s="269">
        <v>228</v>
      </c>
      <c r="Y140" s="229"/>
      <c r="Z140" s="229">
        <f t="shared" si="44"/>
        <v>228</v>
      </c>
      <c r="AA140" s="497"/>
      <c r="AB140" s="202"/>
    </row>
    <row r="141" spans="1:28" s="64" customFormat="1" ht="13.5" customHeight="1">
      <c r="A141" s="60" t="s">
        <v>83</v>
      </c>
      <c r="B141" s="65">
        <v>368496</v>
      </c>
      <c r="C141" s="65" t="s">
        <v>79</v>
      </c>
      <c r="D141" s="60" t="s">
        <v>291</v>
      </c>
      <c r="E141" s="134" t="s">
        <v>333</v>
      </c>
      <c r="F141" s="121">
        <v>0</v>
      </c>
      <c r="G141" s="117">
        <f t="shared" si="40"/>
        <v>0</v>
      </c>
      <c r="H141" s="121">
        <v>0</v>
      </c>
      <c r="I141" s="117">
        <f t="shared" si="41"/>
        <v>0</v>
      </c>
      <c r="J141" s="173">
        <f t="shared" si="43"/>
        <v>0</v>
      </c>
      <c r="K141" s="250"/>
      <c r="L141" s="261"/>
      <c r="M141" s="219"/>
      <c r="N141" s="219"/>
      <c r="O141" s="219"/>
      <c r="P141" s="121">
        <v>0</v>
      </c>
      <c r="Q141" s="116">
        <f t="shared" si="36"/>
        <v>0</v>
      </c>
      <c r="R141" s="129">
        <v>0</v>
      </c>
      <c r="S141" s="124">
        <f t="shared" si="42"/>
        <v>0</v>
      </c>
      <c r="T141" s="103">
        <v>6</v>
      </c>
      <c r="U141" s="98">
        <f t="shared" si="45"/>
        <v>228</v>
      </c>
      <c r="V141" s="180">
        <f t="shared" si="39"/>
        <v>228</v>
      </c>
      <c r="W141" s="310" t="s">
        <v>335</v>
      </c>
      <c r="X141" s="269">
        <v>228</v>
      </c>
      <c r="Y141" s="229"/>
      <c r="Z141" s="229">
        <f t="shared" si="44"/>
        <v>228</v>
      </c>
      <c r="AA141" s="497"/>
      <c r="AB141" s="202"/>
    </row>
    <row r="142" spans="1:28" s="64" customFormat="1" ht="13.5" customHeight="1">
      <c r="A142" s="60" t="s">
        <v>156</v>
      </c>
      <c r="B142" s="65">
        <v>368498</v>
      </c>
      <c r="C142" s="65" t="s">
        <v>88</v>
      </c>
      <c r="D142" s="60" t="s">
        <v>291</v>
      </c>
      <c r="E142" s="134" t="s">
        <v>60</v>
      </c>
      <c r="F142" s="121">
        <v>0</v>
      </c>
      <c r="G142" s="117">
        <f t="shared" si="40"/>
        <v>0</v>
      </c>
      <c r="H142" s="121">
        <v>0</v>
      </c>
      <c r="I142" s="117">
        <f t="shared" si="41"/>
        <v>0</v>
      </c>
      <c r="J142" s="173">
        <f t="shared" si="43"/>
        <v>0</v>
      </c>
      <c r="K142" s="250"/>
      <c r="L142" s="261"/>
      <c r="M142" s="219"/>
      <c r="N142" s="219"/>
      <c r="O142" s="219"/>
      <c r="P142" s="121">
        <v>0</v>
      </c>
      <c r="Q142" s="116">
        <f t="shared" si="36"/>
        <v>0</v>
      </c>
      <c r="R142" s="129">
        <v>0</v>
      </c>
      <c r="S142" s="124">
        <f t="shared" si="42"/>
        <v>0</v>
      </c>
      <c r="T142" s="103">
        <v>6</v>
      </c>
      <c r="U142" s="98">
        <f t="shared" si="45"/>
        <v>228</v>
      </c>
      <c r="V142" s="180">
        <f t="shared" si="39"/>
        <v>228</v>
      </c>
      <c r="W142" s="310" t="s">
        <v>335</v>
      </c>
      <c r="X142" s="269">
        <v>228</v>
      </c>
      <c r="Y142" s="229"/>
      <c r="Z142" s="229">
        <f t="shared" si="44"/>
        <v>228</v>
      </c>
      <c r="AA142" s="497"/>
      <c r="AB142" s="202"/>
    </row>
    <row r="143" spans="1:28" s="64" customFormat="1" ht="13.5" customHeight="1">
      <c r="A143" s="60" t="s">
        <v>156</v>
      </c>
      <c r="B143" s="65">
        <v>368499</v>
      </c>
      <c r="C143" s="65" t="s">
        <v>88</v>
      </c>
      <c r="D143" s="60" t="s">
        <v>291</v>
      </c>
      <c r="E143" s="134" t="s">
        <v>61</v>
      </c>
      <c r="F143" s="121">
        <v>0</v>
      </c>
      <c r="G143" s="117">
        <f t="shared" si="40"/>
        <v>0</v>
      </c>
      <c r="H143" s="121">
        <v>0</v>
      </c>
      <c r="I143" s="117">
        <f t="shared" si="41"/>
        <v>0</v>
      </c>
      <c r="J143" s="173">
        <f t="shared" si="43"/>
        <v>0</v>
      </c>
      <c r="K143" s="250"/>
      <c r="L143" s="261"/>
      <c r="M143" s="219"/>
      <c r="N143" s="219"/>
      <c r="O143" s="219"/>
      <c r="P143" s="121">
        <v>0</v>
      </c>
      <c r="Q143" s="116">
        <f t="shared" si="36"/>
        <v>0</v>
      </c>
      <c r="R143" s="129">
        <v>0</v>
      </c>
      <c r="S143" s="124">
        <f t="shared" si="42"/>
        <v>0</v>
      </c>
      <c r="T143" s="103">
        <v>6</v>
      </c>
      <c r="U143" s="98">
        <f t="shared" si="45"/>
        <v>228</v>
      </c>
      <c r="V143" s="180">
        <f t="shared" si="39"/>
        <v>228</v>
      </c>
      <c r="W143" s="310" t="s">
        <v>335</v>
      </c>
      <c r="X143" s="269">
        <v>228</v>
      </c>
      <c r="Y143" s="229"/>
      <c r="Z143" s="229">
        <f t="shared" si="44"/>
        <v>228</v>
      </c>
      <c r="AA143" s="497"/>
      <c r="AB143" s="202"/>
    </row>
    <row r="144" spans="1:28" s="64" customFormat="1" ht="13.5" customHeight="1">
      <c r="A144" s="60" t="s">
        <v>156</v>
      </c>
      <c r="B144" s="65">
        <v>368500</v>
      </c>
      <c r="C144" s="65" t="s">
        <v>88</v>
      </c>
      <c r="D144" s="60" t="s">
        <v>291</v>
      </c>
      <c r="E144" s="134" t="s">
        <v>62</v>
      </c>
      <c r="F144" s="121">
        <v>0</v>
      </c>
      <c r="G144" s="117">
        <f t="shared" si="40"/>
        <v>0</v>
      </c>
      <c r="H144" s="121">
        <v>0</v>
      </c>
      <c r="I144" s="117">
        <f t="shared" si="41"/>
        <v>0</v>
      </c>
      <c r="J144" s="173">
        <f t="shared" si="43"/>
        <v>0</v>
      </c>
      <c r="K144" s="250"/>
      <c r="L144" s="261"/>
      <c r="M144" s="219"/>
      <c r="N144" s="219"/>
      <c r="O144" s="219"/>
      <c r="P144" s="121">
        <v>0</v>
      </c>
      <c r="Q144" s="116">
        <f t="shared" si="36"/>
        <v>0</v>
      </c>
      <c r="R144" s="129">
        <v>0</v>
      </c>
      <c r="S144" s="124">
        <f t="shared" si="42"/>
        <v>0</v>
      </c>
      <c r="T144" s="103">
        <v>6</v>
      </c>
      <c r="U144" s="98">
        <f t="shared" si="45"/>
        <v>228</v>
      </c>
      <c r="V144" s="180">
        <f t="shared" si="39"/>
        <v>228</v>
      </c>
      <c r="W144" s="310" t="s">
        <v>335</v>
      </c>
      <c r="X144" s="269">
        <v>228</v>
      </c>
      <c r="Y144" s="229"/>
      <c r="Z144" s="229">
        <f t="shared" si="44"/>
        <v>228</v>
      </c>
      <c r="AA144" s="497"/>
      <c r="AB144" s="202"/>
    </row>
    <row r="145" spans="1:28" s="64" customFormat="1" ht="13.5" customHeight="1">
      <c r="A145" s="60" t="s">
        <v>79</v>
      </c>
      <c r="B145" s="65">
        <v>368501</v>
      </c>
      <c r="C145" s="65" t="s">
        <v>88</v>
      </c>
      <c r="D145" s="60" t="s">
        <v>291</v>
      </c>
      <c r="E145" s="134" t="s">
        <v>63</v>
      </c>
      <c r="F145" s="121">
        <v>0</v>
      </c>
      <c r="G145" s="117">
        <f t="shared" si="40"/>
        <v>0</v>
      </c>
      <c r="H145" s="121">
        <v>0</v>
      </c>
      <c r="I145" s="117">
        <f t="shared" si="41"/>
        <v>0</v>
      </c>
      <c r="J145" s="173">
        <f t="shared" si="43"/>
        <v>0</v>
      </c>
      <c r="K145" s="250"/>
      <c r="L145" s="261"/>
      <c r="M145" s="219"/>
      <c r="N145" s="219"/>
      <c r="O145" s="219"/>
      <c r="P145" s="121">
        <v>0</v>
      </c>
      <c r="Q145" s="116">
        <f t="shared" si="36"/>
        <v>0</v>
      </c>
      <c r="R145" s="129">
        <v>0</v>
      </c>
      <c r="S145" s="124">
        <f t="shared" si="42"/>
        <v>0</v>
      </c>
      <c r="T145" s="103">
        <v>4</v>
      </c>
      <c r="U145" s="98">
        <f t="shared" si="45"/>
        <v>152</v>
      </c>
      <c r="V145" s="180">
        <f t="shared" si="39"/>
        <v>152</v>
      </c>
      <c r="W145" s="310" t="s">
        <v>335</v>
      </c>
      <c r="X145" s="269">
        <v>152</v>
      </c>
      <c r="Y145" s="229"/>
      <c r="Z145" s="229">
        <f t="shared" si="44"/>
        <v>152</v>
      </c>
      <c r="AA145" s="497"/>
      <c r="AB145" s="202"/>
    </row>
    <row r="146" spans="1:28" s="64" customFormat="1" ht="13.5" customHeight="1">
      <c r="A146" s="60" t="s">
        <v>79</v>
      </c>
      <c r="B146" s="65">
        <v>368502</v>
      </c>
      <c r="C146" s="65" t="s">
        <v>88</v>
      </c>
      <c r="D146" s="60" t="s">
        <v>291</v>
      </c>
      <c r="E146" s="134" t="s">
        <v>64</v>
      </c>
      <c r="F146" s="121">
        <v>0</v>
      </c>
      <c r="G146" s="117">
        <f>F146*$G$5</f>
        <v>0</v>
      </c>
      <c r="H146" s="121">
        <v>0</v>
      </c>
      <c r="I146" s="117">
        <f>H146*I$5</f>
        <v>0</v>
      </c>
      <c r="J146" s="173">
        <f t="shared" si="43"/>
        <v>0</v>
      </c>
      <c r="K146" s="250"/>
      <c r="L146" s="261"/>
      <c r="M146" s="219"/>
      <c r="N146" s="219"/>
      <c r="O146" s="219"/>
      <c r="P146" s="121">
        <v>0</v>
      </c>
      <c r="Q146" s="116">
        <f t="shared" si="36"/>
        <v>0</v>
      </c>
      <c r="R146" s="129">
        <v>0</v>
      </c>
      <c r="S146" s="124">
        <f t="shared" si="42"/>
        <v>0</v>
      </c>
      <c r="T146" s="103">
        <v>8</v>
      </c>
      <c r="U146" s="98">
        <f t="shared" si="45"/>
        <v>304</v>
      </c>
      <c r="V146" s="180">
        <f t="shared" si="39"/>
        <v>304</v>
      </c>
      <c r="W146" s="310" t="s">
        <v>335</v>
      </c>
      <c r="X146" s="269">
        <v>152</v>
      </c>
      <c r="Y146" s="229"/>
      <c r="Z146" s="229">
        <f t="shared" si="44"/>
        <v>304</v>
      </c>
      <c r="AA146" s="497"/>
      <c r="AB146" s="202"/>
    </row>
    <row r="147" spans="1:28" s="64" customFormat="1" ht="13.5" customHeight="1">
      <c r="A147" s="60" t="s">
        <v>79</v>
      </c>
      <c r="B147" s="65">
        <v>368503</v>
      </c>
      <c r="C147" s="65" t="s">
        <v>88</v>
      </c>
      <c r="D147" s="60" t="s">
        <v>291</v>
      </c>
      <c r="E147" s="134" t="s">
        <v>39</v>
      </c>
      <c r="F147" s="121">
        <v>0</v>
      </c>
      <c r="G147" s="117">
        <f>F147*$G$5</f>
        <v>0</v>
      </c>
      <c r="H147" s="121">
        <v>0</v>
      </c>
      <c r="I147" s="117">
        <f>H147*I$5</f>
        <v>0</v>
      </c>
      <c r="J147" s="173">
        <f t="shared" si="43"/>
        <v>0</v>
      </c>
      <c r="K147" s="250"/>
      <c r="L147" s="261"/>
      <c r="M147" s="219"/>
      <c r="N147" s="219"/>
      <c r="O147" s="219"/>
      <c r="P147" s="121"/>
      <c r="Q147" s="116"/>
      <c r="R147" s="129">
        <v>0</v>
      </c>
      <c r="S147" s="124">
        <f t="shared" si="42"/>
        <v>0</v>
      </c>
      <c r="T147" s="103">
        <v>1</v>
      </c>
      <c r="U147" s="98">
        <f t="shared" si="45"/>
        <v>38</v>
      </c>
      <c r="V147" s="180">
        <f t="shared" si="39"/>
        <v>38</v>
      </c>
      <c r="W147" s="310" t="s">
        <v>335</v>
      </c>
      <c r="X147" s="269">
        <v>38</v>
      </c>
      <c r="Y147" s="229"/>
      <c r="Z147" s="229">
        <f t="shared" si="44"/>
        <v>38</v>
      </c>
      <c r="AA147" s="497"/>
      <c r="AB147" s="202"/>
    </row>
    <row r="148" spans="1:28" s="373" customFormat="1" ht="27" customHeight="1">
      <c r="A148" s="20" t="s">
        <v>50</v>
      </c>
      <c r="B148" s="20">
        <v>106778</v>
      </c>
      <c r="C148" s="20" t="s">
        <v>156</v>
      </c>
      <c r="D148" s="20" t="s">
        <v>93</v>
      </c>
      <c r="E148" s="140" t="s">
        <v>122</v>
      </c>
      <c r="F148" s="364">
        <v>0</v>
      </c>
      <c r="G148" s="365">
        <v>0</v>
      </c>
      <c r="H148" s="364">
        <v>0</v>
      </c>
      <c r="I148" s="365">
        <v>0</v>
      </c>
      <c r="J148" s="366">
        <f t="shared" si="43"/>
        <v>0</v>
      </c>
      <c r="K148" s="367"/>
      <c r="L148" s="368"/>
      <c r="M148" s="369"/>
      <c r="N148" s="369"/>
      <c r="O148" s="369"/>
      <c r="P148" s="303">
        <v>0.1</v>
      </c>
      <c r="Q148" s="370">
        <f aca="true" t="shared" si="46" ref="Q148:Q154">P148*Q$6</f>
        <v>3.8000000000000003</v>
      </c>
      <c r="R148" s="303">
        <v>0.084</v>
      </c>
      <c r="S148" s="371">
        <f aca="true" t="shared" si="47" ref="S148:S154">R148*S$6</f>
        <v>3.192</v>
      </c>
      <c r="T148" s="303">
        <v>0.084</v>
      </c>
      <c r="U148" s="371">
        <f aca="true" t="shared" si="48" ref="U148:U154">T148*U$6</f>
        <v>3.192</v>
      </c>
      <c r="V148" s="372">
        <f t="shared" si="39"/>
        <v>10.184000000000001</v>
      </c>
      <c r="W148" s="253" t="s">
        <v>116</v>
      </c>
      <c r="X148" s="272">
        <v>10</v>
      </c>
      <c r="Y148" s="232">
        <v>10</v>
      </c>
      <c r="Z148" s="232"/>
      <c r="AA148" s="232"/>
      <c r="AB148" s="208"/>
    </row>
    <row r="149" spans="1:28" s="106" customFormat="1" ht="13.5" customHeight="1">
      <c r="A149" s="105" t="s">
        <v>79</v>
      </c>
      <c r="B149" s="105">
        <v>368008</v>
      </c>
      <c r="C149" s="105" t="s">
        <v>156</v>
      </c>
      <c r="D149" s="20" t="s">
        <v>93</v>
      </c>
      <c r="E149" s="139" t="s">
        <v>279</v>
      </c>
      <c r="F149" s="364">
        <v>0</v>
      </c>
      <c r="G149" s="374">
        <f>F149*$G$5</f>
        <v>0</v>
      </c>
      <c r="H149" s="364">
        <v>0</v>
      </c>
      <c r="I149" s="374">
        <f>H149*I$5</f>
        <v>0</v>
      </c>
      <c r="J149" s="366">
        <f t="shared" si="43"/>
        <v>0</v>
      </c>
      <c r="K149" s="367"/>
      <c r="L149" s="368"/>
      <c r="M149" s="369"/>
      <c r="N149" s="369"/>
      <c r="O149" s="369"/>
      <c r="P149" s="107" t="s">
        <v>126</v>
      </c>
      <c r="Q149" s="105">
        <f t="shared" si="46"/>
        <v>38</v>
      </c>
      <c r="R149" s="107" t="s">
        <v>126</v>
      </c>
      <c r="S149" s="104">
        <f t="shared" si="47"/>
        <v>38</v>
      </c>
      <c r="T149" s="107" t="s">
        <v>126</v>
      </c>
      <c r="U149" s="104">
        <f t="shared" si="48"/>
        <v>38</v>
      </c>
      <c r="V149" s="184">
        <f t="shared" si="39"/>
        <v>114</v>
      </c>
      <c r="W149" s="253" t="s">
        <v>335</v>
      </c>
      <c r="X149" s="272">
        <v>115</v>
      </c>
      <c r="Y149" s="375">
        <v>38</v>
      </c>
      <c r="Z149" s="232">
        <f>X149-Y149</f>
        <v>77</v>
      </c>
      <c r="AA149" s="232"/>
      <c r="AB149" s="208"/>
    </row>
    <row r="150" spans="1:28" s="106" customFormat="1" ht="13.5" customHeight="1">
      <c r="A150" s="105" t="s">
        <v>79</v>
      </c>
      <c r="B150" s="105">
        <v>368009</v>
      </c>
      <c r="C150" s="105" t="s">
        <v>83</v>
      </c>
      <c r="D150" s="20" t="s">
        <v>93</v>
      </c>
      <c r="E150" s="139" t="s">
        <v>278</v>
      </c>
      <c r="F150" s="364">
        <v>0</v>
      </c>
      <c r="G150" s="374">
        <f>F150*$G$5</f>
        <v>0</v>
      </c>
      <c r="H150" s="364">
        <v>0</v>
      </c>
      <c r="I150" s="374">
        <f>H150*I$5</f>
        <v>0</v>
      </c>
      <c r="J150" s="366">
        <f t="shared" si="43"/>
        <v>0</v>
      </c>
      <c r="K150" s="367"/>
      <c r="L150" s="368"/>
      <c r="M150" s="369"/>
      <c r="N150" s="369"/>
      <c r="O150" s="369"/>
      <c r="P150" s="107" t="s">
        <v>126</v>
      </c>
      <c r="Q150" s="105">
        <f t="shared" si="46"/>
        <v>38</v>
      </c>
      <c r="R150" s="107" t="s">
        <v>126</v>
      </c>
      <c r="S150" s="104">
        <f t="shared" si="47"/>
        <v>38</v>
      </c>
      <c r="T150" s="107" t="s">
        <v>126</v>
      </c>
      <c r="U150" s="104">
        <f t="shared" si="48"/>
        <v>38</v>
      </c>
      <c r="V150" s="184">
        <f t="shared" si="39"/>
        <v>114</v>
      </c>
      <c r="W150" s="253" t="s">
        <v>335</v>
      </c>
      <c r="X150" s="272">
        <v>115</v>
      </c>
      <c r="Y150" s="375">
        <v>38</v>
      </c>
      <c r="Z150" s="232">
        <f>X150-Y150</f>
        <v>77</v>
      </c>
      <c r="AA150" s="232"/>
      <c r="AB150" s="208"/>
    </row>
    <row r="151" spans="1:28" s="377" customFormat="1" ht="13.5" customHeight="1">
      <c r="A151" s="302" t="s">
        <v>156</v>
      </c>
      <c r="B151" s="302">
        <v>368193</v>
      </c>
      <c r="C151" s="302" t="s">
        <v>83</v>
      </c>
      <c r="D151" s="20" t="s">
        <v>93</v>
      </c>
      <c r="E151" s="376" t="s">
        <v>2</v>
      </c>
      <c r="F151" s="364">
        <v>0</v>
      </c>
      <c r="G151" s="374">
        <f>F151*$G$5</f>
        <v>0</v>
      </c>
      <c r="H151" s="364">
        <v>0</v>
      </c>
      <c r="I151" s="374">
        <f>H151*I$5</f>
        <v>0</v>
      </c>
      <c r="J151" s="366">
        <f t="shared" si="43"/>
        <v>0</v>
      </c>
      <c r="K151" s="367"/>
      <c r="L151" s="368"/>
      <c r="M151" s="369"/>
      <c r="N151" s="369"/>
      <c r="O151" s="369"/>
      <c r="P151" s="302">
        <v>2</v>
      </c>
      <c r="Q151" s="105">
        <f t="shared" si="46"/>
        <v>76</v>
      </c>
      <c r="R151" s="109">
        <v>2</v>
      </c>
      <c r="S151" s="104">
        <f t="shared" si="47"/>
        <v>76</v>
      </c>
      <c r="T151" s="109">
        <v>2</v>
      </c>
      <c r="U151" s="104">
        <f t="shared" si="48"/>
        <v>76</v>
      </c>
      <c r="V151" s="184">
        <f t="shared" si="39"/>
        <v>228</v>
      </c>
      <c r="W151" s="253" t="s">
        <v>335</v>
      </c>
      <c r="X151" s="272">
        <v>230</v>
      </c>
      <c r="Y151" s="375">
        <v>76</v>
      </c>
      <c r="Z151" s="232">
        <f>X151-Y151</f>
        <v>154</v>
      </c>
      <c r="AA151" s="232"/>
      <c r="AB151" s="208"/>
    </row>
    <row r="152" spans="1:28" s="377" customFormat="1" ht="13.5" customHeight="1">
      <c r="A152" s="302" t="s">
        <v>156</v>
      </c>
      <c r="B152" s="302">
        <v>368194</v>
      </c>
      <c r="C152" s="302" t="s">
        <v>83</v>
      </c>
      <c r="D152" s="20" t="s">
        <v>93</v>
      </c>
      <c r="E152" s="376" t="s">
        <v>1</v>
      </c>
      <c r="F152" s="364">
        <v>0</v>
      </c>
      <c r="G152" s="374">
        <f>F152*$G$5</f>
        <v>0</v>
      </c>
      <c r="H152" s="364">
        <v>0</v>
      </c>
      <c r="I152" s="374">
        <f>H152*I$5</f>
        <v>0</v>
      </c>
      <c r="J152" s="366">
        <f t="shared" si="43"/>
        <v>0</v>
      </c>
      <c r="K152" s="367"/>
      <c r="L152" s="368"/>
      <c r="M152" s="369"/>
      <c r="N152" s="369"/>
      <c r="O152" s="369"/>
      <c r="P152" s="302">
        <v>4</v>
      </c>
      <c r="Q152" s="105">
        <f t="shared" si="46"/>
        <v>152</v>
      </c>
      <c r="R152" s="109">
        <v>4</v>
      </c>
      <c r="S152" s="104">
        <f t="shared" si="47"/>
        <v>152</v>
      </c>
      <c r="T152" s="109">
        <v>4</v>
      </c>
      <c r="U152" s="104">
        <f t="shared" si="48"/>
        <v>152</v>
      </c>
      <c r="V152" s="184">
        <f t="shared" si="39"/>
        <v>456</v>
      </c>
      <c r="W152" s="253" t="s">
        <v>335</v>
      </c>
      <c r="X152" s="272">
        <v>460</v>
      </c>
      <c r="Y152" s="375">
        <v>152</v>
      </c>
      <c r="Z152" s="232">
        <f>X152-Y152</f>
        <v>308</v>
      </c>
      <c r="AA152" s="232"/>
      <c r="AB152" s="208"/>
    </row>
    <row r="153" spans="1:28" s="106" customFormat="1" ht="13.5" customHeight="1">
      <c r="A153" s="105" t="s">
        <v>79</v>
      </c>
      <c r="B153" s="105">
        <v>368287</v>
      </c>
      <c r="C153" s="105" t="s">
        <v>83</v>
      </c>
      <c r="D153" s="302" t="s">
        <v>93</v>
      </c>
      <c r="E153" s="139" t="s">
        <v>329</v>
      </c>
      <c r="F153" s="364">
        <v>0</v>
      </c>
      <c r="G153" s="374">
        <f>F153*G$6</f>
        <v>0</v>
      </c>
      <c r="H153" s="364">
        <v>0</v>
      </c>
      <c r="I153" s="374">
        <f>H153*I$5</f>
        <v>0</v>
      </c>
      <c r="J153" s="366">
        <f t="shared" si="43"/>
        <v>0</v>
      </c>
      <c r="K153" s="367"/>
      <c r="L153" s="368"/>
      <c r="M153" s="369"/>
      <c r="N153" s="369"/>
      <c r="O153" s="369"/>
      <c r="P153" s="108">
        <v>3</v>
      </c>
      <c r="Q153" s="105">
        <f t="shared" si="46"/>
        <v>114</v>
      </c>
      <c r="R153" s="108">
        <v>3</v>
      </c>
      <c r="S153" s="104">
        <f t="shared" si="47"/>
        <v>114</v>
      </c>
      <c r="T153" s="109">
        <v>3</v>
      </c>
      <c r="U153" s="104">
        <f t="shared" si="48"/>
        <v>114</v>
      </c>
      <c r="V153" s="184">
        <f t="shared" si="39"/>
        <v>342</v>
      </c>
      <c r="W153" s="253" t="s">
        <v>116</v>
      </c>
      <c r="X153" s="272" t="s">
        <v>229</v>
      </c>
      <c r="Y153" s="375">
        <v>370</v>
      </c>
      <c r="Z153" s="232"/>
      <c r="AA153" s="232"/>
      <c r="AB153" s="208"/>
    </row>
    <row r="154" spans="1:28" s="57" customFormat="1" ht="27" customHeight="1">
      <c r="A154" s="56" t="s">
        <v>79</v>
      </c>
      <c r="B154" s="56">
        <v>368010</v>
      </c>
      <c r="C154" s="56" t="s">
        <v>83</v>
      </c>
      <c r="D154" s="56" t="s">
        <v>286</v>
      </c>
      <c r="E154" s="136" t="s">
        <v>171</v>
      </c>
      <c r="F154" s="56">
        <v>8</v>
      </c>
      <c r="G154" s="58">
        <f>F154*G$6</f>
        <v>592</v>
      </c>
      <c r="H154" s="56">
        <v>8</v>
      </c>
      <c r="I154" s="58">
        <f aca="true" t="shared" si="49" ref="I154:I192">H154*I$6</f>
        <v>592</v>
      </c>
      <c r="J154" s="175">
        <f>G154+I154</f>
        <v>1184</v>
      </c>
      <c r="K154" s="252" t="s">
        <v>334</v>
      </c>
      <c r="L154" s="263" t="s">
        <v>337</v>
      </c>
      <c r="M154" s="221">
        <v>1200</v>
      </c>
      <c r="N154" s="221"/>
      <c r="O154" s="221"/>
      <c r="P154" s="56">
        <v>6</v>
      </c>
      <c r="Q154" s="56">
        <f t="shared" si="46"/>
        <v>228</v>
      </c>
      <c r="R154" s="59">
        <v>6</v>
      </c>
      <c r="S154" s="58">
        <f t="shared" si="47"/>
        <v>228</v>
      </c>
      <c r="T154" s="59">
        <v>6</v>
      </c>
      <c r="U154" s="58">
        <f t="shared" si="48"/>
        <v>228</v>
      </c>
      <c r="V154" s="182">
        <f t="shared" si="39"/>
        <v>684</v>
      </c>
      <c r="W154" s="252" t="s">
        <v>334</v>
      </c>
      <c r="X154" s="270" t="s">
        <v>368</v>
      </c>
      <c r="Y154" s="230">
        <v>700</v>
      </c>
      <c r="Z154" s="230"/>
      <c r="AA154" s="230"/>
      <c r="AB154" s="203"/>
    </row>
    <row r="155" spans="1:28" s="57" customFormat="1" ht="13.5" customHeight="1">
      <c r="A155" s="56" t="s">
        <v>79</v>
      </c>
      <c r="B155" s="56">
        <v>368011</v>
      </c>
      <c r="C155" s="56" t="s">
        <v>156</v>
      </c>
      <c r="D155" s="56" t="s">
        <v>286</v>
      </c>
      <c r="E155" s="136" t="s">
        <v>284</v>
      </c>
      <c r="F155" s="56">
        <v>2</v>
      </c>
      <c r="G155" s="58">
        <f>F155*G$6</f>
        <v>148</v>
      </c>
      <c r="H155" s="87" t="s">
        <v>81</v>
      </c>
      <c r="I155" s="58">
        <f t="shared" si="49"/>
        <v>148</v>
      </c>
      <c r="J155" s="175">
        <f aca="true" t="shared" si="50" ref="J155:J192">G155+I155</f>
        <v>296</v>
      </c>
      <c r="K155" s="252" t="s">
        <v>335</v>
      </c>
      <c r="L155" s="263">
        <v>300</v>
      </c>
      <c r="M155" s="221">
        <v>300</v>
      </c>
      <c r="N155" s="221"/>
      <c r="O155" s="221"/>
      <c r="P155" s="56">
        <v>2</v>
      </c>
      <c r="Q155" s="56">
        <f aca="true" t="shared" si="51" ref="Q155:Q191">P155*Q$6</f>
        <v>76</v>
      </c>
      <c r="R155" s="59">
        <v>2</v>
      </c>
      <c r="S155" s="58">
        <f aca="true" t="shared" si="52" ref="S155:S192">R155*S$6</f>
        <v>76</v>
      </c>
      <c r="T155" s="59">
        <v>2</v>
      </c>
      <c r="U155" s="58">
        <f aca="true" t="shared" si="53" ref="U155:U192">T155*U$6</f>
        <v>76</v>
      </c>
      <c r="V155" s="182">
        <f t="shared" si="39"/>
        <v>228</v>
      </c>
      <c r="W155" s="252" t="s">
        <v>335</v>
      </c>
      <c r="X155" s="270">
        <v>230</v>
      </c>
      <c r="Y155" s="230">
        <v>230</v>
      </c>
      <c r="Z155" s="230"/>
      <c r="AA155" s="230"/>
      <c r="AB155" s="203"/>
    </row>
    <row r="156" spans="1:28" s="57" customFormat="1" ht="26.25" customHeight="1">
      <c r="A156" s="56" t="s">
        <v>79</v>
      </c>
      <c r="B156" s="453" t="s">
        <v>590</v>
      </c>
      <c r="C156" s="56" t="s">
        <v>88</v>
      </c>
      <c r="D156" s="56" t="s">
        <v>286</v>
      </c>
      <c r="E156" s="136" t="s">
        <v>179</v>
      </c>
      <c r="F156" s="56">
        <v>2</v>
      </c>
      <c r="G156" s="58">
        <f>F156*G$6</f>
        <v>148</v>
      </c>
      <c r="H156" s="56">
        <v>2</v>
      </c>
      <c r="I156" s="58">
        <f t="shared" si="49"/>
        <v>148</v>
      </c>
      <c r="J156" s="175">
        <f t="shared" si="50"/>
        <v>296</v>
      </c>
      <c r="K156" s="252" t="s">
        <v>334</v>
      </c>
      <c r="L156" s="263" t="s">
        <v>69</v>
      </c>
      <c r="M156" s="221">
        <v>350</v>
      </c>
      <c r="N156" s="221"/>
      <c r="O156" s="221"/>
      <c r="P156" s="56">
        <v>2</v>
      </c>
      <c r="Q156" s="56">
        <f t="shared" si="51"/>
        <v>76</v>
      </c>
      <c r="R156" s="59">
        <v>2</v>
      </c>
      <c r="S156" s="58">
        <f t="shared" si="52"/>
        <v>76</v>
      </c>
      <c r="T156" s="59">
        <v>2</v>
      </c>
      <c r="U156" s="58">
        <f t="shared" si="53"/>
        <v>76</v>
      </c>
      <c r="V156" s="182">
        <f aca="true" t="shared" si="54" ref="V156:V184">Q156+S156+U156</f>
        <v>228</v>
      </c>
      <c r="W156" s="252" t="s">
        <v>334</v>
      </c>
      <c r="X156" s="270" t="s">
        <v>366</v>
      </c>
      <c r="Y156" s="230">
        <v>300</v>
      </c>
      <c r="Z156" s="230"/>
      <c r="AA156" s="230"/>
      <c r="AB156" s="203"/>
    </row>
    <row r="157" spans="1:28" s="57" customFormat="1" ht="13.5" customHeight="1">
      <c r="A157" s="56" t="s">
        <v>79</v>
      </c>
      <c r="B157" s="56">
        <v>368039</v>
      </c>
      <c r="C157" s="56" t="s">
        <v>88</v>
      </c>
      <c r="D157" s="56" t="s">
        <v>286</v>
      </c>
      <c r="E157" s="136" t="s">
        <v>127</v>
      </c>
      <c r="F157" s="56">
        <v>68</v>
      </c>
      <c r="G157" s="58">
        <f>F157*G$6</f>
        <v>5032</v>
      </c>
      <c r="H157" s="56">
        <v>64</v>
      </c>
      <c r="I157" s="58">
        <f t="shared" si="49"/>
        <v>4736</v>
      </c>
      <c r="J157" s="175">
        <f t="shared" si="50"/>
        <v>9768</v>
      </c>
      <c r="K157" s="252" t="s">
        <v>334</v>
      </c>
      <c r="L157" s="263" t="s">
        <v>221</v>
      </c>
      <c r="M157" s="221">
        <v>9900</v>
      </c>
      <c r="N157" s="221"/>
      <c r="O157" s="221"/>
      <c r="P157" s="378">
        <v>70</v>
      </c>
      <c r="Q157" s="56">
        <f t="shared" si="51"/>
        <v>2660</v>
      </c>
      <c r="R157" s="59">
        <v>66</v>
      </c>
      <c r="S157" s="58">
        <f t="shared" si="52"/>
        <v>2508</v>
      </c>
      <c r="T157" s="88">
        <v>62</v>
      </c>
      <c r="U157" s="58">
        <f t="shared" si="53"/>
        <v>2356</v>
      </c>
      <c r="V157" s="182">
        <f t="shared" si="54"/>
        <v>7524</v>
      </c>
      <c r="W157" s="252" t="s">
        <v>334</v>
      </c>
      <c r="X157" s="270" t="s">
        <v>230</v>
      </c>
      <c r="Y157" s="230">
        <v>7700</v>
      </c>
      <c r="Z157" s="230"/>
      <c r="AA157" s="230"/>
      <c r="AB157" s="203"/>
    </row>
    <row r="158" spans="1:28" s="143" customFormat="1" ht="13.5" customHeight="1">
      <c r="A158" s="141" t="s">
        <v>156</v>
      </c>
      <c r="B158" s="141">
        <v>368043</v>
      </c>
      <c r="C158" s="141" t="s">
        <v>83</v>
      </c>
      <c r="D158" s="142" t="s">
        <v>286</v>
      </c>
      <c r="E158" s="151" t="s">
        <v>264</v>
      </c>
      <c r="F158" s="141">
        <v>1</v>
      </c>
      <c r="G158" s="144">
        <f>F158*$G$6</f>
        <v>74</v>
      </c>
      <c r="H158" s="152">
        <v>0</v>
      </c>
      <c r="I158" s="58">
        <f t="shared" si="49"/>
        <v>0</v>
      </c>
      <c r="J158" s="175">
        <f t="shared" si="50"/>
        <v>74</v>
      </c>
      <c r="K158" s="252" t="s">
        <v>335</v>
      </c>
      <c r="L158" s="263">
        <v>75</v>
      </c>
      <c r="M158" s="221">
        <v>75</v>
      </c>
      <c r="N158" s="221"/>
      <c r="O158" s="221"/>
      <c r="P158" s="141">
        <v>1</v>
      </c>
      <c r="Q158" s="142">
        <f t="shared" si="51"/>
        <v>38</v>
      </c>
      <c r="R158" s="141">
        <v>1</v>
      </c>
      <c r="S158" s="145">
        <f t="shared" si="52"/>
        <v>38</v>
      </c>
      <c r="T158" s="141">
        <v>1</v>
      </c>
      <c r="U158" s="145">
        <f t="shared" si="53"/>
        <v>38</v>
      </c>
      <c r="V158" s="183">
        <f t="shared" si="54"/>
        <v>114</v>
      </c>
      <c r="W158" s="252" t="s">
        <v>335</v>
      </c>
      <c r="X158" s="271">
        <v>115</v>
      </c>
      <c r="Y158" s="230">
        <v>115</v>
      </c>
      <c r="Z158" s="231"/>
      <c r="AA158" s="231"/>
      <c r="AB158" s="204"/>
    </row>
    <row r="159" spans="1:28" s="147" customFormat="1" ht="13.5" customHeight="1">
      <c r="A159" s="146" t="s">
        <v>156</v>
      </c>
      <c r="B159" s="146">
        <v>368044</v>
      </c>
      <c r="C159" s="146" t="s">
        <v>83</v>
      </c>
      <c r="D159" s="142" t="s">
        <v>286</v>
      </c>
      <c r="E159" s="151" t="s">
        <v>265</v>
      </c>
      <c r="F159" s="146">
        <v>1</v>
      </c>
      <c r="G159" s="144">
        <f>F159*$G$6</f>
        <v>74</v>
      </c>
      <c r="H159" s="152">
        <v>0</v>
      </c>
      <c r="I159" s="58">
        <f t="shared" si="49"/>
        <v>0</v>
      </c>
      <c r="J159" s="175">
        <f t="shared" si="50"/>
        <v>74</v>
      </c>
      <c r="K159" s="252" t="s">
        <v>335</v>
      </c>
      <c r="L159" s="263">
        <v>75</v>
      </c>
      <c r="M159" s="221">
        <v>75</v>
      </c>
      <c r="N159" s="221"/>
      <c r="O159" s="221"/>
      <c r="P159" s="141">
        <v>1</v>
      </c>
      <c r="Q159" s="142">
        <f t="shared" si="51"/>
        <v>38</v>
      </c>
      <c r="R159" s="141">
        <v>1</v>
      </c>
      <c r="S159" s="145">
        <f t="shared" si="52"/>
        <v>38</v>
      </c>
      <c r="T159" s="141">
        <v>1</v>
      </c>
      <c r="U159" s="145">
        <f t="shared" si="53"/>
        <v>38</v>
      </c>
      <c r="V159" s="183">
        <f t="shared" si="54"/>
        <v>114</v>
      </c>
      <c r="W159" s="252" t="s">
        <v>335</v>
      </c>
      <c r="X159" s="271">
        <v>115</v>
      </c>
      <c r="Y159" s="230">
        <v>115</v>
      </c>
      <c r="Z159" s="231"/>
      <c r="AA159" s="231"/>
      <c r="AB159" s="204"/>
    </row>
    <row r="160" spans="1:33" s="147" customFormat="1" ht="13.5" customHeight="1">
      <c r="A160" s="146" t="s">
        <v>156</v>
      </c>
      <c r="B160" s="146">
        <v>368045</v>
      </c>
      <c r="C160" s="146" t="s">
        <v>83</v>
      </c>
      <c r="D160" s="148" t="s">
        <v>286</v>
      </c>
      <c r="E160" s="151" t="s">
        <v>266</v>
      </c>
      <c r="F160" s="146">
        <v>0</v>
      </c>
      <c r="G160" s="144">
        <f>F160*$G$6</f>
        <v>0</v>
      </c>
      <c r="H160" s="152">
        <v>0</v>
      </c>
      <c r="I160" s="58">
        <f t="shared" si="49"/>
        <v>0</v>
      </c>
      <c r="J160" s="175">
        <f t="shared" si="50"/>
        <v>0</v>
      </c>
      <c r="K160" s="252" t="s">
        <v>335</v>
      </c>
      <c r="L160" s="263">
        <v>0</v>
      </c>
      <c r="M160" s="221">
        <v>0</v>
      </c>
      <c r="N160" s="221"/>
      <c r="O160" s="221"/>
      <c r="P160" s="141">
        <v>1</v>
      </c>
      <c r="Q160" s="142">
        <f t="shared" si="51"/>
        <v>38</v>
      </c>
      <c r="R160" s="141">
        <v>1</v>
      </c>
      <c r="S160" s="145">
        <f t="shared" si="52"/>
        <v>38</v>
      </c>
      <c r="T160" s="141">
        <v>1</v>
      </c>
      <c r="U160" s="145">
        <f t="shared" si="53"/>
        <v>38</v>
      </c>
      <c r="V160" s="183">
        <f t="shared" si="54"/>
        <v>114</v>
      </c>
      <c r="W160" s="252" t="s">
        <v>335</v>
      </c>
      <c r="X160" s="271">
        <v>115</v>
      </c>
      <c r="Y160" s="230">
        <v>115</v>
      </c>
      <c r="Z160" s="231"/>
      <c r="AA160" s="231"/>
      <c r="AB160" s="204"/>
      <c r="AC160" s="149"/>
      <c r="AD160" s="146"/>
      <c r="AE160" s="150"/>
      <c r="AF160" s="143"/>
      <c r="AG160" s="143"/>
    </row>
    <row r="161" spans="1:28" s="57" customFormat="1" ht="13.5" customHeight="1">
      <c r="A161" s="56" t="s">
        <v>79</v>
      </c>
      <c r="B161" s="56">
        <v>368046</v>
      </c>
      <c r="C161" s="56" t="s">
        <v>79</v>
      </c>
      <c r="D161" s="56" t="s">
        <v>286</v>
      </c>
      <c r="E161" s="136" t="s">
        <v>276</v>
      </c>
      <c r="F161" s="56">
        <v>24</v>
      </c>
      <c r="G161" s="58">
        <f aca="true" t="shared" si="55" ref="G161:G192">F161*G$6</f>
        <v>1776</v>
      </c>
      <c r="H161" s="56">
        <v>24</v>
      </c>
      <c r="I161" s="58">
        <f t="shared" si="49"/>
        <v>1776</v>
      </c>
      <c r="J161" s="175">
        <f t="shared" si="50"/>
        <v>3552</v>
      </c>
      <c r="K161" s="252" t="s">
        <v>334</v>
      </c>
      <c r="L161" s="263">
        <v>36</v>
      </c>
      <c r="M161" s="221">
        <v>3600</v>
      </c>
      <c r="N161" s="221"/>
      <c r="O161" s="221"/>
      <c r="P161" s="59">
        <v>24</v>
      </c>
      <c r="Q161" s="56">
        <f t="shared" si="51"/>
        <v>912</v>
      </c>
      <c r="R161" s="59">
        <v>24</v>
      </c>
      <c r="S161" s="58">
        <f t="shared" si="52"/>
        <v>912</v>
      </c>
      <c r="T161" s="88">
        <v>24</v>
      </c>
      <c r="U161" s="58">
        <f t="shared" si="53"/>
        <v>912</v>
      </c>
      <c r="V161" s="182">
        <f t="shared" si="54"/>
        <v>2736</v>
      </c>
      <c r="W161" s="252" t="s">
        <v>334</v>
      </c>
      <c r="X161" s="270" t="s">
        <v>371</v>
      </c>
      <c r="Y161" s="230">
        <v>2800</v>
      </c>
      <c r="Z161" s="230"/>
      <c r="AA161" s="230"/>
      <c r="AB161" s="203"/>
    </row>
    <row r="162" spans="1:28" s="57" customFormat="1" ht="13.5" customHeight="1">
      <c r="A162" s="56" t="s">
        <v>83</v>
      </c>
      <c r="B162" s="56">
        <v>368051</v>
      </c>
      <c r="C162" s="56" t="s">
        <v>156</v>
      </c>
      <c r="D162" s="56" t="s">
        <v>286</v>
      </c>
      <c r="E162" s="136" t="s">
        <v>168</v>
      </c>
      <c r="F162" s="56">
        <v>8</v>
      </c>
      <c r="G162" s="58">
        <f t="shared" si="55"/>
        <v>592</v>
      </c>
      <c r="H162" s="87" t="s">
        <v>195</v>
      </c>
      <c r="I162" s="58">
        <f t="shared" si="49"/>
        <v>592</v>
      </c>
      <c r="J162" s="175">
        <f t="shared" si="50"/>
        <v>1184</v>
      </c>
      <c r="K162" s="252" t="s">
        <v>335</v>
      </c>
      <c r="L162" s="263">
        <v>1200</v>
      </c>
      <c r="M162" s="221">
        <v>1200</v>
      </c>
      <c r="N162" s="221"/>
      <c r="O162" s="221"/>
      <c r="P162" s="56">
        <v>6</v>
      </c>
      <c r="Q162" s="56">
        <f t="shared" si="51"/>
        <v>228</v>
      </c>
      <c r="R162" s="59">
        <v>6</v>
      </c>
      <c r="S162" s="58">
        <f t="shared" si="52"/>
        <v>228</v>
      </c>
      <c r="T162" s="59">
        <v>6</v>
      </c>
      <c r="U162" s="58">
        <f t="shared" si="53"/>
        <v>228</v>
      </c>
      <c r="V162" s="182">
        <f t="shared" si="54"/>
        <v>684</v>
      </c>
      <c r="W162" s="252" t="s">
        <v>335</v>
      </c>
      <c r="X162" s="270">
        <v>700</v>
      </c>
      <c r="Y162" s="230">
        <v>700</v>
      </c>
      <c r="Z162" s="230"/>
      <c r="AA162" s="230"/>
      <c r="AB162" s="203"/>
    </row>
    <row r="163" spans="1:28" s="57" customFormat="1" ht="13.5" customHeight="1">
      <c r="A163" s="56" t="s">
        <v>83</v>
      </c>
      <c r="B163" s="56">
        <v>368052</v>
      </c>
      <c r="C163" s="56" t="s">
        <v>156</v>
      </c>
      <c r="D163" s="56" t="s">
        <v>286</v>
      </c>
      <c r="E163" s="136" t="s">
        <v>130</v>
      </c>
      <c r="F163" s="56">
        <v>0</v>
      </c>
      <c r="G163" s="58">
        <f t="shared" si="55"/>
        <v>0</v>
      </c>
      <c r="H163" s="87" t="s">
        <v>170</v>
      </c>
      <c r="I163" s="58">
        <f t="shared" si="49"/>
        <v>0</v>
      </c>
      <c r="J163" s="175">
        <f t="shared" si="50"/>
        <v>0</v>
      </c>
      <c r="K163" s="252" t="s">
        <v>335</v>
      </c>
      <c r="L163" s="263">
        <v>0</v>
      </c>
      <c r="M163" s="221">
        <v>0</v>
      </c>
      <c r="N163" s="221"/>
      <c r="O163" s="221"/>
      <c r="P163" s="56">
        <v>6</v>
      </c>
      <c r="Q163" s="56">
        <f t="shared" si="51"/>
        <v>228</v>
      </c>
      <c r="R163" s="59">
        <v>6</v>
      </c>
      <c r="S163" s="58">
        <f t="shared" si="52"/>
        <v>228</v>
      </c>
      <c r="T163" s="59">
        <v>6</v>
      </c>
      <c r="U163" s="58">
        <f t="shared" si="53"/>
        <v>228</v>
      </c>
      <c r="V163" s="182">
        <f t="shared" si="54"/>
        <v>684</v>
      </c>
      <c r="W163" s="252" t="s">
        <v>335</v>
      </c>
      <c r="X163" s="270">
        <v>700</v>
      </c>
      <c r="Y163" s="230">
        <v>700</v>
      </c>
      <c r="Z163" s="230"/>
      <c r="AA163" s="230"/>
      <c r="AB163" s="203"/>
    </row>
    <row r="164" spans="1:28" s="57" customFormat="1" ht="13.5" customHeight="1">
      <c r="A164" s="56" t="s">
        <v>83</v>
      </c>
      <c r="B164" s="56">
        <v>368053</v>
      </c>
      <c r="C164" s="56" t="s">
        <v>156</v>
      </c>
      <c r="D164" s="56" t="s">
        <v>286</v>
      </c>
      <c r="E164" s="136" t="s">
        <v>131</v>
      </c>
      <c r="F164" s="56">
        <v>22</v>
      </c>
      <c r="G164" s="58">
        <f t="shared" si="55"/>
        <v>1628</v>
      </c>
      <c r="H164" s="56">
        <v>20</v>
      </c>
      <c r="I164" s="58">
        <f t="shared" si="49"/>
        <v>1480</v>
      </c>
      <c r="J164" s="175">
        <f t="shared" si="50"/>
        <v>3108</v>
      </c>
      <c r="K164" s="252" t="s">
        <v>335</v>
      </c>
      <c r="L164" s="263">
        <v>3150</v>
      </c>
      <c r="M164" s="221">
        <v>3150</v>
      </c>
      <c r="N164" s="221"/>
      <c r="O164" s="221"/>
      <c r="P164" s="59">
        <v>20</v>
      </c>
      <c r="Q164" s="56">
        <f t="shared" si="51"/>
        <v>760</v>
      </c>
      <c r="R164" s="59">
        <v>18</v>
      </c>
      <c r="S164" s="58">
        <f t="shared" si="52"/>
        <v>684</v>
      </c>
      <c r="T164" s="88">
        <v>16</v>
      </c>
      <c r="U164" s="58">
        <f t="shared" si="53"/>
        <v>608</v>
      </c>
      <c r="V164" s="182">
        <f t="shared" si="54"/>
        <v>2052</v>
      </c>
      <c r="W164" s="252" t="s">
        <v>335</v>
      </c>
      <c r="X164" s="270">
        <v>2100</v>
      </c>
      <c r="Y164" s="230">
        <v>2100</v>
      </c>
      <c r="Z164" s="230"/>
      <c r="AA164" s="230"/>
      <c r="AB164" s="203"/>
    </row>
    <row r="165" spans="1:28" s="57" customFormat="1" ht="13.5" customHeight="1">
      <c r="A165" s="56" t="s">
        <v>79</v>
      </c>
      <c r="B165" s="56">
        <v>368054</v>
      </c>
      <c r="C165" s="56" t="s">
        <v>88</v>
      </c>
      <c r="D165" s="89" t="s">
        <v>286</v>
      </c>
      <c r="E165" s="136" t="s">
        <v>346</v>
      </c>
      <c r="F165" s="59">
        <v>30</v>
      </c>
      <c r="G165" s="58">
        <f>F165*G$6</f>
        <v>2220</v>
      </c>
      <c r="H165" s="59">
        <v>32</v>
      </c>
      <c r="I165" s="58">
        <f>H165*I$6</f>
        <v>2368</v>
      </c>
      <c r="J165" s="175">
        <f>G165+I165</f>
        <v>4588</v>
      </c>
      <c r="K165" s="252" t="s">
        <v>347</v>
      </c>
      <c r="L165" s="263" t="s">
        <v>222</v>
      </c>
      <c r="M165" s="221">
        <v>4732</v>
      </c>
      <c r="N165" s="221"/>
      <c r="O165" s="221"/>
      <c r="P165" s="59">
        <v>32</v>
      </c>
      <c r="Q165" s="56">
        <f>P165*Q$6</f>
        <v>1216</v>
      </c>
      <c r="R165" s="59">
        <v>30</v>
      </c>
      <c r="S165" s="58">
        <f>R165*S$6</f>
        <v>1140</v>
      </c>
      <c r="T165" s="88">
        <v>28</v>
      </c>
      <c r="U165" s="58">
        <f>T165*U$6</f>
        <v>1064</v>
      </c>
      <c r="V165" s="182">
        <f t="shared" si="54"/>
        <v>3420</v>
      </c>
      <c r="W165" s="252" t="s">
        <v>347</v>
      </c>
      <c r="X165" s="270" t="s">
        <v>376</v>
      </c>
      <c r="Y165" s="230">
        <v>3588</v>
      </c>
      <c r="Z165" s="230"/>
      <c r="AA165" s="230"/>
      <c r="AB165" s="203"/>
    </row>
    <row r="166" spans="1:28" s="57" customFormat="1" ht="13.5" customHeight="1">
      <c r="A166" s="56" t="s">
        <v>79</v>
      </c>
      <c r="B166" s="56">
        <v>368055</v>
      </c>
      <c r="C166" s="56" t="s">
        <v>79</v>
      </c>
      <c r="D166" s="56" t="s">
        <v>286</v>
      </c>
      <c r="E166" s="136" t="s">
        <v>132</v>
      </c>
      <c r="F166" s="56">
        <v>2</v>
      </c>
      <c r="G166" s="58">
        <f t="shared" si="55"/>
        <v>148</v>
      </c>
      <c r="H166" s="56">
        <v>2</v>
      </c>
      <c r="I166" s="58">
        <f t="shared" si="49"/>
        <v>148</v>
      </c>
      <c r="J166" s="175">
        <f t="shared" si="50"/>
        <v>296</v>
      </c>
      <c r="K166" s="252" t="s">
        <v>528</v>
      </c>
      <c r="L166" s="263" t="s">
        <v>559</v>
      </c>
      <c r="M166" s="221">
        <v>300</v>
      </c>
      <c r="N166" s="221"/>
      <c r="O166" s="221"/>
      <c r="P166" s="59">
        <v>2</v>
      </c>
      <c r="Q166" s="56">
        <f t="shared" si="51"/>
        <v>76</v>
      </c>
      <c r="R166" s="59">
        <v>2</v>
      </c>
      <c r="S166" s="58">
        <f t="shared" si="52"/>
        <v>76</v>
      </c>
      <c r="T166" s="88">
        <v>2</v>
      </c>
      <c r="U166" s="58">
        <f t="shared" si="53"/>
        <v>76</v>
      </c>
      <c r="V166" s="182">
        <f t="shared" si="54"/>
        <v>228</v>
      </c>
      <c r="W166" s="252" t="s">
        <v>527</v>
      </c>
      <c r="X166" s="270" t="s">
        <v>559</v>
      </c>
      <c r="Y166" s="230">
        <v>230</v>
      </c>
      <c r="Z166" s="230"/>
      <c r="AA166" s="230"/>
      <c r="AB166" s="203"/>
    </row>
    <row r="167" spans="1:28" s="57" customFormat="1" ht="13.5" customHeight="1">
      <c r="A167" s="56" t="s">
        <v>79</v>
      </c>
      <c r="B167" s="56">
        <v>368056</v>
      </c>
      <c r="C167" s="56" t="s">
        <v>79</v>
      </c>
      <c r="D167" s="56" t="s">
        <v>286</v>
      </c>
      <c r="E167" s="136" t="s">
        <v>133</v>
      </c>
      <c r="F167" s="56">
        <v>24</v>
      </c>
      <c r="G167" s="58">
        <f t="shared" si="55"/>
        <v>1776</v>
      </c>
      <c r="H167" s="56">
        <v>24</v>
      </c>
      <c r="I167" s="58">
        <f t="shared" si="49"/>
        <v>1776</v>
      </c>
      <c r="J167" s="175">
        <f t="shared" si="50"/>
        <v>3552</v>
      </c>
      <c r="K167" s="252" t="s">
        <v>531</v>
      </c>
      <c r="L167" s="263" t="s">
        <v>559</v>
      </c>
      <c r="M167" s="221">
        <v>3600</v>
      </c>
      <c r="N167" s="221"/>
      <c r="O167" s="221"/>
      <c r="P167" s="59">
        <v>18</v>
      </c>
      <c r="Q167" s="56">
        <f t="shared" si="51"/>
        <v>684</v>
      </c>
      <c r="R167" s="59">
        <v>18</v>
      </c>
      <c r="S167" s="58">
        <f t="shared" si="52"/>
        <v>684</v>
      </c>
      <c r="T167" s="88">
        <v>18</v>
      </c>
      <c r="U167" s="58">
        <f t="shared" si="53"/>
        <v>684</v>
      </c>
      <c r="V167" s="182">
        <f t="shared" si="54"/>
        <v>2052</v>
      </c>
      <c r="W167" s="252" t="s">
        <v>532</v>
      </c>
      <c r="X167" s="270" t="s">
        <v>559</v>
      </c>
      <c r="Y167" s="230">
        <v>2100</v>
      </c>
      <c r="Z167" s="230"/>
      <c r="AA167" s="230"/>
      <c r="AB167" s="203"/>
    </row>
    <row r="168" spans="1:28" s="387" customFormat="1" ht="13.5" customHeight="1">
      <c r="A168" s="379" t="s">
        <v>156</v>
      </c>
      <c r="B168" s="379">
        <v>368058</v>
      </c>
      <c r="C168" s="379" t="s">
        <v>83</v>
      </c>
      <c r="D168" s="89" t="s">
        <v>286</v>
      </c>
      <c r="E168" s="380" t="s">
        <v>313</v>
      </c>
      <c r="F168" s="379">
        <v>1</v>
      </c>
      <c r="G168" s="381">
        <f t="shared" si="55"/>
        <v>74</v>
      </c>
      <c r="H168" s="382">
        <v>0</v>
      </c>
      <c r="I168" s="58">
        <f t="shared" si="49"/>
        <v>0</v>
      </c>
      <c r="J168" s="175">
        <f t="shared" si="50"/>
        <v>74</v>
      </c>
      <c r="K168" s="252" t="s">
        <v>335</v>
      </c>
      <c r="L168" s="263">
        <v>75</v>
      </c>
      <c r="M168" s="221">
        <v>75</v>
      </c>
      <c r="N168" s="221"/>
      <c r="O168" s="221"/>
      <c r="P168" s="383">
        <v>1</v>
      </c>
      <c r="Q168" s="89">
        <f t="shared" si="51"/>
        <v>38</v>
      </c>
      <c r="R168" s="383">
        <v>1</v>
      </c>
      <c r="S168" s="381">
        <f t="shared" si="52"/>
        <v>38</v>
      </c>
      <c r="T168" s="384">
        <v>1</v>
      </c>
      <c r="U168" s="381">
        <f t="shared" si="53"/>
        <v>38</v>
      </c>
      <c r="V168" s="385">
        <f t="shared" si="54"/>
        <v>114</v>
      </c>
      <c r="W168" s="252" t="s">
        <v>335</v>
      </c>
      <c r="X168" s="270">
        <v>115</v>
      </c>
      <c r="Y168" s="230">
        <v>115</v>
      </c>
      <c r="Z168" s="230"/>
      <c r="AA168" s="230"/>
      <c r="AB168" s="386"/>
    </row>
    <row r="169" spans="1:28" s="387" customFormat="1" ht="13.5" customHeight="1">
      <c r="A169" s="379" t="s">
        <v>156</v>
      </c>
      <c r="B169" s="379">
        <v>368059</v>
      </c>
      <c r="C169" s="379" t="s">
        <v>83</v>
      </c>
      <c r="D169" s="89" t="s">
        <v>286</v>
      </c>
      <c r="E169" s="380" t="s">
        <v>314</v>
      </c>
      <c r="F169" s="379">
        <v>1</v>
      </c>
      <c r="G169" s="381">
        <f t="shared" si="55"/>
        <v>74</v>
      </c>
      <c r="H169" s="382">
        <v>0</v>
      </c>
      <c r="I169" s="58">
        <f t="shared" si="49"/>
        <v>0</v>
      </c>
      <c r="J169" s="175">
        <f t="shared" si="50"/>
        <v>74</v>
      </c>
      <c r="K169" s="252" t="s">
        <v>335</v>
      </c>
      <c r="L169" s="263">
        <v>75</v>
      </c>
      <c r="M169" s="221">
        <v>75</v>
      </c>
      <c r="N169" s="221"/>
      <c r="O169" s="221"/>
      <c r="P169" s="383">
        <v>1</v>
      </c>
      <c r="Q169" s="89">
        <f t="shared" si="51"/>
        <v>38</v>
      </c>
      <c r="R169" s="383">
        <v>1</v>
      </c>
      <c r="S169" s="381">
        <f t="shared" si="52"/>
        <v>38</v>
      </c>
      <c r="T169" s="384">
        <v>1</v>
      </c>
      <c r="U169" s="381">
        <f t="shared" si="53"/>
        <v>38</v>
      </c>
      <c r="V169" s="385">
        <f t="shared" si="54"/>
        <v>114</v>
      </c>
      <c r="W169" s="252" t="s">
        <v>335</v>
      </c>
      <c r="X169" s="270">
        <v>115</v>
      </c>
      <c r="Y169" s="230">
        <v>115</v>
      </c>
      <c r="Z169" s="230"/>
      <c r="AA169" s="230"/>
      <c r="AB169" s="386"/>
    </row>
    <row r="170" spans="1:28" s="387" customFormat="1" ht="13.5" customHeight="1">
      <c r="A170" s="379" t="s">
        <v>156</v>
      </c>
      <c r="B170" s="379">
        <v>368060</v>
      </c>
      <c r="C170" s="379" t="s">
        <v>156</v>
      </c>
      <c r="D170" s="89" t="s">
        <v>286</v>
      </c>
      <c r="E170" s="380" t="s">
        <v>267</v>
      </c>
      <c r="F170" s="382">
        <v>0</v>
      </c>
      <c r="G170" s="58">
        <f t="shared" si="55"/>
        <v>0</v>
      </c>
      <c r="H170" s="382">
        <v>0</v>
      </c>
      <c r="I170" s="58">
        <f t="shared" si="49"/>
        <v>0</v>
      </c>
      <c r="J170" s="175">
        <f t="shared" si="50"/>
        <v>0</v>
      </c>
      <c r="K170" s="252" t="s">
        <v>335</v>
      </c>
      <c r="L170" s="263"/>
      <c r="M170" s="221"/>
      <c r="N170" s="221"/>
      <c r="O170" s="221"/>
      <c r="P170" s="383">
        <v>1</v>
      </c>
      <c r="Q170" s="89">
        <f t="shared" si="51"/>
        <v>38</v>
      </c>
      <c r="R170" s="383">
        <v>1</v>
      </c>
      <c r="S170" s="381">
        <f t="shared" si="52"/>
        <v>38</v>
      </c>
      <c r="T170" s="384">
        <v>1</v>
      </c>
      <c r="U170" s="381">
        <f t="shared" si="53"/>
        <v>38</v>
      </c>
      <c r="V170" s="385">
        <f t="shared" si="54"/>
        <v>114</v>
      </c>
      <c r="W170" s="252" t="s">
        <v>335</v>
      </c>
      <c r="X170" s="270">
        <v>115</v>
      </c>
      <c r="Y170" s="230">
        <v>115</v>
      </c>
      <c r="Z170" s="230"/>
      <c r="AA170" s="230"/>
      <c r="AB170" s="386"/>
    </row>
    <row r="171" spans="1:28" s="57" customFormat="1" ht="13.5" customHeight="1">
      <c r="A171" s="56" t="s">
        <v>79</v>
      </c>
      <c r="B171" s="56">
        <v>368069</v>
      </c>
      <c r="C171" s="56" t="s">
        <v>79</v>
      </c>
      <c r="D171" s="56" t="s">
        <v>286</v>
      </c>
      <c r="E171" s="136" t="s">
        <v>277</v>
      </c>
      <c r="F171" s="56">
        <v>50</v>
      </c>
      <c r="G171" s="58">
        <f t="shared" si="55"/>
        <v>3700</v>
      </c>
      <c r="H171" s="56">
        <v>50</v>
      </c>
      <c r="I171" s="58">
        <f t="shared" si="49"/>
        <v>3700</v>
      </c>
      <c r="J171" s="429">
        <f t="shared" si="50"/>
        <v>7400</v>
      </c>
      <c r="K171" s="431" t="s">
        <v>534</v>
      </c>
      <c r="L171" s="430" t="s">
        <v>559</v>
      </c>
      <c r="M171" s="221">
        <v>7500</v>
      </c>
      <c r="N171" s="221"/>
      <c r="O171" s="221"/>
      <c r="P171" s="59">
        <v>60</v>
      </c>
      <c r="Q171" s="56">
        <f t="shared" si="51"/>
        <v>2280</v>
      </c>
      <c r="R171" s="59">
        <v>56</v>
      </c>
      <c r="S171" s="58">
        <f t="shared" si="52"/>
        <v>2128</v>
      </c>
      <c r="T171" s="88">
        <v>56</v>
      </c>
      <c r="U171" s="58">
        <f t="shared" si="53"/>
        <v>2128</v>
      </c>
      <c r="V171" s="182">
        <f t="shared" si="54"/>
        <v>6536</v>
      </c>
      <c r="W171" s="252" t="s">
        <v>533</v>
      </c>
      <c r="X171" s="270" t="s">
        <v>559</v>
      </c>
      <c r="Y171" s="230">
        <v>6700</v>
      </c>
      <c r="Z171" s="230"/>
      <c r="AA171" s="230"/>
      <c r="AB171" s="203"/>
    </row>
    <row r="172" spans="1:28" s="57" customFormat="1" ht="13.5" customHeight="1">
      <c r="A172" s="56" t="s">
        <v>79</v>
      </c>
      <c r="B172" s="56">
        <v>368070</v>
      </c>
      <c r="C172" s="56" t="s">
        <v>79</v>
      </c>
      <c r="D172" s="56" t="s">
        <v>286</v>
      </c>
      <c r="E172" s="136" t="s">
        <v>134</v>
      </c>
      <c r="F172" s="56">
        <v>50</v>
      </c>
      <c r="G172" s="58">
        <f t="shared" si="55"/>
        <v>3700</v>
      </c>
      <c r="H172" s="56">
        <v>50</v>
      </c>
      <c r="I172" s="58">
        <f t="shared" si="49"/>
        <v>3700</v>
      </c>
      <c r="J172" s="429">
        <f t="shared" si="50"/>
        <v>7400</v>
      </c>
      <c r="K172" s="431" t="s">
        <v>534</v>
      </c>
      <c r="L172" s="430" t="s">
        <v>559</v>
      </c>
      <c r="M172" s="221">
        <v>7500</v>
      </c>
      <c r="N172" s="221"/>
      <c r="O172" s="221"/>
      <c r="P172" s="59">
        <v>60</v>
      </c>
      <c r="Q172" s="56">
        <f t="shared" si="51"/>
        <v>2280</v>
      </c>
      <c r="R172" s="59">
        <v>56</v>
      </c>
      <c r="S172" s="58">
        <f t="shared" si="52"/>
        <v>2128</v>
      </c>
      <c r="T172" s="88">
        <v>56</v>
      </c>
      <c r="U172" s="58">
        <f t="shared" si="53"/>
        <v>2128</v>
      </c>
      <c r="V172" s="182">
        <f t="shared" si="54"/>
        <v>6536</v>
      </c>
      <c r="W172" s="252" t="s">
        <v>533</v>
      </c>
      <c r="X172" s="270" t="s">
        <v>559</v>
      </c>
      <c r="Y172" s="230">
        <v>6700</v>
      </c>
      <c r="Z172" s="230"/>
      <c r="AA172" s="230"/>
      <c r="AB172" s="203"/>
    </row>
    <row r="173" spans="1:28" s="90" customFormat="1" ht="13.5" customHeight="1">
      <c r="A173" s="89" t="s">
        <v>83</v>
      </c>
      <c r="B173" s="89">
        <v>368074</v>
      </c>
      <c r="C173" s="89" t="s">
        <v>156</v>
      </c>
      <c r="D173" s="56" t="s">
        <v>286</v>
      </c>
      <c r="E173" s="137" t="s">
        <v>275</v>
      </c>
      <c r="F173" s="89">
        <v>4</v>
      </c>
      <c r="G173" s="58">
        <f t="shared" si="55"/>
        <v>296</v>
      </c>
      <c r="H173" s="89">
        <v>4</v>
      </c>
      <c r="I173" s="58">
        <f t="shared" si="49"/>
        <v>296</v>
      </c>
      <c r="J173" s="175">
        <f t="shared" si="50"/>
        <v>592</v>
      </c>
      <c r="K173" s="252" t="s">
        <v>335</v>
      </c>
      <c r="L173" s="263">
        <v>592</v>
      </c>
      <c r="M173" s="221">
        <f>J173</f>
        <v>592</v>
      </c>
      <c r="N173" s="221"/>
      <c r="O173" s="221"/>
      <c r="P173" s="88">
        <v>2</v>
      </c>
      <c r="Q173" s="56">
        <f t="shared" si="51"/>
        <v>76</v>
      </c>
      <c r="R173" s="88">
        <v>2</v>
      </c>
      <c r="S173" s="58">
        <f t="shared" si="52"/>
        <v>76</v>
      </c>
      <c r="T173" s="88">
        <v>2</v>
      </c>
      <c r="U173" s="58">
        <f t="shared" si="53"/>
        <v>76</v>
      </c>
      <c r="V173" s="182">
        <f t="shared" si="54"/>
        <v>228</v>
      </c>
      <c r="W173" s="252" t="s">
        <v>335</v>
      </c>
      <c r="X173" s="270">
        <v>230</v>
      </c>
      <c r="Y173" s="230">
        <v>230</v>
      </c>
      <c r="Z173" s="230"/>
      <c r="AA173" s="230"/>
      <c r="AB173" s="205"/>
    </row>
    <row r="174" spans="1:28" s="90" customFormat="1" ht="13.5" customHeight="1">
      <c r="A174" s="89" t="s">
        <v>83</v>
      </c>
      <c r="B174" s="89">
        <v>368075</v>
      </c>
      <c r="C174" s="89" t="s">
        <v>83</v>
      </c>
      <c r="D174" s="56" t="s">
        <v>286</v>
      </c>
      <c r="E174" s="137" t="s">
        <v>274</v>
      </c>
      <c r="F174" s="89">
        <v>0</v>
      </c>
      <c r="G174" s="58">
        <f t="shared" si="55"/>
        <v>0</v>
      </c>
      <c r="H174" s="91" t="s">
        <v>170</v>
      </c>
      <c r="I174" s="58">
        <f t="shared" si="49"/>
        <v>0</v>
      </c>
      <c r="J174" s="175">
        <f t="shared" si="50"/>
        <v>0</v>
      </c>
      <c r="K174" s="252" t="s">
        <v>335</v>
      </c>
      <c r="L174" s="263">
        <v>0</v>
      </c>
      <c r="M174" s="221">
        <v>0</v>
      </c>
      <c r="N174" s="221"/>
      <c r="O174" s="221"/>
      <c r="P174" s="89">
        <v>2</v>
      </c>
      <c r="Q174" s="56">
        <f t="shared" si="51"/>
        <v>76</v>
      </c>
      <c r="R174" s="88">
        <v>2</v>
      </c>
      <c r="S174" s="58">
        <f t="shared" si="52"/>
        <v>76</v>
      </c>
      <c r="T174" s="88">
        <v>2</v>
      </c>
      <c r="U174" s="58">
        <f t="shared" si="53"/>
        <v>76</v>
      </c>
      <c r="V174" s="182">
        <f t="shared" si="54"/>
        <v>228</v>
      </c>
      <c r="W174" s="252" t="s">
        <v>335</v>
      </c>
      <c r="X174" s="270">
        <v>230</v>
      </c>
      <c r="Y174" s="230">
        <v>230</v>
      </c>
      <c r="Z174" s="230"/>
      <c r="AA174" s="230"/>
      <c r="AB174" s="205"/>
    </row>
    <row r="175" spans="1:28" s="57" customFormat="1" ht="13.5" customHeight="1">
      <c r="A175" s="56" t="s">
        <v>79</v>
      </c>
      <c r="B175" s="56">
        <v>368076</v>
      </c>
      <c r="C175" s="56" t="s">
        <v>79</v>
      </c>
      <c r="D175" s="56" t="s">
        <v>286</v>
      </c>
      <c r="E175" s="136" t="s">
        <v>135</v>
      </c>
      <c r="F175" s="56">
        <v>24</v>
      </c>
      <c r="G175" s="58">
        <f t="shared" si="55"/>
        <v>1776</v>
      </c>
      <c r="H175" s="56">
        <v>24</v>
      </c>
      <c r="I175" s="58">
        <f t="shared" si="49"/>
        <v>1776</v>
      </c>
      <c r="J175" s="175">
        <f t="shared" si="50"/>
        <v>3552</v>
      </c>
      <c r="K175" s="252" t="s">
        <v>570</v>
      </c>
      <c r="L175" s="263" t="s">
        <v>559</v>
      </c>
      <c r="M175" s="221">
        <v>3600</v>
      </c>
      <c r="N175" s="221"/>
      <c r="O175" s="221"/>
      <c r="P175" s="59">
        <v>24</v>
      </c>
      <c r="Q175" s="56">
        <f t="shared" si="51"/>
        <v>912</v>
      </c>
      <c r="R175" s="59">
        <v>24</v>
      </c>
      <c r="S175" s="58">
        <f t="shared" si="52"/>
        <v>912</v>
      </c>
      <c r="T175" s="88">
        <v>24</v>
      </c>
      <c r="U175" s="58">
        <f t="shared" si="53"/>
        <v>912</v>
      </c>
      <c r="V175" s="182">
        <f t="shared" si="54"/>
        <v>2736</v>
      </c>
      <c r="W175" s="252" t="s">
        <v>535</v>
      </c>
      <c r="X175" s="270" t="s">
        <v>559</v>
      </c>
      <c r="Y175" s="230">
        <v>2800</v>
      </c>
      <c r="Z175" s="230"/>
      <c r="AA175" s="230"/>
      <c r="AB175" s="203"/>
    </row>
    <row r="176" spans="1:28" s="57" customFormat="1" ht="13.5" customHeight="1">
      <c r="A176" s="56" t="s">
        <v>79</v>
      </c>
      <c r="B176" s="56">
        <v>368077</v>
      </c>
      <c r="C176" s="56" t="s">
        <v>79</v>
      </c>
      <c r="D176" s="56" t="s">
        <v>286</v>
      </c>
      <c r="E176" s="136" t="s">
        <v>136</v>
      </c>
      <c r="F176" s="56">
        <v>8</v>
      </c>
      <c r="G176" s="58">
        <f t="shared" si="55"/>
        <v>592</v>
      </c>
      <c r="H176" s="56">
        <v>8</v>
      </c>
      <c r="I176" s="58">
        <f t="shared" si="49"/>
        <v>592</v>
      </c>
      <c r="J176" s="175">
        <f t="shared" si="50"/>
        <v>1184</v>
      </c>
      <c r="K176" s="252" t="s">
        <v>334</v>
      </c>
      <c r="L176" s="263" t="s">
        <v>337</v>
      </c>
      <c r="M176" s="221">
        <v>1200</v>
      </c>
      <c r="N176" s="221"/>
      <c r="O176" s="221"/>
      <c r="P176" s="59">
        <v>6</v>
      </c>
      <c r="Q176" s="56">
        <f t="shared" si="51"/>
        <v>228</v>
      </c>
      <c r="R176" s="59">
        <v>6</v>
      </c>
      <c r="S176" s="58">
        <f t="shared" si="52"/>
        <v>228</v>
      </c>
      <c r="T176" s="88">
        <v>6</v>
      </c>
      <c r="U176" s="58">
        <f t="shared" si="53"/>
        <v>228</v>
      </c>
      <c r="V176" s="182">
        <f t="shared" si="54"/>
        <v>684</v>
      </c>
      <c r="W176" s="252" t="s">
        <v>334</v>
      </c>
      <c r="X176" s="270" t="s">
        <v>368</v>
      </c>
      <c r="Y176" s="230">
        <v>700</v>
      </c>
      <c r="Z176" s="230"/>
      <c r="AA176" s="230"/>
      <c r="AB176" s="203"/>
    </row>
    <row r="177" spans="1:28" s="90" customFormat="1" ht="13.5" customHeight="1">
      <c r="A177" s="89" t="s">
        <v>79</v>
      </c>
      <c r="B177" s="89">
        <v>368078</v>
      </c>
      <c r="C177" s="89" t="s">
        <v>88</v>
      </c>
      <c r="D177" s="56" t="s">
        <v>286</v>
      </c>
      <c r="E177" s="137" t="s">
        <v>231</v>
      </c>
      <c r="F177" s="92">
        <v>0.18</v>
      </c>
      <c r="G177" s="58">
        <f t="shared" si="55"/>
        <v>13.32</v>
      </c>
      <c r="H177" s="92">
        <v>0.18</v>
      </c>
      <c r="I177" s="58">
        <f t="shared" si="49"/>
        <v>13.32</v>
      </c>
      <c r="J177" s="175">
        <f t="shared" si="50"/>
        <v>26.64</v>
      </c>
      <c r="K177" s="252" t="s">
        <v>335</v>
      </c>
      <c r="L177" s="263">
        <v>30</v>
      </c>
      <c r="M177" s="221">
        <v>30</v>
      </c>
      <c r="N177" s="221"/>
      <c r="O177" s="221"/>
      <c r="P177" s="92">
        <v>0.2</v>
      </c>
      <c r="Q177" s="56">
        <f>P177*Q$6</f>
        <v>7.6000000000000005</v>
      </c>
      <c r="R177" s="92">
        <v>0.2</v>
      </c>
      <c r="S177" s="58">
        <f t="shared" si="52"/>
        <v>7.6000000000000005</v>
      </c>
      <c r="T177" s="92">
        <v>0.2</v>
      </c>
      <c r="U177" s="58">
        <f t="shared" si="53"/>
        <v>7.6000000000000005</v>
      </c>
      <c r="V177" s="182">
        <f t="shared" si="54"/>
        <v>22.8</v>
      </c>
      <c r="W177" s="252" t="s">
        <v>335</v>
      </c>
      <c r="X177" s="270">
        <v>28</v>
      </c>
      <c r="Y177" s="230">
        <v>28</v>
      </c>
      <c r="Z177" s="230"/>
      <c r="AA177" s="230"/>
      <c r="AB177" s="205"/>
    </row>
    <row r="178" spans="1:28" s="57" customFormat="1" ht="13.5" customHeight="1">
      <c r="A178" s="56" t="s">
        <v>83</v>
      </c>
      <c r="B178" s="56">
        <v>368080</v>
      </c>
      <c r="C178" s="56" t="s">
        <v>88</v>
      </c>
      <c r="D178" s="56" t="s">
        <v>286</v>
      </c>
      <c r="E178" s="136" t="s">
        <v>137</v>
      </c>
      <c r="F178" s="56">
        <v>4</v>
      </c>
      <c r="G178" s="58">
        <f t="shared" si="55"/>
        <v>296</v>
      </c>
      <c r="H178" s="56">
        <v>4</v>
      </c>
      <c r="I178" s="58">
        <f t="shared" si="49"/>
        <v>296</v>
      </c>
      <c r="J178" s="175">
        <f t="shared" si="50"/>
        <v>592</v>
      </c>
      <c r="K178" s="252" t="s">
        <v>335</v>
      </c>
      <c r="L178" s="263">
        <v>600</v>
      </c>
      <c r="M178" s="221">
        <v>600</v>
      </c>
      <c r="N178" s="221"/>
      <c r="O178" s="221"/>
      <c r="P178" s="59">
        <v>2</v>
      </c>
      <c r="Q178" s="56">
        <f t="shared" si="51"/>
        <v>76</v>
      </c>
      <c r="R178" s="59">
        <v>2</v>
      </c>
      <c r="S178" s="58">
        <f t="shared" si="52"/>
        <v>76</v>
      </c>
      <c r="T178" s="88">
        <v>2</v>
      </c>
      <c r="U178" s="58">
        <f t="shared" si="53"/>
        <v>76</v>
      </c>
      <c r="V178" s="182">
        <f t="shared" si="54"/>
        <v>228</v>
      </c>
      <c r="W178" s="252" t="s">
        <v>335</v>
      </c>
      <c r="X178" s="270">
        <v>230</v>
      </c>
      <c r="Y178" s="230">
        <v>230</v>
      </c>
      <c r="Z178" s="230"/>
      <c r="AA178" s="230"/>
      <c r="AB178" s="203"/>
    </row>
    <row r="179" spans="1:28" s="57" customFormat="1" ht="13.5" customHeight="1">
      <c r="A179" s="56" t="s">
        <v>83</v>
      </c>
      <c r="B179" s="56">
        <v>368081</v>
      </c>
      <c r="C179" s="56" t="s">
        <v>88</v>
      </c>
      <c r="D179" s="56" t="s">
        <v>286</v>
      </c>
      <c r="E179" s="136" t="s">
        <v>138</v>
      </c>
      <c r="F179" s="56">
        <v>4</v>
      </c>
      <c r="G179" s="58">
        <f t="shared" si="55"/>
        <v>296</v>
      </c>
      <c r="H179" s="56">
        <v>4</v>
      </c>
      <c r="I179" s="58">
        <f t="shared" si="49"/>
        <v>296</v>
      </c>
      <c r="J179" s="175">
        <f t="shared" si="50"/>
        <v>592</v>
      </c>
      <c r="K179" s="252" t="s">
        <v>335</v>
      </c>
      <c r="L179" s="263">
        <v>600</v>
      </c>
      <c r="M179" s="221">
        <v>600</v>
      </c>
      <c r="N179" s="221"/>
      <c r="O179" s="221"/>
      <c r="P179" s="59">
        <v>2</v>
      </c>
      <c r="Q179" s="56">
        <f t="shared" si="51"/>
        <v>76</v>
      </c>
      <c r="R179" s="59">
        <v>2</v>
      </c>
      <c r="S179" s="58">
        <f t="shared" si="52"/>
        <v>76</v>
      </c>
      <c r="T179" s="88">
        <v>2</v>
      </c>
      <c r="U179" s="58">
        <f t="shared" si="53"/>
        <v>76</v>
      </c>
      <c r="V179" s="182">
        <f t="shared" si="54"/>
        <v>228</v>
      </c>
      <c r="W179" s="252" t="s">
        <v>335</v>
      </c>
      <c r="X179" s="270">
        <v>230</v>
      </c>
      <c r="Y179" s="230">
        <v>230</v>
      </c>
      <c r="Z179" s="230"/>
      <c r="AA179" s="230"/>
      <c r="AB179" s="203"/>
    </row>
    <row r="180" spans="1:28" s="57" customFormat="1" ht="13.5" customHeight="1">
      <c r="A180" s="56" t="s">
        <v>83</v>
      </c>
      <c r="B180" s="56">
        <v>368082</v>
      </c>
      <c r="C180" s="56" t="s">
        <v>88</v>
      </c>
      <c r="D180" s="56" t="s">
        <v>286</v>
      </c>
      <c r="E180" s="136" t="s">
        <v>139</v>
      </c>
      <c r="F180" s="56">
        <v>8</v>
      </c>
      <c r="G180" s="58">
        <f t="shared" si="55"/>
        <v>592</v>
      </c>
      <c r="H180" s="56">
        <v>8</v>
      </c>
      <c r="I180" s="58">
        <f t="shared" si="49"/>
        <v>592</v>
      </c>
      <c r="J180" s="175">
        <f t="shared" si="50"/>
        <v>1184</v>
      </c>
      <c r="K180" s="252" t="s">
        <v>335</v>
      </c>
      <c r="L180" s="263">
        <v>1200</v>
      </c>
      <c r="M180" s="221">
        <v>1200</v>
      </c>
      <c r="N180" s="221"/>
      <c r="O180" s="221"/>
      <c r="P180" s="59">
        <v>4</v>
      </c>
      <c r="Q180" s="56">
        <f t="shared" si="51"/>
        <v>152</v>
      </c>
      <c r="R180" s="59">
        <v>4</v>
      </c>
      <c r="S180" s="58">
        <f t="shared" si="52"/>
        <v>152</v>
      </c>
      <c r="T180" s="88">
        <v>4</v>
      </c>
      <c r="U180" s="58">
        <f t="shared" si="53"/>
        <v>152</v>
      </c>
      <c r="V180" s="182">
        <f t="shared" si="54"/>
        <v>456</v>
      </c>
      <c r="W180" s="252" t="s">
        <v>335</v>
      </c>
      <c r="X180" s="270">
        <v>460</v>
      </c>
      <c r="Y180" s="230">
        <v>460</v>
      </c>
      <c r="Z180" s="230"/>
      <c r="AA180" s="230"/>
      <c r="AB180" s="203"/>
    </row>
    <row r="181" spans="1:28" s="57" customFormat="1" ht="13.5" customHeight="1">
      <c r="A181" s="56" t="s">
        <v>83</v>
      </c>
      <c r="B181" s="56">
        <v>368083</v>
      </c>
      <c r="C181" s="56" t="s">
        <v>88</v>
      </c>
      <c r="D181" s="56" t="s">
        <v>286</v>
      </c>
      <c r="E181" s="136" t="s">
        <v>140</v>
      </c>
      <c r="F181" s="56">
        <v>0</v>
      </c>
      <c r="G181" s="58">
        <f t="shared" si="55"/>
        <v>0</v>
      </c>
      <c r="H181" s="87" t="s">
        <v>170</v>
      </c>
      <c r="I181" s="58">
        <f t="shared" si="49"/>
        <v>0</v>
      </c>
      <c r="J181" s="175">
        <f t="shared" si="50"/>
        <v>0</v>
      </c>
      <c r="K181" s="252" t="s">
        <v>335</v>
      </c>
      <c r="L181" s="263"/>
      <c r="M181" s="221"/>
      <c r="N181" s="221"/>
      <c r="O181" s="221"/>
      <c r="P181" s="56">
        <v>1</v>
      </c>
      <c r="Q181" s="56">
        <f t="shared" si="51"/>
        <v>38</v>
      </c>
      <c r="R181" s="59">
        <v>1</v>
      </c>
      <c r="S181" s="58">
        <f t="shared" si="52"/>
        <v>38</v>
      </c>
      <c r="T181" s="59">
        <v>1</v>
      </c>
      <c r="U181" s="58">
        <f t="shared" si="53"/>
        <v>38</v>
      </c>
      <c r="V181" s="182">
        <f t="shared" si="54"/>
        <v>114</v>
      </c>
      <c r="W181" s="252" t="s">
        <v>335</v>
      </c>
      <c r="X181" s="270">
        <v>115</v>
      </c>
      <c r="Y181" s="230">
        <v>115</v>
      </c>
      <c r="Z181" s="230"/>
      <c r="AA181" s="230"/>
      <c r="AB181" s="203"/>
    </row>
    <row r="182" spans="1:28" s="57" customFormat="1" ht="13.5" customHeight="1">
      <c r="A182" s="56" t="s">
        <v>83</v>
      </c>
      <c r="B182" s="56">
        <v>368084</v>
      </c>
      <c r="C182" s="56" t="s">
        <v>88</v>
      </c>
      <c r="D182" s="56" t="s">
        <v>286</v>
      </c>
      <c r="E182" s="136" t="s">
        <v>141</v>
      </c>
      <c r="F182" s="56">
        <v>0</v>
      </c>
      <c r="G182" s="58">
        <f t="shared" si="55"/>
        <v>0</v>
      </c>
      <c r="H182" s="87" t="s">
        <v>170</v>
      </c>
      <c r="I182" s="58">
        <f t="shared" si="49"/>
        <v>0</v>
      </c>
      <c r="J182" s="175">
        <f t="shared" si="50"/>
        <v>0</v>
      </c>
      <c r="K182" s="252" t="s">
        <v>335</v>
      </c>
      <c r="L182" s="263"/>
      <c r="M182" s="221"/>
      <c r="N182" s="221"/>
      <c r="O182" s="221"/>
      <c r="P182" s="56">
        <v>1</v>
      </c>
      <c r="Q182" s="56">
        <f t="shared" si="51"/>
        <v>38</v>
      </c>
      <c r="R182" s="59">
        <v>1</v>
      </c>
      <c r="S182" s="58">
        <f t="shared" si="52"/>
        <v>38</v>
      </c>
      <c r="T182" s="59">
        <v>1</v>
      </c>
      <c r="U182" s="58">
        <f t="shared" si="53"/>
        <v>38</v>
      </c>
      <c r="V182" s="182">
        <f t="shared" si="54"/>
        <v>114</v>
      </c>
      <c r="W182" s="252" t="s">
        <v>335</v>
      </c>
      <c r="X182" s="270">
        <v>115</v>
      </c>
      <c r="Y182" s="230">
        <v>115</v>
      </c>
      <c r="Z182" s="230"/>
      <c r="AA182" s="230"/>
      <c r="AB182" s="203"/>
    </row>
    <row r="183" spans="1:28" s="57" customFormat="1" ht="13.5" customHeight="1">
      <c r="A183" s="56" t="s">
        <v>83</v>
      </c>
      <c r="B183" s="56">
        <v>368085</v>
      </c>
      <c r="C183" s="56" t="s">
        <v>88</v>
      </c>
      <c r="D183" s="56" t="s">
        <v>286</v>
      </c>
      <c r="E183" s="136" t="s">
        <v>142</v>
      </c>
      <c r="F183" s="56">
        <v>0</v>
      </c>
      <c r="G183" s="58">
        <f t="shared" si="55"/>
        <v>0</v>
      </c>
      <c r="H183" s="87" t="s">
        <v>170</v>
      </c>
      <c r="I183" s="58">
        <f t="shared" si="49"/>
        <v>0</v>
      </c>
      <c r="J183" s="175">
        <f t="shared" si="50"/>
        <v>0</v>
      </c>
      <c r="K183" s="252" t="s">
        <v>335</v>
      </c>
      <c r="L183" s="263"/>
      <c r="M183" s="221"/>
      <c r="N183" s="221"/>
      <c r="O183" s="221"/>
      <c r="P183" s="56">
        <v>2</v>
      </c>
      <c r="Q183" s="56">
        <f t="shared" si="51"/>
        <v>76</v>
      </c>
      <c r="R183" s="59">
        <v>2</v>
      </c>
      <c r="S183" s="58">
        <f t="shared" si="52"/>
        <v>76</v>
      </c>
      <c r="T183" s="59">
        <v>2</v>
      </c>
      <c r="U183" s="58">
        <f t="shared" si="53"/>
        <v>76</v>
      </c>
      <c r="V183" s="182">
        <f t="shared" si="54"/>
        <v>228</v>
      </c>
      <c r="W183" s="252" t="s">
        <v>335</v>
      </c>
      <c r="X183" s="270">
        <v>230</v>
      </c>
      <c r="Y183" s="230">
        <v>230</v>
      </c>
      <c r="Z183" s="230"/>
      <c r="AA183" s="230"/>
      <c r="AB183" s="203"/>
    </row>
    <row r="184" spans="1:28" s="57" customFormat="1" ht="27" customHeight="1">
      <c r="A184" s="56" t="s">
        <v>79</v>
      </c>
      <c r="B184" s="453" t="s">
        <v>591</v>
      </c>
      <c r="C184" s="56" t="s">
        <v>79</v>
      </c>
      <c r="D184" s="56" t="s">
        <v>286</v>
      </c>
      <c r="E184" s="136" t="s">
        <v>198</v>
      </c>
      <c r="F184" s="56">
        <v>8</v>
      </c>
      <c r="G184" s="58">
        <f t="shared" si="55"/>
        <v>592</v>
      </c>
      <c r="H184" s="56">
        <v>8</v>
      </c>
      <c r="I184" s="58">
        <f t="shared" si="49"/>
        <v>592</v>
      </c>
      <c r="J184" s="175">
        <f t="shared" si="50"/>
        <v>1184</v>
      </c>
      <c r="K184" s="252" t="s">
        <v>340</v>
      </c>
      <c r="L184" s="263" t="s">
        <v>358</v>
      </c>
      <c r="M184" s="221">
        <v>1200</v>
      </c>
      <c r="N184" s="221"/>
      <c r="O184" s="221"/>
      <c r="P184" s="56">
        <v>6</v>
      </c>
      <c r="Q184" s="56">
        <f t="shared" si="51"/>
        <v>228</v>
      </c>
      <c r="R184" s="59">
        <v>6</v>
      </c>
      <c r="S184" s="58">
        <f t="shared" si="52"/>
        <v>228</v>
      </c>
      <c r="T184" s="59">
        <v>6</v>
      </c>
      <c r="U184" s="58">
        <f t="shared" si="53"/>
        <v>228</v>
      </c>
      <c r="V184" s="182">
        <f t="shared" si="54"/>
        <v>684</v>
      </c>
      <c r="W184" s="252" t="s">
        <v>340</v>
      </c>
      <c r="X184" s="270" t="s">
        <v>381</v>
      </c>
      <c r="Y184" s="230">
        <v>700</v>
      </c>
      <c r="Z184" s="230"/>
      <c r="AA184" s="230"/>
      <c r="AB184" s="203"/>
    </row>
    <row r="185" spans="1:28" s="95" customFormat="1" ht="13.5" customHeight="1">
      <c r="A185" s="93" t="s">
        <v>156</v>
      </c>
      <c r="B185" s="94">
        <v>368271</v>
      </c>
      <c r="C185" s="94" t="s">
        <v>79</v>
      </c>
      <c r="D185" s="56" t="s">
        <v>286</v>
      </c>
      <c r="E185" s="138" t="s">
        <v>158</v>
      </c>
      <c r="F185" s="93">
        <f>2.1/12</f>
        <v>0.17500000000000002</v>
      </c>
      <c r="G185" s="58">
        <f t="shared" si="55"/>
        <v>12.950000000000001</v>
      </c>
      <c r="H185" s="93">
        <f>4/12</f>
        <v>0.3333333333333333</v>
      </c>
      <c r="I185" s="58">
        <f t="shared" si="49"/>
        <v>24.666666666666664</v>
      </c>
      <c r="J185" s="175">
        <f t="shared" si="50"/>
        <v>37.61666666666667</v>
      </c>
      <c r="K185" s="252" t="s">
        <v>335</v>
      </c>
      <c r="L185" s="263">
        <v>40</v>
      </c>
      <c r="M185" s="221">
        <v>40</v>
      </c>
      <c r="N185" s="388" t="s">
        <v>159</v>
      </c>
      <c r="O185" s="221"/>
      <c r="Q185" s="389"/>
      <c r="R185" s="389"/>
      <c r="S185" s="390"/>
      <c r="T185" s="389"/>
      <c r="U185" s="390"/>
      <c r="V185" s="391"/>
      <c r="W185" s="252" t="s">
        <v>335</v>
      </c>
      <c r="X185" s="392"/>
      <c r="Y185" s="393" t="s">
        <v>302</v>
      </c>
      <c r="Z185" s="394"/>
      <c r="AA185" s="394"/>
      <c r="AB185" s="395"/>
    </row>
    <row r="186" spans="1:28" s="95" customFormat="1" ht="13.5" customHeight="1">
      <c r="A186" s="93" t="s">
        <v>83</v>
      </c>
      <c r="B186" s="94">
        <v>368286</v>
      </c>
      <c r="C186" s="94" t="s">
        <v>79</v>
      </c>
      <c r="D186" s="56" t="s">
        <v>286</v>
      </c>
      <c r="E186" s="138" t="s">
        <v>56</v>
      </c>
      <c r="F186" s="96">
        <v>0.5</v>
      </c>
      <c r="G186" s="58">
        <f t="shared" si="55"/>
        <v>37</v>
      </c>
      <c r="H186" s="96">
        <v>0.5</v>
      </c>
      <c r="I186" s="58">
        <f t="shared" si="49"/>
        <v>37</v>
      </c>
      <c r="J186" s="175">
        <f t="shared" si="50"/>
        <v>74</v>
      </c>
      <c r="K186" s="252" t="s">
        <v>335</v>
      </c>
      <c r="L186" s="263">
        <v>75</v>
      </c>
      <c r="M186" s="221">
        <v>75</v>
      </c>
      <c r="N186" s="221"/>
      <c r="O186" s="221"/>
      <c r="P186" s="185">
        <v>0</v>
      </c>
      <c r="Q186" s="56">
        <v>0</v>
      </c>
      <c r="R186" s="96">
        <v>0.6666</v>
      </c>
      <c r="S186" s="58">
        <f>R186*S$6</f>
        <v>25.3308</v>
      </c>
      <c r="T186" s="96">
        <v>0.6666666</v>
      </c>
      <c r="U186" s="58">
        <f t="shared" si="53"/>
        <v>25.3333308</v>
      </c>
      <c r="V186" s="182">
        <f aca="true" t="shared" si="56" ref="V186:V192">Q186+S186+U186</f>
        <v>50.664130799999995</v>
      </c>
      <c r="W186" s="252" t="s">
        <v>335</v>
      </c>
      <c r="X186" s="270">
        <v>52</v>
      </c>
      <c r="Y186" s="230">
        <v>52</v>
      </c>
      <c r="Z186" s="230"/>
      <c r="AA186" s="230"/>
      <c r="AB186" s="206"/>
    </row>
    <row r="187" spans="1:28" s="57" customFormat="1" ht="13.5" customHeight="1">
      <c r="A187" s="56" t="s">
        <v>79</v>
      </c>
      <c r="B187" s="56">
        <v>368303</v>
      </c>
      <c r="C187" s="56" t="s">
        <v>79</v>
      </c>
      <c r="D187" s="56" t="s">
        <v>286</v>
      </c>
      <c r="E187" s="136" t="s">
        <v>166</v>
      </c>
      <c r="F187" s="56">
        <v>0</v>
      </c>
      <c r="G187" s="58">
        <f t="shared" si="55"/>
        <v>0</v>
      </c>
      <c r="H187" s="56">
        <v>0</v>
      </c>
      <c r="I187" s="58">
        <f t="shared" si="49"/>
        <v>0</v>
      </c>
      <c r="J187" s="175">
        <f t="shared" si="50"/>
        <v>0</v>
      </c>
      <c r="K187" s="252" t="s">
        <v>335</v>
      </c>
      <c r="L187" s="263"/>
      <c r="M187" s="221"/>
      <c r="N187" s="221"/>
      <c r="O187" s="221"/>
      <c r="P187" s="56">
        <v>2</v>
      </c>
      <c r="Q187" s="56">
        <f t="shared" si="51"/>
        <v>76</v>
      </c>
      <c r="R187" s="56">
        <v>2</v>
      </c>
      <c r="S187" s="58">
        <f t="shared" si="52"/>
        <v>76</v>
      </c>
      <c r="T187" s="56">
        <v>2</v>
      </c>
      <c r="U187" s="58">
        <f t="shared" si="53"/>
        <v>76</v>
      </c>
      <c r="V187" s="182">
        <f t="shared" si="56"/>
        <v>228</v>
      </c>
      <c r="W187" s="252" t="s">
        <v>335</v>
      </c>
      <c r="X187" s="270">
        <v>230</v>
      </c>
      <c r="Y187" s="230">
        <v>230</v>
      </c>
      <c r="Z187" s="230"/>
      <c r="AA187" s="230"/>
      <c r="AB187" s="203"/>
    </row>
    <row r="188" spans="1:28" s="57" customFormat="1" ht="13.5" customHeight="1">
      <c r="A188" s="56" t="s">
        <v>79</v>
      </c>
      <c r="B188" s="56">
        <v>368306</v>
      </c>
      <c r="C188" s="56" t="s">
        <v>79</v>
      </c>
      <c r="D188" s="56" t="s">
        <v>286</v>
      </c>
      <c r="E188" s="136" t="s">
        <v>165</v>
      </c>
      <c r="F188" s="56">
        <v>0</v>
      </c>
      <c r="G188" s="58">
        <f t="shared" si="55"/>
        <v>0</v>
      </c>
      <c r="H188" s="87" t="s">
        <v>170</v>
      </c>
      <c r="I188" s="58">
        <f t="shared" si="49"/>
        <v>0</v>
      </c>
      <c r="J188" s="175">
        <f t="shared" si="50"/>
        <v>0</v>
      </c>
      <c r="K188" s="252" t="s">
        <v>335</v>
      </c>
      <c r="L188" s="263"/>
      <c r="M188" s="221"/>
      <c r="N188" s="221"/>
      <c r="O188" s="221"/>
      <c r="P188" s="56">
        <v>2</v>
      </c>
      <c r="Q188" s="56">
        <f t="shared" si="51"/>
        <v>76</v>
      </c>
      <c r="R188" s="59">
        <v>2</v>
      </c>
      <c r="S188" s="58">
        <f t="shared" si="52"/>
        <v>76</v>
      </c>
      <c r="T188" s="59">
        <v>2</v>
      </c>
      <c r="U188" s="58">
        <f t="shared" si="53"/>
        <v>76</v>
      </c>
      <c r="V188" s="182">
        <f t="shared" si="56"/>
        <v>228</v>
      </c>
      <c r="W188" s="252" t="s">
        <v>335</v>
      </c>
      <c r="X188" s="270">
        <v>230</v>
      </c>
      <c r="Y188" s="230">
        <v>230</v>
      </c>
      <c r="Z188" s="230"/>
      <c r="AA188" s="230"/>
      <c r="AB188" s="203"/>
    </row>
    <row r="189" spans="1:28" s="57" customFormat="1" ht="13.5" customHeight="1">
      <c r="A189" s="56" t="s">
        <v>79</v>
      </c>
      <c r="B189" s="56">
        <v>368309</v>
      </c>
      <c r="C189" s="56" t="s">
        <v>79</v>
      </c>
      <c r="D189" s="56" t="s">
        <v>286</v>
      </c>
      <c r="E189" s="136" t="s">
        <v>164</v>
      </c>
      <c r="F189" s="56">
        <v>0</v>
      </c>
      <c r="G189" s="58">
        <f t="shared" si="55"/>
        <v>0</v>
      </c>
      <c r="H189" s="56">
        <v>0</v>
      </c>
      <c r="I189" s="58">
        <f t="shared" si="49"/>
        <v>0</v>
      </c>
      <c r="J189" s="175">
        <f t="shared" si="50"/>
        <v>0</v>
      </c>
      <c r="K189" s="252" t="s">
        <v>335</v>
      </c>
      <c r="L189" s="263"/>
      <c r="M189" s="221"/>
      <c r="N189" s="221"/>
      <c r="O189" s="221"/>
      <c r="P189" s="56">
        <v>6</v>
      </c>
      <c r="Q189" s="56">
        <f t="shared" si="51"/>
        <v>228</v>
      </c>
      <c r="R189" s="56">
        <v>6</v>
      </c>
      <c r="S189" s="58">
        <f t="shared" si="52"/>
        <v>228</v>
      </c>
      <c r="T189" s="56">
        <v>6</v>
      </c>
      <c r="U189" s="58">
        <f t="shared" si="53"/>
        <v>228</v>
      </c>
      <c r="V189" s="182">
        <f t="shared" si="56"/>
        <v>684</v>
      </c>
      <c r="W189" s="252" t="s">
        <v>335</v>
      </c>
      <c r="X189" s="270">
        <v>700</v>
      </c>
      <c r="Y189" s="230">
        <v>700</v>
      </c>
      <c r="Z189" s="230"/>
      <c r="AA189" s="230"/>
      <c r="AB189" s="203"/>
    </row>
    <row r="190" spans="1:28" s="95" customFormat="1" ht="13.5" customHeight="1">
      <c r="A190" s="93" t="s">
        <v>83</v>
      </c>
      <c r="B190" s="93">
        <v>368341</v>
      </c>
      <c r="C190" s="93" t="s">
        <v>79</v>
      </c>
      <c r="D190" s="56" t="s">
        <v>286</v>
      </c>
      <c r="E190" s="138" t="s">
        <v>55</v>
      </c>
      <c r="F190" s="93">
        <v>5</v>
      </c>
      <c r="G190" s="58">
        <f t="shared" si="55"/>
        <v>370</v>
      </c>
      <c r="H190" s="93">
        <v>5</v>
      </c>
      <c r="I190" s="58">
        <f t="shared" si="49"/>
        <v>370</v>
      </c>
      <c r="J190" s="175">
        <f t="shared" si="50"/>
        <v>740</v>
      </c>
      <c r="K190" s="252" t="s">
        <v>335</v>
      </c>
      <c r="L190" s="263">
        <v>740</v>
      </c>
      <c r="M190" s="221">
        <f>J190</f>
        <v>740</v>
      </c>
      <c r="N190" s="221"/>
      <c r="O190" s="221"/>
      <c r="P190" s="93">
        <v>0</v>
      </c>
      <c r="Q190" s="56">
        <f t="shared" si="51"/>
        <v>0</v>
      </c>
      <c r="R190" s="93">
        <v>4</v>
      </c>
      <c r="S190" s="58">
        <f t="shared" si="52"/>
        <v>152</v>
      </c>
      <c r="T190" s="93">
        <v>4</v>
      </c>
      <c r="U190" s="58">
        <f t="shared" si="53"/>
        <v>152</v>
      </c>
      <c r="V190" s="182">
        <f t="shared" si="56"/>
        <v>304</v>
      </c>
      <c r="W190" s="252" t="s">
        <v>335</v>
      </c>
      <c r="X190" s="270">
        <v>305</v>
      </c>
      <c r="Y190" s="230">
        <v>305</v>
      </c>
      <c r="Z190" s="230"/>
      <c r="AA190" s="230"/>
      <c r="AB190" s="206"/>
    </row>
    <row r="191" spans="1:28" s="95" customFormat="1" ht="13.5" customHeight="1">
      <c r="A191" s="93" t="s">
        <v>83</v>
      </c>
      <c r="B191" s="93">
        <v>368423</v>
      </c>
      <c r="C191" s="93" t="s">
        <v>79</v>
      </c>
      <c r="D191" s="56" t="s">
        <v>286</v>
      </c>
      <c r="E191" s="95" t="s">
        <v>57</v>
      </c>
      <c r="F191" s="523" t="s">
        <v>58</v>
      </c>
      <c r="G191" s="524"/>
      <c r="H191" s="525"/>
      <c r="I191" s="524"/>
      <c r="J191" s="175"/>
      <c r="K191" s="252" t="s">
        <v>335</v>
      </c>
      <c r="L191" s="263"/>
      <c r="M191" s="221"/>
      <c r="N191" s="221"/>
      <c r="O191" s="221"/>
      <c r="P191" s="93">
        <v>0</v>
      </c>
      <c r="Q191" s="56">
        <f t="shared" si="51"/>
        <v>0</v>
      </c>
      <c r="R191" s="93">
        <v>2</v>
      </c>
      <c r="S191" s="58">
        <f t="shared" si="52"/>
        <v>76</v>
      </c>
      <c r="T191" s="93">
        <v>2</v>
      </c>
      <c r="U191" s="58">
        <f t="shared" si="53"/>
        <v>76</v>
      </c>
      <c r="V191" s="182">
        <f t="shared" si="56"/>
        <v>152</v>
      </c>
      <c r="W191" s="252" t="s">
        <v>335</v>
      </c>
      <c r="X191" s="270">
        <v>155</v>
      </c>
      <c r="Y191" s="230">
        <v>155</v>
      </c>
      <c r="Z191" s="230"/>
      <c r="AA191" s="230"/>
      <c r="AB191" s="206"/>
    </row>
    <row r="192" spans="1:28" s="97" customFormat="1" ht="13.5" customHeight="1">
      <c r="A192" s="89" t="s">
        <v>79</v>
      </c>
      <c r="B192" s="89">
        <v>368673</v>
      </c>
      <c r="C192" s="89" t="s">
        <v>88</v>
      </c>
      <c r="D192" s="56" t="s">
        <v>286</v>
      </c>
      <c r="E192" s="137" t="s">
        <v>54</v>
      </c>
      <c r="F192" s="92">
        <v>0.18</v>
      </c>
      <c r="G192" s="58">
        <f t="shared" si="55"/>
        <v>13.32</v>
      </c>
      <c r="H192" s="92">
        <v>0.18</v>
      </c>
      <c r="I192" s="58">
        <f t="shared" si="49"/>
        <v>13.32</v>
      </c>
      <c r="J192" s="175">
        <f t="shared" si="50"/>
        <v>26.64</v>
      </c>
      <c r="K192" s="252" t="s">
        <v>335</v>
      </c>
      <c r="L192" s="263">
        <v>30</v>
      </c>
      <c r="M192" s="221">
        <v>30</v>
      </c>
      <c r="N192" s="221"/>
      <c r="O192" s="221"/>
      <c r="P192" s="92">
        <v>0.2</v>
      </c>
      <c r="Q192" s="56">
        <f>P192*Q$6</f>
        <v>7.6000000000000005</v>
      </c>
      <c r="R192" s="211">
        <v>0.2</v>
      </c>
      <c r="S192" s="58">
        <f t="shared" si="52"/>
        <v>7.6000000000000005</v>
      </c>
      <c r="T192" s="92">
        <v>0.2</v>
      </c>
      <c r="U192" s="58">
        <f t="shared" si="53"/>
        <v>7.6000000000000005</v>
      </c>
      <c r="V192" s="182">
        <f t="shared" si="56"/>
        <v>22.8</v>
      </c>
      <c r="W192" s="252" t="s">
        <v>335</v>
      </c>
      <c r="X192" s="270">
        <v>28</v>
      </c>
      <c r="Y192" s="230">
        <v>28</v>
      </c>
      <c r="Z192" s="230"/>
      <c r="AA192" s="230"/>
      <c r="AB192" s="207"/>
    </row>
    <row r="193" spans="1:28" s="97" customFormat="1" ht="13.5" customHeight="1">
      <c r="A193" s="89" t="s">
        <v>79</v>
      </c>
      <c r="B193" s="89">
        <v>368676</v>
      </c>
      <c r="C193" s="89" t="s">
        <v>88</v>
      </c>
      <c r="D193" s="56" t="s">
        <v>286</v>
      </c>
      <c r="E193" s="137" t="s">
        <v>597</v>
      </c>
      <c r="F193" s="92"/>
      <c r="G193" s="58">
        <v>2</v>
      </c>
      <c r="H193" s="92"/>
      <c r="I193" s="58">
        <v>2</v>
      </c>
      <c r="J193" s="175">
        <v>4</v>
      </c>
      <c r="K193" s="252" t="s">
        <v>118</v>
      </c>
      <c r="L193" s="263">
        <v>4</v>
      </c>
      <c r="M193" s="221">
        <v>4</v>
      </c>
      <c r="N193" s="221"/>
      <c r="O193" s="221"/>
      <c r="P193" s="92"/>
      <c r="Q193" s="56">
        <v>1</v>
      </c>
      <c r="R193" s="211"/>
      <c r="S193" s="58">
        <v>1</v>
      </c>
      <c r="T193" s="92"/>
      <c r="U193" s="58">
        <v>1</v>
      </c>
      <c r="V193" s="182">
        <v>3</v>
      </c>
      <c r="W193" s="252" t="s">
        <v>118</v>
      </c>
      <c r="X193" s="270">
        <v>3</v>
      </c>
      <c r="Y193" s="230">
        <v>3</v>
      </c>
      <c r="Z193" s="230"/>
      <c r="AA193" s="230"/>
      <c r="AB193" s="207"/>
    </row>
    <row r="194" spans="13:27" ht="20.25" customHeight="1">
      <c r="M194" s="222"/>
      <c r="N194" s="222"/>
      <c r="O194" s="222"/>
      <c r="X194" s="283"/>
      <c r="Y194" s="284"/>
      <c r="Z194" s="233"/>
      <c r="AA194" s="233"/>
    </row>
    <row r="195" spans="1:28" s="192" customFormat="1" ht="13.5" customHeight="1">
      <c r="A195" s="190" t="s">
        <v>157</v>
      </c>
      <c r="B195" s="190">
        <v>368172</v>
      </c>
      <c r="C195" s="190" t="s">
        <v>79</v>
      </c>
      <c r="D195" s="190" t="s">
        <v>287</v>
      </c>
      <c r="E195" s="191" t="s">
        <v>270</v>
      </c>
      <c r="G195" s="191"/>
      <c r="I195" s="191"/>
      <c r="J195" s="193"/>
      <c r="K195" s="255"/>
      <c r="L195" s="265"/>
      <c r="M195" s="223"/>
      <c r="N195" s="223"/>
      <c r="O195" s="223"/>
      <c r="P195" s="190">
        <v>1</v>
      </c>
      <c r="Q195" s="190">
        <v>40</v>
      </c>
      <c r="R195" s="516" t="s">
        <v>218</v>
      </c>
      <c r="S195" s="517"/>
      <c r="T195" s="516" t="s">
        <v>218</v>
      </c>
      <c r="U195" s="517"/>
      <c r="V195" s="194">
        <f aca="true" t="shared" si="57" ref="V195:V203">Q195+S195+U195</f>
        <v>40</v>
      </c>
      <c r="W195" s="312" t="s">
        <v>335</v>
      </c>
      <c r="X195" s="285">
        <v>40</v>
      </c>
      <c r="Y195" s="286">
        <f>V195</f>
        <v>40</v>
      </c>
      <c r="Z195" s="511" t="s">
        <v>299</v>
      </c>
      <c r="AA195" s="511"/>
      <c r="AB195" s="210" t="s">
        <v>298</v>
      </c>
    </row>
    <row r="196" spans="1:28" s="192" customFormat="1" ht="13.5" customHeight="1">
      <c r="A196" s="190" t="s">
        <v>157</v>
      </c>
      <c r="B196" s="190">
        <v>368173</v>
      </c>
      <c r="C196" s="190" t="s">
        <v>79</v>
      </c>
      <c r="D196" s="190" t="s">
        <v>287</v>
      </c>
      <c r="E196" s="191" t="s">
        <v>269</v>
      </c>
      <c r="G196" s="191"/>
      <c r="I196" s="191"/>
      <c r="J196" s="193"/>
      <c r="K196" s="255"/>
      <c r="L196" s="265"/>
      <c r="M196" s="223"/>
      <c r="N196" s="223"/>
      <c r="O196" s="223"/>
      <c r="P196" s="190">
        <v>1</v>
      </c>
      <c r="Q196" s="190">
        <v>40</v>
      </c>
      <c r="R196" s="516" t="s">
        <v>218</v>
      </c>
      <c r="S196" s="517"/>
      <c r="T196" s="516" t="s">
        <v>218</v>
      </c>
      <c r="U196" s="517"/>
      <c r="V196" s="194">
        <f t="shared" si="57"/>
        <v>40</v>
      </c>
      <c r="W196" s="312" t="s">
        <v>335</v>
      </c>
      <c r="X196" s="285">
        <v>40</v>
      </c>
      <c r="Y196" s="286">
        <f aca="true" t="shared" si="58" ref="Y196:Y202">V196</f>
        <v>40</v>
      </c>
      <c r="Z196" s="511" t="s">
        <v>299</v>
      </c>
      <c r="AA196" s="511"/>
      <c r="AB196" s="210" t="s">
        <v>298</v>
      </c>
    </row>
    <row r="197" spans="1:28" s="192" customFormat="1" ht="13.5" customHeight="1">
      <c r="A197" s="190" t="s">
        <v>196</v>
      </c>
      <c r="B197" s="190">
        <v>368174</v>
      </c>
      <c r="C197" s="190" t="s">
        <v>83</v>
      </c>
      <c r="D197" s="190" t="s">
        <v>287</v>
      </c>
      <c r="E197" s="191" t="s">
        <v>619</v>
      </c>
      <c r="G197" s="191"/>
      <c r="I197" s="191"/>
      <c r="J197" s="193"/>
      <c r="K197" s="255"/>
      <c r="L197" s="265"/>
      <c r="M197" s="223"/>
      <c r="N197" s="223"/>
      <c r="O197" s="223"/>
      <c r="P197" s="190">
        <v>1</v>
      </c>
      <c r="Q197" s="190">
        <v>40</v>
      </c>
      <c r="R197" s="516" t="s">
        <v>218</v>
      </c>
      <c r="S197" s="517"/>
      <c r="T197" s="516" t="s">
        <v>218</v>
      </c>
      <c r="U197" s="517"/>
      <c r="V197" s="194">
        <f t="shared" si="57"/>
        <v>40</v>
      </c>
      <c r="W197" s="312" t="s">
        <v>335</v>
      </c>
      <c r="X197" s="285">
        <v>40</v>
      </c>
      <c r="Y197" s="286">
        <f t="shared" si="58"/>
        <v>40</v>
      </c>
      <c r="Z197" s="511" t="s">
        <v>300</v>
      </c>
      <c r="AA197" s="511"/>
      <c r="AB197" s="210" t="s">
        <v>298</v>
      </c>
    </row>
    <row r="198" spans="1:28" s="106" customFormat="1" ht="11.25" customHeight="1">
      <c r="A198" s="105" t="s">
        <v>157</v>
      </c>
      <c r="B198" s="105">
        <v>368175</v>
      </c>
      <c r="C198" s="190" t="s">
        <v>83</v>
      </c>
      <c r="D198" s="190" t="s">
        <v>287</v>
      </c>
      <c r="E198" s="139" t="s">
        <v>271</v>
      </c>
      <c r="G198" s="139"/>
      <c r="I198" s="139"/>
      <c r="J198" s="186"/>
      <c r="K198" s="256"/>
      <c r="L198" s="266"/>
      <c r="M198" s="224"/>
      <c r="N198" s="224"/>
      <c r="O198" s="224"/>
      <c r="P198" s="105">
        <v>1</v>
      </c>
      <c r="Q198" s="190">
        <v>40</v>
      </c>
      <c r="R198" s="516" t="s">
        <v>218</v>
      </c>
      <c r="S198" s="517"/>
      <c r="T198" s="516" t="s">
        <v>218</v>
      </c>
      <c r="U198" s="517"/>
      <c r="V198" s="194">
        <f t="shared" si="57"/>
        <v>40</v>
      </c>
      <c r="W198" s="312" t="s">
        <v>335</v>
      </c>
      <c r="X198" s="285">
        <v>40</v>
      </c>
      <c r="Y198" s="286">
        <f t="shared" si="58"/>
        <v>40</v>
      </c>
      <c r="Z198" s="511" t="s">
        <v>300</v>
      </c>
      <c r="AA198" s="511"/>
      <c r="AB198" s="210" t="s">
        <v>298</v>
      </c>
    </row>
    <row r="199" spans="1:28" s="192" customFormat="1" ht="13.5" customHeight="1">
      <c r="A199" s="190" t="s">
        <v>196</v>
      </c>
      <c r="B199" s="190">
        <v>368176</v>
      </c>
      <c r="C199" s="190" t="s">
        <v>83</v>
      </c>
      <c r="D199" s="190" t="s">
        <v>287</v>
      </c>
      <c r="E199" s="191" t="s">
        <v>622</v>
      </c>
      <c r="G199" s="191"/>
      <c r="I199" s="191"/>
      <c r="J199" s="193"/>
      <c r="K199" s="255"/>
      <c r="L199" s="265"/>
      <c r="M199" s="223"/>
      <c r="N199" s="223"/>
      <c r="O199" s="223"/>
      <c r="P199" s="190">
        <v>1</v>
      </c>
      <c r="Q199" s="190">
        <v>40</v>
      </c>
      <c r="R199" s="516" t="s">
        <v>218</v>
      </c>
      <c r="S199" s="517"/>
      <c r="T199" s="516" t="s">
        <v>218</v>
      </c>
      <c r="U199" s="517"/>
      <c r="V199" s="194">
        <f t="shared" si="57"/>
        <v>40</v>
      </c>
      <c r="W199" s="312" t="s">
        <v>335</v>
      </c>
      <c r="X199" s="285">
        <v>40</v>
      </c>
      <c r="Y199" s="286">
        <f t="shared" si="58"/>
        <v>40</v>
      </c>
      <c r="Z199" s="511" t="s">
        <v>300</v>
      </c>
      <c r="AA199" s="511"/>
      <c r="AB199" s="210" t="s">
        <v>298</v>
      </c>
    </row>
    <row r="200" spans="1:28" s="192" customFormat="1" ht="13.5" customHeight="1">
      <c r="A200" s="190" t="s">
        <v>157</v>
      </c>
      <c r="B200" s="190">
        <v>368177</v>
      </c>
      <c r="C200" s="190" t="s">
        <v>83</v>
      </c>
      <c r="D200" s="190" t="s">
        <v>287</v>
      </c>
      <c r="E200" s="191" t="s">
        <v>268</v>
      </c>
      <c r="G200" s="191"/>
      <c r="I200" s="191"/>
      <c r="J200" s="193"/>
      <c r="K200" s="255"/>
      <c r="L200" s="265"/>
      <c r="M200" s="223"/>
      <c r="N200" s="223"/>
      <c r="O200" s="223"/>
      <c r="P200" s="190">
        <v>1</v>
      </c>
      <c r="Q200" s="190">
        <v>40</v>
      </c>
      <c r="R200" s="516" t="s">
        <v>218</v>
      </c>
      <c r="S200" s="517"/>
      <c r="T200" s="516" t="s">
        <v>218</v>
      </c>
      <c r="U200" s="517"/>
      <c r="V200" s="194">
        <f t="shared" si="57"/>
        <v>40</v>
      </c>
      <c r="W200" s="312" t="s">
        <v>335</v>
      </c>
      <c r="X200" s="285">
        <v>40</v>
      </c>
      <c r="Y200" s="286">
        <f t="shared" si="58"/>
        <v>40</v>
      </c>
      <c r="Z200" s="511" t="s">
        <v>300</v>
      </c>
      <c r="AA200" s="511"/>
      <c r="AB200" s="210" t="s">
        <v>298</v>
      </c>
    </row>
    <row r="201" spans="1:28" s="192" customFormat="1" ht="13.5" customHeight="1">
      <c r="A201" s="190" t="s">
        <v>196</v>
      </c>
      <c r="B201" s="190">
        <v>368178</v>
      </c>
      <c r="C201" s="190" t="s">
        <v>79</v>
      </c>
      <c r="D201" s="190" t="s">
        <v>287</v>
      </c>
      <c r="E201" s="191" t="s">
        <v>272</v>
      </c>
      <c r="G201" s="191"/>
      <c r="I201" s="191"/>
      <c r="J201" s="193"/>
      <c r="K201" s="255"/>
      <c r="L201" s="265"/>
      <c r="M201" s="223"/>
      <c r="N201" s="223"/>
      <c r="O201" s="223"/>
      <c r="P201" s="190">
        <v>1</v>
      </c>
      <c r="Q201" s="190">
        <v>40</v>
      </c>
      <c r="R201" s="516" t="s">
        <v>218</v>
      </c>
      <c r="S201" s="517"/>
      <c r="T201" s="516" t="s">
        <v>218</v>
      </c>
      <c r="U201" s="517"/>
      <c r="V201" s="194">
        <f t="shared" si="57"/>
        <v>40</v>
      </c>
      <c r="W201" s="312" t="s">
        <v>335</v>
      </c>
      <c r="X201" s="285">
        <v>40</v>
      </c>
      <c r="Y201" s="286">
        <f t="shared" si="58"/>
        <v>40</v>
      </c>
      <c r="Z201" s="511" t="s">
        <v>301</v>
      </c>
      <c r="AA201" s="511"/>
      <c r="AB201" s="210" t="s">
        <v>298</v>
      </c>
    </row>
    <row r="202" spans="1:28" s="192" customFormat="1" ht="15.75" customHeight="1">
      <c r="A202" s="190" t="s">
        <v>157</v>
      </c>
      <c r="B202" s="190">
        <v>368179</v>
      </c>
      <c r="C202" s="190" t="s">
        <v>79</v>
      </c>
      <c r="D202" s="190" t="s">
        <v>287</v>
      </c>
      <c r="E202" s="191" t="s">
        <v>273</v>
      </c>
      <c r="G202" s="191"/>
      <c r="I202" s="191"/>
      <c r="J202" s="193"/>
      <c r="K202" s="255"/>
      <c r="L202" s="265"/>
      <c r="M202" s="223"/>
      <c r="N202" s="223"/>
      <c r="O202" s="223"/>
      <c r="P202" s="190">
        <v>1</v>
      </c>
      <c r="Q202" s="190">
        <v>40</v>
      </c>
      <c r="R202" s="516" t="s">
        <v>218</v>
      </c>
      <c r="S202" s="517"/>
      <c r="T202" s="516" t="s">
        <v>218</v>
      </c>
      <c r="U202" s="517"/>
      <c r="V202" s="194">
        <f t="shared" si="57"/>
        <v>40</v>
      </c>
      <c r="W202" s="312" t="s">
        <v>335</v>
      </c>
      <c r="X202" s="285">
        <v>40</v>
      </c>
      <c r="Y202" s="286">
        <f t="shared" si="58"/>
        <v>40</v>
      </c>
      <c r="Z202" s="511" t="s">
        <v>301</v>
      </c>
      <c r="AA202" s="511"/>
      <c r="AB202" s="210" t="s">
        <v>298</v>
      </c>
    </row>
    <row r="203" spans="1:28" s="106" customFormat="1" ht="13.5" customHeight="1" thickBot="1">
      <c r="A203" s="105" t="s">
        <v>83</v>
      </c>
      <c r="B203" s="105">
        <v>368191</v>
      </c>
      <c r="C203" s="190" t="s">
        <v>79</v>
      </c>
      <c r="D203" s="190" t="s">
        <v>287</v>
      </c>
      <c r="E203" s="139" t="s">
        <v>315</v>
      </c>
      <c r="G203" s="139"/>
      <c r="I203" s="139"/>
      <c r="J203" s="186"/>
      <c r="K203" s="256"/>
      <c r="L203" s="266"/>
      <c r="M203" s="224"/>
      <c r="N203" s="224"/>
      <c r="O203" s="224"/>
      <c r="P203" s="107" t="s">
        <v>85</v>
      </c>
      <c r="Q203" s="190">
        <v>160</v>
      </c>
      <c r="R203" s="516" t="s">
        <v>218</v>
      </c>
      <c r="S203" s="517"/>
      <c r="T203" s="516" t="s">
        <v>218</v>
      </c>
      <c r="U203" s="517"/>
      <c r="V203" s="194">
        <f t="shared" si="57"/>
        <v>160</v>
      </c>
      <c r="W203" s="312" t="s">
        <v>335</v>
      </c>
      <c r="X203" s="285" t="s">
        <v>219</v>
      </c>
      <c r="Y203" s="286" t="s">
        <v>219</v>
      </c>
      <c r="Z203" s="515" t="s">
        <v>220</v>
      </c>
      <c r="AA203" s="515"/>
      <c r="AB203" s="210" t="s">
        <v>298</v>
      </c>
    </row>
    <row r="204" spans="1:29" ht="13.5" customHeight="1" thickTop="1">
      <c r="A204" s="190" t="s">
        <v>196</v>
      </c>
      <c r="B204" s="190">
        <v>368639</v>
      </c>
      <c r="C204" s="190" t="s">
        <v>88</v>
      </c>
      <c r="D204" s="190" t="s">
        <v>287</v>
      </c>
      <c r="E204" s="191" t="s">
        <v>620</v>
      </c>
      <c r="X204" s="283"/>
      <c r="Y204" s="503">
        <v>40</v>
      </c>
      <c r="Z204" s="508"/>
      <c r="AA204" s="508"/>
      <c r="AB204" s="504" t="s">
        <v>617</v>
      </c>
      <c r="AC204" s="505"/>
    </row>
    <row r="205" spans="1:29" ht="13.5" customHeight="1" thickBot="1">
      <c r="A205" s="190" t="s">
        <v>196</v>
      </c>
      <c r="B205" s="190">
        <v>368638</v>
      </c>
      <c r="C205" s="190" t="s">
        <v>88</v>
      </c>
      <c r="D205" s="190" t="s">
        <v>287</v>
      </c>
      <c r="E205" s="191" t="s">
        <v>621</v>
      </c>
      <c r="X205" s="283"/>
      <c r="Y205" s="503">
        <v>40</v>
      </c>
      <c r="Z205" s="509"/>
      <c r="AA205" s="509"/>
      <c r="AB205" s="504" t="s">
        <v>618</v>
      </c>
      <c r="AC205" s="506"/>
    </row>
    <row r="206" spans="24:29" ht="13.5" customHeight="1" thickTop="1">
      <c r="X206" s="283"/>
      <c r="Y206" s="284"/>
      <c r="Z206" s="507"/>
      <c r="AA206" s="507"/>
      <c r="AB206" s="504"/>
      <c r="AC206" s="505"/>
    </row>
    <row r="207" spans="1:28" s="297" customFormat="1" ht="13.5" customHeight="1">
      <c r="A207" s="293" t="s">
        <v>157</v>
      </c>
      <c r="B207" s="293">
        <v>368103</v>
      </c>
      <c r="C207" s="293" t="s">
        <v>156</v>
      </c>
      <c r="D207" s="293" t="s">
        <v>290</v>
      </c>
      <c r="E207" s="296" t="s">
        <v>49</v>
      </c>
      <c r="F207" s="318" t="s">
        <v>126</v>
      </c>
      <c r="G207" s="288">
        <f>F207*G$6</f>
        <v>74</v>
      </c>
      <c r="H207" s="318" t="s">
        <v>126</v>
      </c>
      <c r="I207" s="288">
        <f>H207*I$6</f>
        <v>74</v>
      </c>
      <c r="J207" s="289">
        <f>G207+I207</f>
        <v>148</v>
      </c>
      <c r="K207" s="290" t="s">
        <v>335</v>
      </c>
      <c r="L207" s="291">
        <v>148</v>
      </c>
      <c r="M207" s="292">
        <f>J207</f>
        <v>148</v>
      </c>
      <c r="N207" s="292"/>
      <c r="O207" s="292"/>
      <c r="P207" s="318" t="s">
        <v>126</v>
      </c>
      <c r="Q207" s="293">
        <f>P207*Q$6</f>
        <v>38</v>
      </c>
      <c r="R207" s="318" t="s">
        <v>126</v>
      </c>
      <c r="S207" s="288">
        <f>R207*S$6</f>
        <v>38</v>
      </c>
      <c r="T207" s="318" t="s">
        <v>126</v>
      </c>
      <c r="U207" s="288">
        <f>T207*U$6</f>
        <v>38</v>
      </c>
      <c r="V207" s="294">
        <f>Q207+S207+U207</f>
        <v>114</v>
      </c>
      <c r="W207" s="290" t="s">
        <v>335</v>
      </c>
      <c r="X207" s="295">
        <v>114</v>
      </c>
      <c r="Y207" s="512" t="s">
        <v>104</v>
      </c>
      <c r="Z207" s="513"/>
      <c r="AA207" s="514"/>
      <c r="AB207" s="210" t="s">
        <v>105</v>
      </c>
    </row>
  </sheetData>
  <mergeCells count="43">
    <mergeCell ref="R203:S203"/>
    <mergeCell ref="T203:U203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Y207:AA207"/>
    <mergeCell ref="Z196:AA196"/>
    <mergeCell ref="Z197:AA197"/>
    <mergeCell ref="Z202:AA202"/>
    <mergeCell ref="Z203:AA203"/>
    <mergeCell ref="Z198:AA198"/>
    <mergeCell ref="Z199:AA199"/>
    <mergeCell ref="Z200:AA200"/>
    <mergeCell ref="Z201:AA201"/>
    <mergeCell ref="Y5:Y6"/>
    <mergeCell ref="Z5:Z6"/>
    <mergeCell ref="AA5:AA6"/>
    <mergeCell ref="Z195:AA195"/>
    <mergeCell ref="F191:I191"/>
    <mergeCell ref="F1:G1"/>
    <mergeCell ref="H1:I1"/>
    <mergeCell ref="P1:Q1"/>
    <mergeCell ref="M5:M6"/>
    <mergeCell ref="N5:N6"/>
    <mergeCell ref="O5:O6"/>
    <mergeCell ref="R1:S1"/>
    <mergeCell ref="T1:U1"/>
    <mergeCell ref="P2:Q2"/>
    <mergeCell ref="R2:S2"/>
    <mergeCell ref="T2:U2"/>
    <mergeCell ref="T200:U200"/>
    <mergeCell ref="T201:U201"/>
    <mergeCell ref="T202:U202"/>
    <mergeCell ref="T195:U195"/>
    <mergeCell ref="T196:U196"/>
    <mergeCell ref="T197:U197"/>
    <mergeCell ref="T198:U198"/>
    <mergeCell ref="T199:U199"/>
  </mergeCells>
  <printOptions gridLines="1"/>
  <pageMargins left="0.65" right="0.14" top="0.5" bottom="0.85" header="0.5" footer="0.5"/>
  <pageSetup horizontalDpi="600" verticalDpi="600" orientation="landscape" paperSize="17" scale="73" r:id="rId1"/>
  <headerFooter alignWithMargins="0">
    <oddFooter>&amp;LFile: IHEP &amp; PNPI Kit List&amp;CPage &amp;P of &amp;N&amp;RUpdated:  10/25/01
Printed: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 topLeftCell="A1">
      <pane ySplit="1125" topLeftCell="BM47" activePane="bottomLeft" state="split"/>
      <selection pane="topLeft" activeCell="L1" sqref="L1:L16384"/>
      <selection pane="bottomLeft" activeCell="G70" sqref="G70"/>
    </sheetView>
  </sheetViews>
  <sheetFormatPr defaultColWidth="9.140625" defaultRowHeight="13.5" customHeight="1"/>
  <cols>
    <col min="1" max="1" width="8.140625" style="405" customWidth="1"/>
    <col min="2" max="2" width="3.8515625" style="405" customWidth="1"/>
    <col min="3" max="3" width="4.8515625" style="401" hidden="1" customWidth="1"/>
    <col min="4" max="4" width="60.7109375" style="403" customWidth="1"/>
    <col min="5" max="5" width="7.28125" style="398" hidden="1" customWidth="1"/>
    <col min="6" max="6" width="11.57421875" style="398" customWidth="1"/>
    <col min="7" max="7" width="11.7109375" style="398" customWidth="1"/>
    <col min="8" max="9" width="10.00390625" style="398" customWidth="1"/>
    <col min="10" max="10" width="11.57421875" style="434" customWidth="1"/>
    <col min="11" max="11" width="10.00390625" style="434" customWidth="1"/>
    <col min="12" max="12" width="10.00390625" style="403" customWidth="1"/>
    <col min="13" max="13" width="10.421875" style="403" customWidth="1"/>
    <col min="14" max="14" width="10.8515625" style="403" customWidth="1"/>
    <col min="15" max="15" width="12.140625" style="403" customWidth="1"/>
    <col min="16" max="16" width="11.28125" style="403" customWidth="1"/>
    <col min="17" max="17" width="13.421875" style="403" customWidth="1"/>
    <col min="18" max="18" width="28.00390625" style="403" customWidth="1"/>
    <col min="19" max="16384" width="9.140625" style="403" customWidth="1"/>
  </cols>
  <sheetData>
    <row r="1" spans="1:18" s="413" customFormat="1" ht="29.25" customHeight="1">
      <c r="A1" s="52" t="s">
        <v>405</v>
      </c>
      <c r="B1" s="410" t="s">
        <v>406</v>
      </c>
      <c r="C1" s="411" t="s">
        <v>67</v>
      </c>
      <c r="D1" s="402" t="s">
        <v>66</v>
      </c>
      <c r="E1" s="52" t="s">
        <v>96</v>
      </c>
      <c r="F1" s="421" t="s">
        <v>388</v>
      </c>
      <c r="G1" s="427" t="s">
        <v>396</v>
      </c>
      <c r="H1" s="428" t="s">
        <v>397</v>
      </c>
      <c r="I1" s="428" t="s">
        <v>465</v>
      </c>
      <c r="J1" s="432" t="s">
        <v>581</v>
      </c>
      <c r="K1" s="432" t="s">
        <v>398</v>
      </c>
      <c r="L1" s="427" t="s">
        <v>399</v>
      </c>
      <c r="M1" s="427" t="s">
        <v>400</v>
      </c>
      <c r="N1" s="427" t="s">
        <v>401</v>
      </c>
      <c r="O1" s="427" t="s">
        <v>402</v>
      </c>
      <c r="P1" s="427" t="s">
        <v>403</v>
      </c>
      <c r="Q1" s="427" t="s">
        <v>404</v>
      </c>
      <c r="R1" s="412" t="s">
        <v>68</v>
      </c>
    </row>
    <row r="2" spans="4:10" ht="13.5" customHeight="1">
      <c r="D2" s="404"/>
      <c r="E2" s="399"/>
      <c r="F2" s="399"/>
      <c r="G2" s="399"/>
      <c r="H2" s="420"/>
      <c r="I2" s="420"/>
      <c r="J2" s="433"/>
    </row>
    <row r="3" spans="1:11" s="409" customFormat="1" ht="13.5" customHeight="1">
      <c r="A3" s="405">
        <v>274450</v>
      </c>
      <c r="B3" s="405" t="s">
        <v>79</v>
      </c>
      <c r="C3" s="405" t="s">
        <v>290</v>
      </c>
      <c r="D3" s="47" t="s">
        <v>604</v>
      </c>
      <c r="E3" s="239">
        <v>1.8746666666666667</v>
      </c>
      <c r="F3" s="239" t="s">
        <v>116</v>
      </c>
      <c r="G3" s="76" t="s">
        <v>389</v>
      </c>
      <c r="H3" s="76">
        <v>2</v>
      </c>
      <c r="I3" s="76"/>
      <c r="J3" s="435">
        <v>64.21</v>
      </c>
      <c r="K3" s="434">
        <f>J3*2</f>
        <v>128.42</v>
      </c>
    </row>
    <row r="4" spans="1:11" s="79" customFormat="1" ht="13.5" customHeight="1">
      <c r="A4" s="66">
        <v>368005</v>
      </c>
      <c r="B4" s="66" t="s">
        <v>79</v>
      </c>
      <c r="C4" s="66" t="s">
        <v>290</v>
      </c>
      <c r="D4" s="79" t="s">
        <v>476</v>
      </c>
      <c r="E4" s="76">
        <v>296</v>
      </c>
      <c r="F4" s="76" t="s">
        <v>520</v>
      </c>
      <c r="G4" s="76" t="s">
        <v>521</v>
      </c>
      <c r="H4" s="76">
        <v>300</v>
      </c>
      <c r="I4" s="76"/>
      <c r="J4" s="434"/>
      <c r="K4" s="435"/>
    </row>
    <row r="5" spans="1:11" s="79" customFormat="1" ht="13.5" customHeight="1">
      <c r="A5" s="66">
        <v>368006</v>
      </c>
      <c r="B5" s="66" t="s">
        <v>156</v>
      </c>
      <c r="C5" s="66" t="s">
        <v>290</v>
      </c>
      <c r="D5" s="79" t="s">
        <v>439</v>
      </c>
      <c r="E5" s="76">
        <v>592</v>
      </c>
      <c r="F5" s="76" t="s">
        <v>334</v>
      </c>
      <c r="G5" s="76" t="s">
        <v>351</v>
      </c>
      <c r="H5" s="76">
        <v>600</v>
      </c>
      <c r="I5" s="76"/>
      <c r="J5" s="434"/>
      <c r="K5" s="435"/>
    </row>
    <row r="6" spans="1:11" s="79" customFormat="1" ht="13.5" customHeight="1">
      <c r="A6" s="66">
        <v>368010</v>
      </c>
      <c r="B6" s="66" t="s">
        <v>83</v>
      </c>
      <c r="C6" s="66" t="s">
        <v>286</v>
      </c>
      <c r="D6" s="79" t="s">
        <v>417</v>
      </c>
      <c r="E6" s="76">
        <v>1184</v>
      </c>
      <c r="F6" s="76" t="s">
        <v>334</v>
      </c>
      <c r="G6" s="76" t="s">
        <v>337</v>
      </c>
      <c r="H6" s="76">
        <v>1200</v>
      </c>
      <c r="I6" s="76"/>
      <c r="J6" s="434"/>
      <c r="K6" s="435"/>
    </row>
    <row r="7" spans="1:11" s="79" customFormat="1" ht="13.5" customHeight="1">
      <c r="A7" s="66">
        <v>368011</v>
      </c>
      <c r="B7" s="66" t="s">
        <v>156</v>
      </c>
      <c r="C7" s="66" t="s">
        <v>286</v>
      </c>
      <c r="D7" s="79" t="s">
        <v>284</v>
      </c>
      <c r="E7" s="76">
        <v>296</v>
      </c>
      <c r="F7" s="76" t="s">
        <v>335</v>
      </c>
      <c r="G7" s="76">
        <v>300</v>
      </c>
      <c r="H7" s="76">
        <v>300</v>
      </c>
      <c r="I7" s="76"/>
      <c r="J7" s="434"/>
      <c r="K7" s="435"/>
    </row>
    <row r="8" spans="1:11" s="79" customFormat="1" ht="13.5" customHeight="1">
      <c r="A8" s="66">
        <v>368012</v>
      </c>
      <c r="B8" s="66" t="s">
        <v>79</v>
      </c>
      <c r="C8" s="66" t="s">
        <v>290</v>
      </c>
      <c r="D8" s="79" t="s">
        <v>478</v>
      </c>
      <c r="E8" s="76">
        <v>444</v>
      </c>
      <c r="F8" s="76" t="s">
        <v>344</v>
      </c>
      <c r="G8" s="76" t="s">
        <v>352</v>
      </c>
      <c r="H8" s="76">
        <v>450</v>
      </c>
      <c r="I8" s="76"/>
      <c r="J8" s="434"/>
      <c r="K8" s="435"/>
    </row>
    <row r="9" spans="1:11" s="79" customFormat="1" ht="13.5" customHeight="1">
      <c r="A9" s="66">
        <v>368014</v>
      </c>
      <c r="B9" s="66" t="s">
        <v>79</v>
      </c>
      <c r="C9" s="66" t="s">
        <v>290</v>
      </c>
      <c r="D9" s="79" t="s">
        <v>418</v>
      </c>
      <c r="E9" s="239">
        <v>22.04255319148936</v>
      </c>
      <c r="F9" s="239" t="s">
        <v>116</v>
      </c>
      <c r="G9" s="239" t="s">
        <v>353</v>
      </c>
      <c r="H9" s="76">
        <v>23</v>
      </c>
      <c r="I9" s="76"/>
      <c r="J9" s="434"/>
      <c r="K9" s="435"/>
    </row>
    <row r="10" spans="1:11" s="79" customFormat="1" ht="13.5" customHeight="1">
      <c r="A10" s="66">
        <v>368015</v>
      </c>
      <c r="B10" s="66" t="s">
        <v>88</v>
      </c>
      <c r="C10" s="66" t="s">
        <v>290</v>
      </c>
      <c r="D10" s="79" t="s">
        <v>414</v>
      </c>
      <c r="E10" s="76">
        <v>888</v>
      </c>
      <c r="F10" s="76" t="s">
        <v>334</v>
      </c>
      <c r="G10" s="76" t="s">
        <v>352</v>
      </c>
      <c r="H10" s="76">
        <v>900</v>
      </c>
      <c r="I10" s="76"/>
      <c r="J10" s="434"/>
      <c r="K10" s="435"/>
    </row>
    <row r="11" spans="1:11" s="79" customFormat="1" ht="27" customHeight="1">
      <c r="A11" s="454" t="s">
        <v>590</v>
      </c>
      <c r="B11" s="66" t="s">
        <v>88</v>
      </c>
      <c r="C11" s="66" t="s">
        <v>286</v>
      </c>
      <c r="D11" s="79" t="s">
        <v>415</v>
      </c>
      <c r="E11" s="76">
        <v>296</v>
      </c>
      <c r="F11" s="76" t="s">
        <v>334</v>
      </c>
      <c r="G11" s="76" t="s">
        <v>69</v>
      </c>
      <c r="H11" s="76">
        <v>350</v>
      </c>
      <c r="I11" s="76"/>
      <c r="J11" s="434"/>
      <c r="K11" s="435"/>
    </row>
    <row r="12" spans="1:11" s="79" customFormat="1" ht="13.5" customHeight="1">
      <c r="A12" s="66">
        <v>368019</v>
      </c>
      <c r="B12" s="66" t="s">
        <v>83</v>
      </c>
      <c r="C12" s="66" t="s">
        <v>290</v>
      </c>
      <c r="D12" s="79" t="s">
        <v>416</v>
      </c>
      <c r="E12" s="76">
        <v>222</v>
      </c>
      <c r="F12" s="76" t="s">
        <v>116</v>
      </c>
      <c r="G12" s="76">
        <v>230</v>
      </c>
      <c r="H12" s="76">
        <v>230</v>
      </c>
      <c r="I12" s="76"/>
      <c r="J12" s="434"/>
      <c r="K12" s="435"/>
    </row>
    <row r="13" spans="1:11" s="79" customFormat="1" ht="13.5" customHeight="1">
      <c r="A13" s="66">
        <v>368020</v>
      </c>
      <c r="B13" s="66" t="s">
        <v>79</v>
      </c>
      <c r="C13" s="66" t="s">
        <v>290</v>
      </c>
      <c r="D13" s="79" t="s">
        <v>479</v>
      </c>
      <c r="E13" s="76">
        <v>28120</v>
      </c>
      <c r="F13" s="76" t="s">
        <v>334</v>
      </c>
      <c r="G13" s="76" t="s">
        <v>523</v>
      </c>
      <c r="H13" s="76">
        <v>29000</v>
      </c>
      <c r="I13" s="76"/>
      <c r="J13" s="434"/>
      <c r="K13" s="435"/>
    </row>
    <row r="14" spans="1:11" s="79" customFormat="1" ht="13.5" customHeight="1">
      <c r="A14" s="66">
        <v>368022</v>
      </c>
      <c r="B14" s="66" t="s">
        <v>79</v>
      </c>
      <c r="C14" s="66" t="s">
        <v>290</v>
      </c>
      <c r="D14" s="79" t="s">
        <v>419</v>
      </c>
      <c r="E14" s="76">
        <v>296</v>
      </c>
      <c r="F14" s="76" t="s">
        <v>345</v>
      </c>
      <c r="G14" s="76" t="s">
        <v>354</v>
      </c>
      <c r="H14" s="76">
        <v>300</v>
      </c>
      <c r="I14" s="76"/>
      <c r="J14" s="434"/>
      <c r="K14" s="435"/>
    </row>
    <row r="15" spans="1:11" s="79" customFormat="1" ht="13.5" customHeight="1">
      <c r="A15" s="66">
        <v>368026</v>
      </c>
      <c r="B15" s="66" t="s">
        <v>79</v>
      </c>
      <c r="C15" s="66" t="s">
        <v>290</v>
      </c>
      <c r="D15" s="79" t="s">
        <v>414</v>
      </c>
      <c r="E15" s="76">
        <v>3552</v>
      </c>
      <c r="F15" s="76" t="s">
        <v>525</v>
      </c>
      <c r="G15" s="76" t="s">
        <v>338</v>
      </c>
      <c r="H15" s="76">
        <v>3600</v>
      </c>
      <c r="I15" s="76"/>
      <c r="J15" s="434"/>
      <c r="K15" s="435"/>
    </row>
    <row r="16" spans="1:11" s="79" customFormat="1" ht="13.5" customHeight="1">
      <c r="A16" s="66">
        <v>368027</v>
      </c>
      <c r="B16" s="66" t="s">
        <v>88</v>
      </c>
      <c r="C16" s="66" t="s">
        <v>290</v>
      </c>
      <c r="D16" s="79" t="s">
        <v>480</v>
      </c>
      <c r="E16" s="76">
        <v>1924</v>
      </c>
      <c r="F16" s="76" t="s">
        <v>334</v>
      </c>
      <c r="G16" s="76" t="s">
        <v>356</v>
      </c>
      <c r="H16" s="76">
        <v>2000</v>
      </c>
      <c r="I16" s="76"/>
      <c r="J16" s="435"/>
      <c r="K16" s="435"/>
    </row>
    <row r="17" spans="1:11" s="79" customFormat="1" ht="13.5" customHeight="1">
      <c r="A17" s="66">
        <v>368033</v>
      </c>
      <c r="B17" s="66" t="s">
        <v>79</v>
      </c>
      <c r="C17" s="66" t="s">
        <v>290</v>
      </c>
      <c r="D17" s="79" t="s">
        <v>125</v>
      </c>
      <c r="E17" s="76">
        <v>148</v>
      </c>
      <c r="F17" s="76" t="s">
        <v>335</v>
      </c>
      <c r="G17" s="76">
        <v>150</v>
      </c>
      <c r="H17" s="76">
        <v>150</v>
      </c>
      <c r="I17" s="76"/>
      <c r="J17" s="435"/>
      <c r="K17" s="435"/>
    </row>
    <row r="18" spans="1:11" s="79" customFormat="1" ht="13.5" customHeight="1">
      <c r="A18" s="66">
        <v>368039</v>
      </c>
      <c r="B18" s="66" t="s">
        <v>88</v>
      </c>
      <c r="C18" s="66" t="s">
        <v>286</v>
      </c>
      <c r="D18" s="79" t="s">
        <v>439</v>
      </c>
      <c r="E18" s="76">
        <v>9768</v>
      </c>
      <c r="F18" s="76" t="s">
        <v>334</v>
      </c>
      <c r="G18" s="76" t="s">
        <v>221</v>
      </c>
      <c r="H18" s="76">
        <v>9900</v>
      </c>
      <c r="I18" s="76"/>
      <c r="J18" s="435"/>
      <c r="K18" s="435"/>
    </row>
    <row r="19" spans="1:11" s="79" customFormat="1" ht="13.5" customHeight="1">
      <c r="A19" s="66">
        <v>368042</v>
      </c>
      <c r="B19" s="66" t="s">
        <v>88</v>
      </c>
      <c r="C19" s="66" t="s">
        <v>290</v>
      </c>
      <c r="D19" s="79" t="s">
        <v>420</v>
      </c>
      <c r="E19" s="76">
        <v>3996</v>
      </c>
      <c r="F19" s="76" t="s">
        <v>334</v>
      </c>
      <c r="G19" s="76" t="s">
        <v>35</v>
      </c>
      <c r="H19" s="76">
        <v>4100</v>
      </c>
      <c r="I19" s="76"/>
      <c r="J19" s="435"/>
      <c r="K19" s="435"/>
    </row>
    <row r="20" spans="1:11" s="54" customFormat="1" ht="13.5" customHeight="1">
      <c r="A20" s="52">
        <v>368043</v>
      </c>
      <c r="B20" s="52" t="s">
        <v>83</v>
      </c>
      <c r="C20" s="66" t="s">
        <v>286</v>
      </c>
      <c r="D20" s="54" t="s">
        <v>421</v>
      </c>
      <c r="E20" s="76">
        <v>74</v>
      </c>
      <c r="F20" s="76" t="s">
        <v>335</v>
      </c>
      <c r="G20" s="76">
        <v>75</v>
      </c>
      <c r="H20" s="76">
        <v>75</v>
      </c>
      <c r="I20" s="76"/>
      <c r="J20" s="435"/>
      <c r="K20" s="436"/>
    </row>
    <row r="21" spans="1:11" s="54" customFormat="1" ht="13.5" customHeight="1">
      <c r="A21" s="52">
        <v>368044</v>
      </c>
      <c r="B21" s="52" t="s">
        <v>83</v>
      </c>
      <c r="C21" s="66" t="s">
        <v>286</v>
      </c>
      <c r="D21" s="54" t="s">
        <v>421</v>
      </c>
      <c r="E21" s="76">
        <v>74</v>
      </c>
      <c r="F21" s="76" t="s">
        <v>335</v>
      </c>
      <c r="G21" s="76">
        <v>75</v>
      </c>
      <c r="H21" s="76">
        <v>75</v>
      </c>
      <c r="I21" s="76"/>
      <c r="J21" s="435"/>
      <c r="K21" s="436"/>
    </row>
    <row r="22" spans="1:13" s="54" customFormat="1" ht="13.5" customHeight="1">
      <c r="A22" s="52">
        <v>368045</v>
      </c>
      <c r="B22" s="52" t="s">
        <v>83</v>
      </c>
      <c r="C22" s="66" t="s">
        <v>286</v>
      </c>
      <c r="D22" s="54" t="s">
        <v>421</v>
      </c>
      <c r="E22" s="76">
        <v>0</v>
      </c>
      <c r="F22" s="76" t="s">
        <v>335</v>
      </c>
      <c r="G22" s="76">
        <v>0</v>
      </c>
      <c r="H22" s="76">
        <v>0</v>
      </c>
      <c r="I22" s="76"/>
      <c r="J22" s="436"/>
      <c r="K22" s="434"/>
      <c r="L22" s="52"/>
      <c r="M22" s="400"/>
    </row>
    <row r="23" spans="1:11" s="79" customFormat="1" ht="13.5" customHeight="1">
      <c r="A23" s="66">
        <v>368046</v>
      </c>
      <c r="B23" s="66" t="s">
        <v>79</v>
      </c>
      <c r="C23" s="66" t="s">
        <v>286</v>
      </c>
      <c r="D23" s="79" t="s">
        <v>422</v>
      </c>
      <c r="E23" s="76">
        <v>3552</v>
      </c>
      <c r="F23" s="76" t="s">
        <v>334</v>
      </c>
      <c r="G23" s="76" t="s">
        <v>355</v>
      </c>
      <c r="H23" s="76">
        <v>3600</v>
      </c>
      <c r="I23" s="76"/>
      <c r="J23" s="436"/>
      <c r="K23" s="435"/>
    </row>
    <row r="24" spans="1:11" s="79" customFormat="1" ht="13.5" customHeight="1">
      <c r="A24" s="66">
        <v>368048</v>
      </c>
      <c r="B24" s="66" t="s">
        <v>83</v>
      </c>
      <c r="C24" s="66" t="s">
        <v>290</v>
      </c>
      <c r="D24" s="79" t="s">
        <v>481</v>
      </c>
      <c r="E24" s="76">
        <v>2664</v>
      </c>
      <c r="F24" s="76" t="s">
        <v>334</v>
      </c>
      <c r="G24" s="76" t="s">
        <v>526</v>
      </c>
      <c r="H24" s="76">
        <v>2700</v>
      </c>
      <c r="I24" s="76"/>
      <c r="J24" s="434"/>
      <c r="K24" s="435"/>
    </row>
    <row r="25" spans="1:11" s="79" customFormat="1" ht="13.5" customHeight="1">
      <c r="A25" s="66">
        <v>368051</v>
      </c>
      <c r="B25" s="66" t="s">
        <v>156</v>
      </c>
      <c r="C25" s="66" t="s">
        <v>286</v>
      </c>
      <c r="D25" s="79" t="s">
        <v>423</v>
      </c>
      <c r="E25" s="76">
        <v>1184</v>
      </c>
      <c r="F25" s="76" t="s">
        <v>335</v>
      </c>
      <c r="G25" s="76">
        <v>1200</v>
      </c>
      <c r="H25" s="76">
        <v>1200</v>
      </c>
      <c r="I25" s="76"/>
      <c r="J25" s="435"/>
      <c r="K25" s="435"/>
    </row>
    <row r="26" spans="1:11" s="79" customFormat="1" ht="13.5" customHeight="1">
      <c r="A26" s="66">
        <v>368052</v>
      </c>
      <c r="B26" s="66" t="s">
        <v>156</v>
      </c>
      <c r="C26" s="66" t="s">
        <v>286</v>
      </c>
      <c r="D26" s="79" t="s">
        <v>423</v>
      </c>
      <c r="E26" s="76">
        <v>0</v>
      </c>
      <c r="F26" s="76" t="s">
        <v>335</v>
      </c>
      <c r="G26" s="76">
        <v>0</v>
      </c>
      <c r="H26" s="76">
        <v>0</v>
      </c>
      <c r="I26" s="76"/>
      <c r="J26" s="435"/>
      <c r="K26" s="435"/>
    </row>
    <row r="27" spans="1:11" s="79" customFormat="1" ht="13.5" customHeight="1">
      <c r="A27" s="66">
        <v>368053</v>
      </c>
      <c r="B27" s="66" t="s">
        <v>156</v>
      </c>
      <c r="C27" s="66" t="s">
        <v>286</v>
      </c>
      <c r="D27" s="79" t="s">
        <v>423</v>
      </c>
      <c r="E27" s="76">
        <v>3108</v>
      </c>
      <c r="F27" s="76" t="s">
        <v>335</v>
      </c>
      <c r="G27" s="76">
        <v>3150</v>
      </c>
      <c r="H27" s="76">
        <v>3150</v>
      </c>
      <c r="I27" s="76"/>
      <c r="J27" s="435"/>
      <c r="K27" s="435"/>
    </row>
    <row r="28" spans="1:11" s="79" customFormat="1" ht="13.5" customHeight="1">
      <c r="A28" s="66">
        <v>368054</v>
      </c>
      <c r="B28" s="66" t="s">
        <v>88</v>
      </c>
      <c r="C28" s="66" t="s">
        <v>286</v>
      </c>
      <c r="D28" s="79" t="s">
        <v>424</v>
      </c>
      <c r="E28" s="76">
        <v>4588</v>
      </c>
      <c r="F28" s="76" t="s">
        <v>347</v>
      </c>
      <c r="G28" s="76" t="s">
        <v>222</v>
      </c>
      <c r="H28" s="76">
        <v>4732</v>
      </c>
      <c r="I28" s="76"/>
      <c r="J28" s="435"/>
      <c r="K28" s="435"/>
    </row>
    <row r="29" spans="1:11" s="79" customFormat="1" ht="13.5" customHeight="1">
      <c r="A29" s="66">
        <v>368055</v>
      </c>
      <c r="B29" s="66" t="s">
        <v>79</v>
      </c>
      <c r="C29" s="66" t="s">
        <v>286</v>
      </c>
      <c r="D29" s="79" t="s">
        <v>439</v>
      </c>
      <c r="E29" s="76">
        <v>296</v>
      </c>
      <c r="F29" s="76" t="s">
        <v>528</v>
      </c>
      <c r="G29" s="76" t="s">
        <v>559</v>
      </c>
      <c r="H29" s="76">
        <v>300</v>
      </c>
      <c r="I29" s="76"/>
      <c r="J29" s="435"/>
      <c r="K29" s="435"/>
    </row>
    <row r="30" spans="1:11" s="79" customFormat="1" ht="13.5" customHeight="1">
      <c r="A30" s="66">
        <v>368056</v>
      </c>
      <c r="B30" s="66" t="s">
        <v>79</v>
      </c>
      <c r="C30" s="66" t="s">
        <v>286</v>
      </c>
      <c r="D30" s="79" t="s">
        <v>417</v>
      </c>
      <c r="E30" s="76">
        <v>3552</v>
      </c>
      <c r="F30" s="76" t="s">
        <v>531</v>
      </c>
      <c r="G30" s="76" t="s">
        <v>559</v>
      </c>
      <c r="H30" s="76">
        <v>3600</v>
      </c>
      <c r="I30" s="76"/>
      <c r="J30" s="435"/>
      <c r="K30" s="435"/>
    </row>
    <row r="31" spans="1:10" ht="13.5" customHeight="1">
      <c r="A31" s="405">
        <v>368058</v>
      </c>
      <c r="B31" s="405" t="s">
        <v>83</v>
      </c>
      <c r="C31" s="66" t="s">
        <v>286</v>
      </c>
      <c r="D31" s="403" t="s">
        <v>421</v>
      </c>
      <c r="E31" s="76">
        <v>74</v>
      </c>
      <c r="F31" s="76" t="s">
        <v>335</v>
      </c>
      <c r="G31" s="76">
        <v>75</v>
      </c>
      <c r="H31" s="76">
        <v>75</v>
      </c>
      <c r="I31" s="76"/>
      <c r="J31" s="435"/>
    </row>
    <row r="32" spans="1:10" ht="13.5" customHeight="1">
      <c r="A32" s="405">
        <v>368059</v>
      </c>
      <c r="B32" s="405" t="s">
        <v>83</v>
      </c>
      <c r="C32" s="66" t="s">
        <v>286</v>
      </c>
      <c r="D32" s="403" t="s">
        <v>421</v>
      </c>
      <c r="E32" s="76">
        <v>74</v>
      </c>
      <c r="F32" s="76" t="s">
        <v>335</v>
      </c>
      <c r="G32" s="76">
        <v>75</v>
      </c>
      <c r="H32" s="76">
        <v>75</v>
      </c>
      <c r="I32" s="76"/>
      <c r="J32" s="435"/>
    </row>
    <row r="33" spans="1:11" s="79" customFormat="1" ht="13.5" customHeight="1">
      <c r="A33" s="66">
        <v>368069</v>
      </c>
      <c r="B33" s="66" t="s">
        <v>79</v>
      </c>
      <c r="C33" s="66" t="s">
        <v>286</v>
      </c>
      <c r="D33" s="79" t="s">
        <v>425</v>
      </c>
      <c r="E33" s="76">
        <v>7400</v>
      </c>
      <c r="F33" s="76" t="s">
        <v>534</v>
      </c>
      <c r="G33" s="76" t="s">
        <v>559</v>
      </c>
      <c r="H33" s="76">
        <v>7500</v>
      </c>
      <c r="I33" s="76"/>
      <c r="J33" s="434"/>
      <c r="K33" s="435"/>
    </row>
    <row r="34" spans="1:11" s="79" customFormat="1" ht="13.5" customHeight="1">
      <c r="A34" s="66">
        <v>368070</v>
      </c>
      <c r="B34" s="66" t="s">
        <v>79</v>
      </c>
      <c r="C34" s="66" t="s">
        <v>286</v>
      </c>
      <c r="D34" s="79" t="s">
        <v>426</v>
      </c>
      <c r="E34" s="76">
        <v>7400</v>
      </c>
      <c r="F34" s="76" t="s">
        <v>534</v>
      </c>
      <c r="G34" s="76" t="s">
        <v>559</v>
      </c>
      <c r="H34" s="76">
        <v>7500</v>
      </c>
      <c r="I34" s="76"/>
      <c r="J34" s="434"/>
      <c r="K34" s="435"/>
    </row>
    <row r="35" spans="1:11" s="79" customFormat="1" ht="13.5" customHeight="1">
      <c r="A35" s="66">
        <v>368074</v>
      </c>
      <c r="B35" s="66" t="s">
        <v>156</v>
      </c>
      <c r="C35" s="66" t="s">
        <v>286</v>
      </c>
      <c r="D35" s="79" t="s">
        <v>275</v>
      </c>
      <c r="E35" s="76">
        <v>592</v>
      </c>
      <c r="F35" s="76" t="s">
        <v>335</v>
      </c>
      <c r="G35" s="76">
        <v>592</v>
      </c>
      <c r="H35" s="76">
        <v>592</v>
      </c>
      <c r="I35" s="76"/>
      <c r="J35" s="434"/>
      <c r="K35" s="435"/>
    </row>
    <row r="36" spans="1:11" s="79" customFormat="1" ht="13.5" customHeight="1">
      <c r="A36" s="66">
        <v>368075</v>
      </c>
      <c r="B36" s="66" t="s">
        <v>83</v>
      </c>
      <c r="C36" s="66" t="s">
        <v>286</v>
      </c>
      <c r="D36" s="79" t="s">
        <v>274</v>
      </c>
      <c r="E36" s="76">
        <v>0</v>
      </c>
      <c r="F36" s="76" t="s">
        <v>335</v>
      </c>
      <c r="G36" s="76">
        <v>0</v>
      </c>
      <c r="H36" s="76">
        <v>0</v>
      </c>
      <c r="I36" s="76"/>
      <c r="J36" s="435"/>
      <c r="K36" s="435"/>
    </row>
    <row r="37" spans="1:11" s="79" customFormat="1" ht="13.5" customHeight="1">
      <c r="A37" s="66">
        <v>368076</v>
      </c>
      <c r="B37" s="66" t="s">
        <v>79</v>
      </c>
      <c r="C37" s="66" t="s">
        <v>286</v>
      </c>
      <c r="D37" s="79" t="s">
        <v>427</v>
      </c>
      <c r="E37" s="76">
        <v>3552</v>
      </c>
      <c r="F37" s="76" t="s">
        <v>531</v>
      </c>
      <c r="G37" s="76" t="s">
        <v>559</v>
      </c>
      <c r="H37" s="76">
        <v>3600</v>
      </c>
      <c r="I37" s="76"/>
      <c r="J37" s="435"/>
      <c r="K37" s="435"/>
    </row>
    <row r="38" spans="1:11" s="79" customFormat="1" ht="13.5" customHeight="1">
      <c r="A38" s="66">
        <v>368077</v>
      </c>
      <c r="B38" s="66" t="s">
        <v>79</v>
      </c>
      <c r="C38" s="66" t="s">
        <v>286</v>
      </c>
      <c r="D38" s="79" t="s">
        <v>428</v>
      </c>
      <c r="E38" s="76">
        <v>1184</v>
      </c>
      <c r="F38" s="76" t="s">
        <v>334</v>
      </c>
      <c r="G38" s="76" t="s">
        <v>337</v>
      </c>
      <c r="H38" s="76">
        <v>1200</v>
      </c>
      <c r="I38" s="76"/>
      <c r="J38" s="435"/>
      <c r="K38" s="435"/>
    </row>
    <row r="39" spans="1:11" s="79" customFormat="1" ht="13.5" customHeight="1">
      <c r="A39" s="66">
        <v>368078</v>
      </c>
      <c r="B39" s="66" t="s">
        <v>88</v>
      </c>
      <c r="C39" s="66" t="s">
        <v>286</v>
      </c>
      <c r="D39" s="79" t="s">
        <v>429</v>
      </c>
      <c r="E39" s="76">
        <v>26.64</v>
      </c>
      <c r="F39" s="76" t="s">
        <v>335</v>
      </c>
      <c r="G39" s="76">
        <v>30</v>
      </c>
      <c r="H39" s="76">
        <v>30</v>
      </c>
      <c r="I39" s="76"/>
      <c r="J39" s="435"/>
      <c r="K39" s="435"/>
    </row>
    <row r="40" spans="1:11" s="79" customFormat="1" ht="13.5" customHeight="1">
      <c r="A40" s="66">
        <v>368080</v>
      </c>
      <c r="B40" s="66" t="s">
        <v>88</v>
      </c>
      <c r="C40" s="66" t="s">
        <v>286</v>
      </c>
      <c r="D40" s="79" t="s">
        <v>137</v>
      </c>
      <c r="E40" s="76">
        <v>592</v>
      </c>
      <c r="F40" s="76" t="s">
        <v>335</v>
      </c>
      <c r="G40" s="76">
        <v>600</v>
      </c>
      <c r="H40" s="76">
        <v>600</v>
      </c>
      <c r="I40" s="76"/>
      <c r="J40" s="435"/>
      <c r="K40" s="435"/>
    </row>
    <row r="41" spans="1:11" s="79" customFormat="1" ht="13.5" customHeight="1">
      <c r="A41" s="66">
        <v>368081</v>
      </c>
      <c r="B41" s="66" t="s">
        <v>88</v>
      </c>
      <c r="C41" s="66" t="s">
        <v>286</v>
      </c>
      <c r="D41" s="79" t="s">
        <v>138</v>
      </c>
      <c r="E41" s="76">
        <v>592</v>
      </c>
      <c r="F41" s="76" t="s">
        <v>335</v>
      </c>
      <c r="G41" s="76">
        <v>600</v>
      </c>
      <c r="H41" s="76">
        <v>600</v>
      </c>
      <c r="I41" s="76"/>
      <c r="J41" s="435"/>
      <c r="K41" s="435"/>
    </row>
    <row r="42" spans="1:11" s="79" customFormat="1" ht="13.5" customHeight="1">
      <c r="A42" s="66">
        <v>368082</v>
      </c>
      <c r="B42" s="66" t="s">
        <v>88</v>
      </c>
      <c r="C42" s="66" t="s">
        <v>286</v>
      </c>
      <c r="D42" s="79" t="s">
        <v>139</v>
      </c>
      <c r="E42" s="76">
        <v>1184</v>
      </c>
      <c r="F42" s="76" t="s">
        <v>335</v>
      </c>
      <c r="G42" s="76">
        <v>1200</v>
      </c>
      <c r="H42" s="76">
        <v>1200</v>
      </c>
      <c r="I42" s="76"/>
      <c r="J42" s="435"/>
      <c r="K42" s="435"/>
    </row>
    <row r="43" spans="1:11" s="79" customFormat="1" ht="13.5" customHeight="1">
      <c r="A43" s="66">
        <v>368093</v>
      </c>
      <c r="B43" s="66" t="s">
        <v>83</v>
      </c>
      <c r="C43" s="66" t="s">
        <v>290</v>
      </c>
      <c r="D43" s="79" t="s">
        <v>466</v>
      </c>
      <c r="E43" s="76">
        <v>1776</v>
      </c>
      <c r="F43" s="76" t="s">
        <v>334</v>
      </c>
      <c r="G43" s="76" t="s">
        <v>357</v>
      </c>
      <c r="H43" s="76">
        <v>1800</v>
      </c>
      <c r="I43" s="76"/>
      <c r="J43" s="435"/>
      <c r="K43" s="435"/>
    </row>
    <row r="44" spans="1:11" s="79" customFormat="1" ht="13.5" customHeight="1">
      <c r="A44" s="66">
        <v>368097</v>
      </c>
      <c r="B44" s="66" t="s">
        <v>79</v>
      </c>
      <c r="C44" s="66" t="s">
        <v>290</v>
      </c>
      <c r="D44" s="79" t="s">
        <v>430</v>
      </c>
      <c r="E44" s="76">
        <v>888</v>
      </c>
      <c r="F44" s="76" t="s">
        <v>335</v>
      </c>
      <c r="G44" s="76">
        <v>900</v>
      </c>
      <c r="H44" s="76">
        <v>900</v>
      </c>
      <c r="I44" s="76"/>
      <c r="J44" s="435"/>
      <c r="K44" s="435"/>
    </row>
    <row r="45" spans="1:11" s="79" customFormat="1" ht="13.5" customHeight="1">
      <c r="A45" s="66">
        <v>368099</v>
      </c>
      <c r="B45" s="66" t="s">
        <v>79</v>
      </c>
      <c r="C45" s="66" t="s">
        <v>290</v>
      </c>
      <c r="D45" s="79" t="s">
        <v>145</v>
      </c>
      <c r="E45" s="76">
        <v>888</v>
      </c>
      <c r="F45" s="76" t="s">
        <v>348</v>
      </c>
      <c r="G45" s="76" t="s">
        <v>338</v>
      </c>
      <c r="H45" s="76">
        <v>900</v>
      </c>
      <c r="I45" s="76"/>
      <c r="J45" s="435"/>
      <c r="K45" s="435"/>
    </row>
    <row r="46" spans="1:11" s="79" customFormat="1" ht="13.5" customHeight="1">
      <c r="A46" s="66">
        <v>368100</v>
      </c>
      <c r="B46" s="66" t="s">
        <v>79</v>
      </c>
      <c r="C46" s="66" t="s">
        <v>290</v>
      </c>
      <c r="D46" s="79" t="s">
        <v>146</v>
      </c>
      <c r="E46" s="76">
        <v>1184</v>
      </c>
      <c r="F46" s="76" t="s">
        <v>536</v>
      </c>
      <c r="G46" s="76" t="s">
        <v>537</v>
      </c>
      <c r="H46" s="76">
        <v>1200</v>
      </c>
      <c r="I46" s="76"/>
      <c r="J46" s="435"/>
      <c r="K46" s="435"/>
    </row>
    <row r="47" spans="1:11" s="79" customFormat="1" ht="30" customHeight="1">
      <c r="A47" s="454" t="s">
        <v>591</v>
      </c>
      <c r="B47" s="66" t="s">
        <v>79</v>
      </c>
      <c r="C47" s="66" t="s">
        <v>286</v>
      </c>
      <c r="D47" s="79" t="s">
        <v>415</v>
      </c>
      <c r="E47" s="76">
        <v>1184</v>
      </c>
      <c r="F47" s="76" t="s">
        <v>340</v>
      </c>
      <c r="G47" s="76" t="s">
        <v>358</v>
      </c>
      <c r="H47" s="76">
        <v>1200</v>
      </c>
      <c r="I47" s="76"/>
      <c r="J47" s="435"/>
      <c r="K47" s="435"/>
    </row>
    <row r="48" spans="1:11" s="468" customFormat="1" ht="26.25" customHeight="1">
      <c r="A48" s="470">
        <v>368114</v>
      </c>
      <c r="B48" s="470" t="s">
        <v>79</v>
      </c>
      <c r="C48" s="470" t="s">
        <v>290</v>
      </c>
      <c r="D48" s="468" t="s">
        <v>431</v>
      </c>
      <c r="E48" s="469">
        <v>3996</v>
      </c>
      <c r="F48" s="469" t="s">
        <v>36</v>
      </c>
      <c r="G48" s="472" t="s">
        <v>600</v>
      </c>
      <c r="H48" s="472" t="s">
        <v>599</v>
      </c>
      <c r="I48" s="469"/>
      <c r="J48" s="471"/>
      <c r="K48" s="471"/>
    </row>
    <row r="49" spans="1:11" s="468" customFormat="1" ht="27.75" customHeight="1">
      <c r="A49" s="470">
        <v>368115</v>
      </c>
      <c r="B49" s="470" t="s">
        <v>79</v>
      </c>
      <c r="C49" s="470" t="s">
        <v>290</v>
      </c>
      <c r="D49" s="468" t="s">
        <v>432</v>
      </c>
      <c r="E49" s="469">
        <v>3996</v>
      </c>
      <c r="F49" s="469" t="s">
        <v>36</v>
      </c>
      <c r="G49" s="472" t="s">
        <v>600</v>
      </c>
      <c r="H49" s="472" t="s">
        <v>599</v>
      </c>
      <c r="I49" s="469"/>
      <c r="J49" s="471"/>
      <c r="K49" s="471"/>
    </row>
    <row r="50" spans="1:11" s="79" customFormat="1" ht="13.5" customHeight="1">
      <c r="A50" s="66">
        <v>368116</v>
      </c>
      <c r="B50" s="66" t="s">
        <v>88</v>
      </c>
      <c r="C50" s="66" t="s">
        <v>290</v>
      </c>
      <c r="D50" s="79" t="s">
        <v>433</v>
      </c>
      <c r="E50" s="76">
        <v>296</v>
      </c>
      <c r="F50" s="76" t="s">
        <v>349</v>
      </c>
      <c r="G50" s="76" t="s">
        <v>358</v>
      </c>
      <c r="H50" s="76">
        <v>300</v>
      </c>
      <c r="I50" s="76"/>
      <c r="J50" s="435"/>
      <c r="K50" s="435"/>
    </row>
    <row r="51" spans="1:11" s="79" customFormat="1" ht="13.5" customHeight="1">
      <c r="A51" s="66">
        <v>368117</v>
      </c>
      <c r="B51" s="66" t="s">
        <v>79</v>
      </c>
      <c r="C51" s="66" t="s">
        <v>290</v>
      </c>
      <c r="D51" s="79" t="s">
        <v>434</v>
      </c>
      <c r="E51" s="76">
        <v>296</v>
      </c>
      <c r="F51" s="76" t="s">
        <v>345</v>
      </c>
      <c r="G51" s="76" t="s">
        <v>354</v>
      </c>
      <c r="H51" s="76">
        <v>300</v>
      </c>
      <c r="I51" s="76"/>
      <c r="J51" s="435"/>
      <c r="K51" s="435"/>
    </row>
    <row r="52" spans="1:11" s="79" customFormat="1" ht="13.5" customHeight="1">
      <c r="A52" s="66">
        <v>368119</v>
      </c>
      <c r="B52" s="66" t="s">
        <v>88</v>
      </c>
      <c r="C52" s="66" t="s">
        <v>290</v>
      </c>
      <c r="D52" s="79" t="s">
        <v>435</v>
      </c>
      <c r="E52" s="76">
        <v>296</v>
      </c>
      <c r="F52" s="76" t="s">
        <v>336</v>
      </c>
      <c r="G52" s="76" t="s">
        <v>338</v>
      </c>
      <c r="H52" s="76">
        <v>300</v>
      </c>
      <c r="I52" s="76"/>
      <c r="J52" s="435"/>
      <c r="K52" s="435"/>
    </row>
    <row r="53" spans="1:11" s="79" customFormat="1" ht="13.5" customHeight="1">
      <c r="A53" s="66">
        <v>368125</v>
      </c>
      <c r="B53" s="66" t="s">
        <v>156</v>
      </c>
      <c r="C53" s="66" t="s">
        <v>291</v>
      </c>
      <c r="D53" s="79" t="s">
        <v>201</v>
      </c>
      <c r="E53" s="76">
        <v>216</v>
      </c>
      <c r="F53" s="76" t="s">
        <v>121</v>
      </c>
      <c r="G53" s="76">
        <v>216</v>
      </c>
      <c r="H53" s="76">
        <v>216</v>
      </c>
      <c r="I53" s="76"/>
      <c r="J53" s="435"/>
      <c r="K53" s="435"/>
    </row>
    <row r="54" spans="1:11" s="79" customFormat="1" ht="13.5" customHeight="1">
      <c r="A54" s="66">
        <v>368126</v>
      </c>
      <c r="B54" s="66" t="s">
        <v>83</v>
      </c>
      <c r="C54" s="66" t="s">
        <v>291</v>
      </c>
      <c r="D54" s="79" t="s">
        <v>202</v>
      </c>
      <c r="E54" s="76">
        <v>72</v>
      </c>
      <c r="F54" s="76" t="s">
        <v>121</v>
      </c>
      <c r="G54" s="76">
        <v>72</v>
      </c>
      <c r="H54" s="76">
        <v>72</v>
      </c>
      <c r="I54" s="76"/>
      <c r="J54" s="435"/>
      <c r="K54" s="435"/>
    </row>
    <row r="55" spans="1:11" s="79" customFormat="1" ht="13.5" customHeight="1">
      <c r="A55" s="66">
        <v>368127</v>
      </c>
      <c r="B55" s="66" t="s">
        <v>79</v>
      </c>
      <c r="C55" s="66" t="s">
        <v>291</v>
      </c>
      <c r="D55" s="79" t="s">
        <v>203</v>
      </c>
      <c r="E55" s="76">
        <v>144</v>
      </c>
      <c r="F55" s="76" t="s">
        <v>121</v>
      </c>
      <c r="G55" s="76">
        <v>144</v>
      </c>
      <c r="H55" s="76">
        <v>144</v>
      </c>
      <c r="I55" s="76"/>
      <c r="J55" s="435"/>
      <c r="K55" s="435"/>
    </row>
    <row r="56" spans="1:11" s="79" customFormat="1" ht="13.5" customHeight="1">
      <c r="A56" s="66">
        <v>368128</v>
      </c>
      <c r="B56" s="66" t="s">
        <v>79</v>
      </c>
      <c r="C56" s="66" t="s">
        <v>291</v>
      </c>
      <c r="D56" s="79" t="s">
        <v>204</v>
      </c>
      <c r="E56" s="76">
        <v>72</v>
      </c>
      <c r="F56" s="76" t="s">
        <v>121</v>
      </c>
      <c r="G56" s="76">
        <v>72</v>
      </c>
      <c r="H56" s="76">
        <v>72</v>
      </c>
      <c r="I56" s="76"/>
      <c r="J56" s="435"/>
      <c r="K56" s="435"/>
    </row>
    <row r="57" spans="1:11" s="79" customFormat="1" ht="13.5" customHeight="1">
      <c r="A57" s="66">
        <v>368248</v>
      </c>
      <c r="B57" s="66" t="s">
        <v>79</v>
      </c>
      <c r="C57" s="66" t="s">
        <v>290</v>
      </c>
      <c r="D57" s="79" t="s">
        <v>436</v>
      </c>
      <c r="E57" s="76">
        <v>1776</v>
      </c>
      <c r="F57" s="76" t="s">
        <v>539</v>
      </c>
      <c r="G57" s="76" t="s">
        <v>559</v>
      </c>
      <c r="H57" s="76">
        <v>1800</v>
      </c>
      <c r="I57" s="76"/>
      <c r="J57" s="435"/>
      <c r="K57" s="435"/>
    </row>
    <row r="58" spans="1:11" s="79" customFormat="1" ht="13.5" customHeight="1">
      <c r="A58" s="66">
        <v>368250</v>
      </c>
      <c r="B58" s="66" t="s">
        <v>88</v>
      </c>
      <c r="C58" s="66" t="s">
        <v>290</v>
      </c>
      <c r="D58" s="79" t="s">
        <v>437</v>
      </c>
      <c r="E58" s="76">
        <v>7992</v>
      </c>
      <c r="F58" s="76" t="s">
        <v>541</v>
      </c>
      <c r="G58" s="76" t="s">
        <v>559</v>
      </c>
      <c r="H58" s="76">
        <v>8000</v>
      </c>
      <c r="I58" s="76"/>
      <c r="J58" s="435"/>
      <c r="K58" s="435"/>
    </row>
    <row r="59" spans="1:11" s="79" customFormat="1" ht="13.5" customHeight="1">
      <c r="A59" s="66">
        <v>368252</v>
      </c>
      <c r="B59" s="66" t="s">
        <v>88</v>
      </c>
      <c r="C59" s="66" t="s">
        <v>290</v>
      </c>
      <c r="D59" s="79" t="s">
        <v>438</v>
      </c>
      <c r="E59" s="76">
        <v>7992</v>
      </c>
      <c r="F59" s="76" t="s">
        <v>339</v>
      </c>
      <c r="G59" s="76" t="s">
        <v>359</v>
      </c>
      <c r="H59" s="76">
        <v>8000</v>
      </c>
      <c r="I59" s="76"/>
      <c r="J59" s="435"/>
      <c r="K59" s="435"/>
    </row>
    <row r="60" spans="1:11" s="79" customFormat="1" ht="13.5" customHeight="1">
      <c r="A60" s="66">
        <v>368255</v>
      </c>
      <c r="B60" s="66" t="s">
        <v>88</v>
      </c>
      <c r="C60" s="66" t="s">
        <v>290</v>
      </c>
      <c r="D60" s="79" t="s">
        <v>466</v>
      </c>
      <c r="E60" s="76">
        <v>42624</v>
      </c>
      <c r="F60" s="76" t="s">
        <v>342</v>
      </c>
      <c r="G60" s="76" t="s">
        <v>360</v>
      </c>
      <c r="H60" s="76">
        <v>44000</v>
      </c>
      <c r="I60" s="76"/>
      <c r="J60" s="435"/>
      <c r="K60" s="435"/>
    </row>
    <row r="61" spans="1:11" s="79" customFormat="1" ht="13.5" customHeight="1">
      <c r="A61" s="66">
        <v>368257</v>
      </c>
      <c r="B61" s="66" t="s">
        <v>88</v>
      </c>
      <c r="C61" s="66" t="s">
        <v>290</v>
      </c>
      <c r="D61" s="79" t="s">
        <v>466</v>
      </c>
      <c r="E61" s="76">
        <v>5328</v>
      </c>
      <c r="F61" s="76" t="s">
        <v>343</v>
      </c>
      <c r="G61" s="76" t="s">
        <v>361</v>
      </c>
      <c r="H61" s="76">
        <v>5400</v>
      </c>
      <c r="I61" s="76"/>
      <c r="J61" s="435"/>
      <c r="K61" s="435"/>
    </row>
    <row r="62" spans="1:11" s="79" customFormat="1" ht="13.5" customHeight="1">
      <c r="A62" s="66">
        <v>368259</v>
      </c>
      <c r="B62" s="66" t="s">
        <v>79</v>
      </c>
      <c r="C62" s="66" t="s">
        <v>290</v>
      </c>
      <c r="D62" s="79" t="s">
        <v>496</v>
      </c>
      <c r="E62" s="76">
        <v>47952</v>
      </c>
      <c r="F62" s="76" t="s">
        <v>334</v>
      </c>
      <c r="G62" s="76" t="s">
        <v>37</v>
      </c>
      <c r="H62" s="76">
        <v>48500</v>
      </c>
      <c r="I62" s="76"/>
      <c r="J62" s="435"/>
      <c r="K62" s="435"/>
    </row>
    <row r="63" spans="1:11" s="468" customFormat="1" ht="27.75" customHeight="1">
      <c r="A63" s="486">
        <v>368261</v>
      </c>
      <c r="B63" s="486" t="s">
        <v>79</v>
      </c>
      <c r="C63" s="486" t="s">
        <v>290</v>
      </c>
      <c r="D63" s="487" t="s">
        <v>610</v>
      </c>
      <c r="E63" s="472">
        <v>296</v>
      </c>
      <c r="F63" s="472" t="s">
        <v>340</v>
      </c>
      <c r="G63" s="472" t="s">
        <v>608</v>
      </c>
      <c r="H63" s="472" t="s">
        <v>609</v>
      </c>
      <c r="I63" s="469"/>
      <c r="J63" s="471"/>
      <c r="K63" s="471"/>
    </row>
    <row r="64" spans="1:11" s="417" customFormat="1" ht="13.5" customHeight="1">
      <c r="A64" s="416">
        <v>368271</v>
      </c>
      <c r="B64" s="416" t="s">
        <v>79</v>
      </c>
      <c r="C64" s="66" t="s">
        <v>286</v>
      </c>
      <c r="D64" s="417" t="s">
        <v>515</v>
      </c>
      <c r="E64" s="76">
        <v>37.61666666666667</v>
      </c>
      <c r="F64" s="76" t="s">
        <v>335</v>
      </c>
      <c r="G64" s="76">
        <v>40</v>
      </c>
      <c r="H64" s="76">
        <v>40</v>
      </c>
      <c r="I64" s="76"/>
      <c r="J64" s="435"/>
      <c r="K64" s="437"/>
    </row>
    <row r="65" spans="1:11" s="79" customFormat="1" ht="13.5" customHeight="1">
      <c r="A65" s="66">
        <v>368280</v>
      </c>
      <c r="B65" s="66" t="s">
        <v>88</v>
      </c>
      <c r="C65" s="66" t="s">
        <v>290</v>
      </c>
      <c r="D65" s="79" t="s">
        <v>440</v>
      </c>
      <c r="E65" s="324">
        <v>13.32</v>
      </c>
      <c r="F65" s="324" t="s">
        <v>350</v>
      </c>
      <c r="G65" s="324" t="s">
        <v>362</v>
      </c>
      <c r="H65" s="76">
        <v>14</v>
      </c>
      <c r="I65" s="76"/>
      <c r="J65" s="436"/>
      <c r="K65" s="435"/>
    </row>
    <row r="66" spans="1:11" s="79" customFormat="1" ht="13.5" customHeight="1">
      <c r="A66" s="66">
        <v>368282</v>
      </c>
      <c r="B66" s="66" t="s">
        <v>88</v>
      </c>
      <c r="C66" s="66" t="s">
        <v>290</v>
      </c>
      <c r="D66" s="79" t="s">
        <v>441</v>
      </c>
      <c r="E66" s="76">
        <v>7992</v>
      </c>
      <c r="F66" s="76" t="s">
        <v>541</v>
      </c>
      <c r="G66" s="76" t="s">
        <v>559</v>
      </c>
      <c r="H66" s="76">
        <v>8000</v>
      </c>
      <c r="I66" s="76"/>
      <c r="J66" s="436"/>
      <c r="K66" s="435"/>
    </row>
    <row r="67" spans="1:11" s="79" customFormat="1" ht="13.5" customHeight="1">
      <c r="A67" s="66">
        <v>368283</v>
      </c>
      <c r="B67" s="66" t="s">
        <v>88</v>
      </c>
      <c r="C67" s="66" t="s">
        <v>290</v>
      </c>
      <c r="D67" s="79" t="s">
        <v>442</v>
      </c>
      <c r="E67" s="76">
        <v>3996</v>
      </c>
      <c r="F67" s="76" t="s">
        <v>340</v>
      </c>
      <c r="G67" s="76" t="s">
        <v>571</v>
      </c>
      <c r="H67" s="76">
        <v>4100</v>
      </c>
      <c r="I67" s="76"/>
      <c r="J67" s="436"/>
      <c r="K67" s="435"/>
    </row>
    <row r="68" spans="1:11" s="417" customFormat="1" ht="13.5" customHeight="1">
      <c r="A68" s="416">
        <v>368286</v>
      </c>
      <c r="B68" s="416" t="s">
        <v>79</v>
      </c>
      <c r="C68" s="66" t="s">
        <v>286</v>
      </c>
      <c r="D68" s="417" t="s">
        <v>515</v>
      </c>
      <c r="E68" s="76">
        <v>74</v>
      </c>
      <c r="F68" s="76" t="s">
        <v>335</v>
      </c>
      <c r="G68" s="76">
        <v>75</v>
      </c>
      <c r="H68" s="76">
        <v>75</v>
      </c>
      <c r="I68" s="76"/>
      <c r="J68" s="435"/>
      <c r="K68" s="437"/>
    </row>
    <row r="69" spans="1:11" s="79" customFormat="1" ht="15.75" customHeight="1">
      <c r="A69" s="66">
        <v>368288</v>
      </c>
      <c r="B69" s="66" t="s">
        <v>79</v>
      </c>
      <c r="C69" s="66" t="s">
        <v>290</v>
      </c>
      <c r="D69" s="79" t="s">
        <v>443</v>
      </c>
      <c r="E69" s="76">
        <v>45.88</v>
      </c>
      <c r="F69" s="76" t="s">
        <v>186</v>
      </c>
      <c r="G69" s="424" t="s">
        <v>185</v>
      </c>
      <c r="H69" s="424" t="s">
        <v>185</v>
      </c>
      <c r="I69" s="424"/>
      <c r="J69" s="436"/>
      <c r="K69" s="435"/>
    </row>
    <row r="70" spans="1:11" s="79" customFormat="1" ht="13.5" customHeight="1">
      <c r="A70" s="66">
        <v>368289</v>
      </c>
      <c r="B70" s="66" t="s">
        <v>79</v>
      </c>
      <c r="C70" s="66" t="s">
        <v>290</v>
      </c>
      <c r="D70" s="406" t="s">
        <v>444</v>
      </c>
      <c r="E70" s="407" t="s">
        <v>187</v>
      </c>
      <c r="F70" s="407" t="s">
        <v>573</v>
      </c>
      <c r="G70" s="407" t="s">
        <v>574</v>
      </c>
      <c r="H70" s="407" t="s">
        <v>188</v>
      </c>
      <c r="I70" s="407"/>
      <c r="J70" s="436"/>
      <c r="K70" s="435"/>
    </row>
    <row r="71" spans="1:11" s="79" customFormat="1" ht="13.5" customHeight="1">
      <c r="A71" s="66">
        <v>368291</v>
      </c>
      <c r="B71" s="66" t="s">
        <v>88</v>
      </c>
      <c r="C71" s="66" t="s">
        <v>290</v>
      </c>
      <c r="D71" s="406" t="s">
        <v>445</v>
      </c>
      <c r="E71" s="76">
        <v>148</v>
      </c>
      <c r="F71" s="76" t="s">
        <v>116</v>
      </c>
      <c r="G71" s="76" t="s">
        <v>65</v>
      </c>
      <c r="H71" s="76">
        <v>50</v>
      </c>
      <c r="I71" s="76"/>
      <c r="J71" s="436"/>
      <c r="K71" s="435"/>
    </row>
    <row r="72" spans="1:11" s="408" customFormat="1" ht="13.5" customHeight="1">
      <c r="A72" s="76">
        <v>368300</v>
      </c>
      <c r="B72" s="324" t="s">
        <v>79</v>
      </c>
      <c r="C72" s="324" t="s">
        <v>290</v>
      </c>
      <c r="D72" s="408" t="s">
        <v>446</v>
      </c>
      <c r="E72" s="324">
        <v>164.44444444444446</v>
      </c>
      <c r="F72" s="324" t="s">
        <v>116</v>
      </c>
      <c r="G72" s="324" t="s">
        <v>364</v>
      </c>
      <c r="H72" s="76">
        <v>170</v>
      </c>
      <c r="I72" s="76"/>
      <c r="J72" s="436"/>
      <c r="K72" s="435"/>
    </row>
    <row r="73" spans="1:11" s="79" customFormat="1" ht="13.5" customHeight="1">
      <c r="A73" s="66">
        <v>368304</v>
      </c>
      <c r="B73" s="66" t="s">
        <v>83</v>
      </c>
      <c r="C73" s="66" t="s">
        <v>290</v>
      </c>
      <c r="D73" s="79" t="s">
        <v>447</v>
      </c>
      <c r="E73" s="239">
        <v>7.175757575757576</v>
      </c>
      <c r="F73" s="239" t="s">
        <v>116</v>
      </c>
      <c r="G73" s="239" t="s">
        <v>363</v>
      </c>
      <c r="H73" s="76">
        <v>8</v>
      </c>
      <c r="I73" s="76"/>
      <c r="J73" s="435"/>
      <c r="K73" s="435"/>
    </row>
    <row r="74" spans="1:11" s="79" customFormat="1" ht="13.5" customHeight="1">
      <c r="A74" s="66">
        <v>368305</v>
      </c>
      <c r="B74" s="66" t="s">
        <v>83</v>
      </c>
      <c r="C74" s="66" t="s">
        <v>290</v>
      </c>
      <c r="D74" s="79" t="s">
        <v>448</v>
      </c>
      <c r="E74" s="76">
        <v>3404</v>
      </c>
      <c r="F74" s="76" t="s">
        <v>567</v>
      </c>
      <c r="G74" s="76" t="s">
        <v>559</v>
      </c>
      <c r="H74" s="76">
        <v>3450</v>
      </c>
      <c r="I74" s="76"/>
      <c r="J74" s="435"/>
      <c r="K74" s="435"/>
    </row>
    <row r="75" spans="1:11" s="79" customFormat="1" ht="13.5" customHeight="1">
      <c r="A75" s="66">
        <v>368307</v>
      </c>
      <c r="B75" s="66" t="s">
        <v>157</v>
      </c>
      <c r="C75" s="66" t="s">
        <v>290</v>
      </c>
      <c r="D75" s="79" t="s">
        <v>499</v>
      </c>
      <c r="E75" s="76">
        <v>2664</v>
      </c>
      <c r="F75" s="76" t="s">
        <v>552</v>
      </c>
      <c r="G75" s="76" t="s">
        <v>553</v>
      </c>
      <c r="H75" s="76">
        <v>2800</v>
      </c>
      <c r="I75" s="76"/>
      <c r="J75" s="435"/>
      <c r="K75" s="435"/>
    </row>
    <row r="76" spans="1:11" s="79" customFormat="1" ht="13.5" customHeight="1">
      <c r="A76" s="66">
        <v>368328</v>
      </c>
      <c r="B76" s="66" t="s">
        <v>79</v>
      </c>
      <c r="C76" s="66" t="s">
        <v>290</v>
      </c>
      <c r="D76" s="79" t="s">
        <v>414</v>
      </c>
      <c r="E76" s="76">
        <v>888</v>
      </c>
      <c r="F76" s="76" t="s">
        <v>555</v>
      </c>
      <c r="G76" s="76" t="s">
        <v>559</v>
      </c>
      <c r="H76" s="76">
        <v>1000</v>
      </c>
      <c r="I76" s="76"/>
      <c r="J76" s="435"/>
      <c r="K76" s="435"/>
    </row>
    <row r="77" spans="1:11" s="417" customFormat="1" ht="13.5" customHeight="1">
      <c r="A77" s="418">
        <v>368341</v>
      </c>
      <c r="B77" s="418" t="s">
        <v>79</v>
      </c>
      <c r="C77" s="66" t="s">
        <v>286</v>
      </c>
      <c r="D77" s="417" t="s">
        <v>515</v>
      </c>
      <c r="E77" s="76">
        <v>740</v>
      </c>
      <c r="F77" s="76" t="s">
        <v>335</v>
      </c>
      <c r="G77" s="76">
        <v>740</v>
      </c>
      <c r="H77" s="76">
        <v>740</v>
      </c>
      <c r="I77" s="76"/>
      <c r="J77" s="435"/>
      <c r="K77" s="437"/>
    </row>
    <row r="78" spans="1:11" s="79" customFormat="1" ht="13.5" customHeight="1">
      <c r="A78" s="66">
        <v>368386</v>
      </c>
      <c r="B78" s="66" t="s">
        <v>79</v>
      </c>
      <c r="C78" s="66" t="s">
        <v>291</v>
      </c>
      <c r="D78" s="79" t="s">
        <v>288</v>
      </c>
      <c r="E78" s="76">
        <v>74</v>
      </c>
      <c r="F78" s="76" t="s">
        <v>335</v>
      </c>
      <c r="G78" s="76">
        <v>74</v>
      </c>
      <c r="H78" s="76">
        <v>74</v>
      </c>
      <c r="I78" s="76"/>
      <c r="J78" s="435"/>
      <c r="K78" s="435"/>
    </row>
    <row r="79" spans="1:11" s="79" customFormat="1" ht="13.5" customHeight="1">
      <c r="A79" s="66">
        <v>368388</v>
      </c>
      <c r="B79" s="66" t="s">
        <v>79</v>
      </c>
      <c r="C79" s="66" t="s">
        <v>291</v>
      </c>
      <c r="D79" s="79" t="s">
        <v>449</v>
      </c>
      <c r="E79" s="76">
        <v>444</v>
      </c>
      <c r="F79" s="76" t="s">
        <v>335</v>
      </c>
      <c r="G79" s="76">
        <v>444</v>
      </c>
      <c r="H79" s="76">
        <v>444</v>
      </c>
      <c r="I79" s="76"/>
      <c r="J79" s="435"/>
      <c r="K79" s="435"/>
    </row>
    <row r="80" spans="1:11" s="79" customFormat="1" ht="13.5" customHeight="1">
      <c r="A80" s="66">
        <v>368390</v>
      </c>
      <c r="B80" s="66" t="s">
        <v>79</v>
      </c>
      <c r="C80" s="66" t="s">
        <v>291</v>
      </c>
      <c r="D80" s="79" t="s">
        <v>450</v>
      </c>
      <c r="E80" s="76">
        <v>444</v>
      </c>
      <c r="F80" s="76" t="s">
        <v>335</v>
      </c>
      <c r="G80" s="76">
        <v>444</v>
      </c>
      <c r="H80" s="76">
        <v>444</v>
      </c>
      <c r="I80" s="76"/>
      <c r="J80" s="435"/>
      <c r="K80" s="435"/>
    </row>
    <row r="81" spans="1:11" s="79" customFormat="1" ht="13.5" customHeight="1">
      <c r="A81" s="66">
        <v>368392</v>
      </c>
      <c r="B81" s="66" t="s">
        <v>79</v>
      </c>
      <c r="C81" s="66" t="s">
        <v>291</v>
      </c>
      <c r="D81" s="79" t="s">
        <v>451</v>
      </c>
      <c r="E81" s="76">
        <v>444</v>
      </c>
      <c r="F81" s="76" t="s">
        <v>335</v>
      </c>
      <c r="G81" s="76">
        <v>444</v>
      </c>
      <c r="H81" s="76">
        <v>444</v>
      </c>
      <c r="I81" s="76"/>
      <c r="J81" s="435"/>
      <c r="K81" s="435"/>
    </row>
    <row r="82" spans="1:11" s="79" customFormat="1" ht="13.5" customHeight="1">
      <c r="A82" s="66">
        <v>368394</v>
      </c>
      <c r="B82" s="66" t="s">
        <v>79</v>
      </c>
      <c r="C82" s="66" t="s">
        <v>291</v>
      </c>
      <c r="D82" s="79" t="s">
        <v>452</v>
      </c>
      <c r="E82" s="76">
        <v>444</v>
      </c>
      <c r="F82" s="76" t="s">
        <v>335</v>
      </c>
      <c r="G82" s="76">
        <v>444</v>
      </c>
      <c r="H82" s="76">
        <v>444</v>
      </c>
      <c r="I82" s="76"/>
      <c r="J82" s="435"/>
      <c r="K82" s="435"/>
    </row>
    <row r="83" spans="1:11" s="79" customFormat="1" ht="13.5" customHeight="1">
      <c r="A83" s="66">
        <v>368396</v>
      </c>
      <c r="B83" s="66" t="s">
        <v>79</v>
      </c>
      <c r="C83" s="66" t="s">
        <v>291</v>
      </c>
      <c r="D83" s="79" t="s">
        <v>453</v>
      </c>
      <c r="E83" s="76">
        <v>444</v>
      </c>
      <c r="F83" s="76" t="s">
        <v>335</v>
      </c>
      <c r="G83" s="76">
        <v>444</v>
      </c>
      <c r="H83" s="76">
        <v>444</v>
      </c>
      <c r="I83" s="76"/>
      <c r="J83" s="435"/>
      <c r="K83" s="435"/>
    </row>
    <row r="84" spans="1:11" s="79" customFormat="1" ht="13.5" customHeight="1">
      <c r="A84" s="66">
        <v>368398</v>
      </c>
      <c r="B84" s="66" t="s">
        <v>79</v>
      </c>
      <c r="C84" s="66" t="s">
        <v>291</v>
      </c>
      <c r="D84" s="79" t="s">
        <v>454</v>
      </c>
      <c r="E84" s="76">
        <v>444</v>
      </c>
      <c r="F84" s="76" t="s">
        <v>335</v>
      </c>
      <c r="G84" s="76">
        <v>444</v>
      </c>
      <c r="H84" s="76">
        <v>444</v>
      </c>
      <c r="I84" s="76"/>
      <c r="J84" s="435"/>
      <c r="K84" s="435"/>
    </row>
    <row r="85" spans="1:11" s="79" customFormat="1" ht="11.25" customHeight="1">
      <c r="A85" s="66">
        <v>368400</v>
      </c>
      <c r="B85" s="66" t="s">
        <v>83</v>
      </c>
      <c r="C85" s="66" t="s">
        <v>291</v>
      </c>
      <c r="D85" s="79" t="s">
        <v>455</v>
      </c>
      <c r="E85" s="76">
        <v>444</v>
      </c>
      <c r="F85" s="76" t="s">
        <v>335</v>
      </c>
      <c r="G85" s="76">
        <v>444</v>
      </c>
      <c r="H85" s="76">
        <v>444</v>
      </c>
      <c r="I85" s="76"/>
      <c r="J85" s="435"/>
      <c r="K85" s="435"/>
    </row>
    <row r="86" spans="1:11" s="79" customFormat="1" ht="13.5" customHeight="1">
      <c r="A86" s="66">
        <v>368401</v>
      </c>
      <c r="B86" s="66" t="s">
        <v>157</v>
      </c>
      <c r="C86" s="66" t="s">
        <v>291</v>
      </c>
      <c r="D86" s="79" t="s">
        <v>455</v>
      </c>
      <c r="E86" s="76">
        <v>148</v>
      </c>
      <c r="F86" s="76" t="s">
        <v>335</v>
      </c>
      <c r="G86" s="76">
        <v>148</v>
      </c>
      <c r="H86" s="76">
        <v>148</v>
      </c>
      <c r="I86" s="76"/>
      <c r="J86" s="435"/>
      <c r="K86" s="435"/>
    </row>
    <row r="87" spans="1:11" s="79" customFormat="1" ht="13.5" customHeight="1">
      <c r="A87" s="66">
        <v>368402</v>
      </c>
      <c r="B87" s="66" t="s">
        <v>83</v>
      </c>
      <c r="C87" s="66" t="s">
        <v>291</v>
      </c>
      <c r="D87" s="79" t="s">
        <v>455</v>
      </c>
      <c r="E87" s="76">
        <v>444</v>
      </c>
      <c r="F87" s="76" t="s">
        <v>335</v>
      </c>
      <c r="G87" s="76">
        <v>444</v>
      </c>
      <c r="H87" s="76">
        <v>444</v>
      </c>
      <c r="I87" s="76"/>
      <c r="J87" s="435"/>
      <c r="K87" s="435"/>
    </row>
    <row r="88" spans="1:11" s="79" customFormat="1" ht="13.5" customHeight="1">
      <c r="A88" s="66">
        <v>368403</v>
      </c>
      <c r="B88" s="66" t="s">
        <v>83</v>
      </c>
      <c r="C88" s="66" t="s">
        <v>291</v>
      </c>
      <c r="D88" s="79" t="s">
        <v>455</v>
      </c>
      <c r="E88" s="76">
        <v>444</v>
      </c>
      <c r="F88" s="76" t="s">
        <v>335</v>
      </c>
      <c r="G88" s="76">
        <v>444</v>
      </c>
      <c r="H88" s="76">
        <v>444</v>
      </c>
      <c r="I88" s="76"/>
      <c r="J88" s="435"/>
      <c r="K88" s="435"/>
    </row>
    <row r="89" spans="1:11" s="79" customFormat="1" ht="13.5" customHeight="1">
      <c r="A89" s="66">
        <v>368404</v>
      </c>
      <c r="B89" s="66" t="s">
        <v>157</v>
      </c>
      <c r="C89" s="66" t="s">
        <v>291</v>
      </c>
      <c r="D89" s="79" t="s">
        <v>455</v>
      </c>
      <c r="E89" s="76">
        <v>296</v>
      </c>
      <c r="F89" s="76" t="s">
        <v>335</v>
      </c>
      <c r="G89" s="76">
        <v>296</v>
      </c>
      <c r="H89" s="76">
        <v>296</v>
      </c>
      <c r="I89" s="76"/>
      <c r="J89" s="435"/>
      <c r="K89" s="435"/>
    </row>
    <row r="90" spans="1:11" s="79" customFormat="1" ht="13.5" customHeight="1">
      <c r="A90" s="66">
        <v>368405</v>
      </c>
      <c r="B90" s="66" t="s">
        <v>79</v>
      </c>
      <c r="C90" s="66" t="s">
        <v>291</v>
      </c>
      <c r="D90" s="79" t="s">
        <v>456</v>
      </c>
      <c r="E90" s="76">
        <v>296</v>
      </c>
      <c r="F90" s="76" t="s">
        <v>335</v>
      </c>
      <c r="G90" s="76">
        <v>296</v>
      </c>
      <c r="H90" s="76">
        <v>296</v>
      </c>
      <c r="I90" s="76"/>
      <c r="J90" s="435"/>
      <c r="K90" s="435"/>
    </row>
    <row r="91" spans="1:11" s="79" customFormat="1" ht="13.5" customHeight="1">
      <c r="A91" s="66">
        <v>368406</v>
      </c>
      <c r="B91" s="66" t="s">
        <v>79</v>
      </c>
      <c r="C91" s="66" t="s">
        <v>291</v>
      </c>
      <c r="D91" s="79" t="s">
        <v>456</v>
      </c>
      <c r="E91" s="76">
        <v>592</v>
      </c>
      <c r="F91" s="76" t="s">
        <v>335</v>
      </c>
      <c r="G91" s="76">
        <v>592</v>
      </c>
      <c r="H91" s="76">
        <v>592</v>
      </c>
      <c r="I91" s="76"/>
      <c r="J91" s="435"/>
      <c r="K91" s="435"/>
    </row>
    <row r="92" spans="1:11" s="79" customFormat="1" ht="13.5" customHeight="1">
      <c r="A92" s="66">
        <v>368420</v>
      </c>
      <c r="B92" s="66" t="s">
        <v>79</v>
      </c>
      <c r="C92" s="66" t="s">
        <v>291</v>
      </c>
      <c r="D92" s="79" t="s">
        <v>249</v>
      </c>
      <c r="E92" s="76">
        <v>74</v>
      </c>
      <c r="F92" s="76" t="s">
        <v>335</v>
      </c>
      <c r="G92" s="76">
        <v>74</v>
      </c>
      <c r="H92" s="76">
        <v>74</v>
      </c>
      <c r="I92" s="76"/>
      <c r="J92" s="435"/>
      <c r="K92" s="435"/>
    </row>
    <row r="93" spans="1:11" s="79" customFormat="1" ht="13.5" customHeight="1">
      <c r="A93" s="66">
        <v>368421</v>
      </c>
      <c r="B93" s="66" t="s">
        <v>83</v>
      </c>
      <c r="C93" s="66" t="s">
        <v>291</v>
      </c>
      <c r="D93" s="79" t="s">
        <v>250</v>
      </c>
      <c r="E93" s="76">
        <v>74</v>
      </c>
      <c r="F93" s="76" t="s">
        <v>335</v>
      </c>
      <c r="G93" s="76">
        <v>74</v>
      </c>
      <c r="H93" s="76">
        <v>74</v>
      </c>
      <c r="I93" s="76"/>
      <c r="J93" s="435"/>
      <c r="K93" s="435"/>
    </row>
    <row r="94" spans="1:11" s="79" customFormat="1" ht="13.5" customHeight="1">
      <c r="A94" s="66">
        <v>368424</v>
      </c>
      <c r="B94" s="66" t="s">
        <v>88</v>
      </c>
      <c r="C94" s="66" t="s">
        <v>290</v>
      </c>
      <c r="D94" s="79" t="s">
        <v>457</v>
      </c>
      <c r="E94" s="76">
        <v>82.22222222222223</v>
      </c>
      <c r="F94" s="76" t="s">
        <v>116</v>
      </c>
      <c r="G94" s="76" t="s">
        <v>412</v>
      </c>
      <c r="H94" s="76">
        <v>90</v>
      </c>
      <c r="I94" s="76"/>
      <c r="J94" s="435"/>
      <c r="K94" s="435"/>
    </row>
    <row r="95" spans="1:11" s="79" customFormat="1" ht="13.5" customHeight="1">
      <c r="A95" s="66">
        <v>368461</v>
      </c>
      <c r="B95" s="66" t="s">
        <v>88</v>
      </c>
      <c r="C95" s="66" t="s">
        <v>290</v>
      </c>
      <c r="D95" s="79" t="s">
        <v>516</v>
      </c>
      <c r="E95" s="239">
        <v>9.107692307692307</v>
      </c>
      <c r="F95" s="239" t="s">
        <v>116</v>
      </c>
      <c r="G95" s="76" t="s">
        <v>413</v>
      </c>
      <c r="H95" s="76">
        <v>12</v>
      </c>
      <c r="I95" s="76"/>
      <c r="J95" s="437"/>
      <c r="K95" s="435"/>
    </row>
    <row r="96" spans="1:11" s="79" customFormat="1" ht="13.5" customHeight="1">
      <c r="A96" s="66">
        <v>368523</v>
      </c>
      <c r="B96" s="66" t="s">
        <v>79</v>
      </c>
      <c r="C96" s="66" t="s">
        <v>290</v>
      </c>
      <c r="D96" s="79" t="s">
        <v>148</v>
      </c>
      <c r="E96" s="76">
        <v>148</v>
      </c>
      <c r="F96" s="76" t="s">
        <v>335</v>
      </c>
      <c r="G96" s="76">
        <v>150</v>
      </c>
      <c r="H96" s="76">
        <v>150</v>
      </c>
      <c r="I96" s="76"/>
      <c r="J96" s="435"/>
      <c r="K96" s="435"/>
    </row>
    <row r="97" spans="1:11" s="79" customFormat="1" ht="13.5" customHeight="1">
      <c r="A97" s="66">
        <v>368524</v>
      </c>
      <c r="B97" s="66" t="s">
        <v>79</v>
      </c>
      <c r="C97" s="66" t="s">
        <v>290</v>
      </c>
      <c r="D97" s="79" t="s">
        <v>149</v>
      </c>
      <c r="E97" s="76">
        <v>148</v>
      </c>
      <c r="F97" s="76" t="s">
        <v>335</v>
      </c>
      <c r="G97" s="76">
        <v>150</v>
      </c>
      <c r="H97" s="76">
        <v>150</v>
      </c>
      <c r="I97" s="76"/>
      <c r="J97" s="435"/>
      <c r="K97" s="435"/>
    </row>
    <row r="98" spans="1:11" s="79" customFormat="1" ht="13.5" customHeight="1">
      <c r="A98" s="66">
        <v>368525</v>
      </c>
      <c r="B98" s="66" t="s">
        <v>88</v>
      </c>
      <c r="C98" s="66" t="s">
        <v>290</v>
      </c>
      <c r="D98" s="79" t="s">
        <v>458</v>
      </c>
      <c r="E98" s="76">
        <v>592</v>
      </c>
      <c r="F98" s="76" t="s">
        <v>560</v>
      </c>
      <c r="G98" s="76" t="s">
        <v>559</v>
      </c>
      <c r="H98" s="76">
        <v>600</v>
      </c>
      <c r="I98" s="76"/>
      <c r="J98" s="435"/>
      <c r="K98" s="435"/>
    </row>
    <row r="99" spans="1:11" s="79" customFormat="1" ht="13.5" customHeight="1">
      <c r="A99" s="66">
        <v>368526</v>
      </c>
      <c r="B99" s="66" t="s">
        <v>79</v>
      </c>
      <c r="C99" s="66" t="s">
        <v>290</v>
      </c>
      <c r="D99" s="79" t="s">
        <v>459</v>
      </c>
      <c r="E99" s="76">
        <v>148</v>
      </c>
      <c r="F99" s="76" t="s">
        <v>344</v>
      </c>
      <c r="G99" s="76" t="s">
        <v>366</v>
      </c>
      <c r="H99" s="76">
        <v>150</v>
      </c>
      <c r="I99" s="76"/>
      <c r="J99" s="435"/>
      <c r="K99" s="435"/>
    </row>
    <row r="100" spans="1:11" s="79" customFormat="1" ht="13.5" customHeight="1">
      <c r="A100" s="66">
        <v>368529</v>
      </c>
      <c r="B100" s="66" t="s">
        <v>79</v>
      </c>
      <c r="C100" s="66" t="s">
        <v>290</v>
      </c>
      <c r="D100" s="79" t="s">
        <v>45</v>
      </c>
      <c r="E100" s="76">
        <v>148</v>
      </c>
      <c r="F100" s="76" t="s">
        <v>335</v>
      </c>
      <c r="G100" s="76">
        <v>150</v>
      </c>
      <c r="H100" s="76">
        <v>150</v>
      </c>
      <c r="I100" s="76"/>
      <c r="J100" s="435"/>
      <c r="K100" s="435"/>
    </row>
    <row r="101" spans="1:11" s="79" customFormat="1" ht="13.5" customHeight="1">
      <c r="A101" s="66">
        <v>368530</v>
      </c>
      <c r="B101" s="66" t="s">
        <v>88</v>
      </c>
      <c r="C101" s="66" t="s">
        <v>290</v>
      </c>
      <c r="D101" s="79" t="s">
        <v>517</v>
      </c>
      <c r="E101" s="76">
        <v>148</v>
      </c>
      <c r="F101" s="76" t="s">
        <v>335</v>
      </c>
      <c r="G101" s="76">
        <v>150</v>
      </c>
      <c r="H101" s="76">
        <v>150</v>
      </c>
      <c r="I101" s="76"/>
      <c r="J101" s="435"/>
      <c r="K101" s="435"/>
    </row>
    <row r="102" spans="1:11" s="409" customFormat="1" ht="13.5" customHeight="1">
      <c r="A102" s="66">
        <v>368671</v>
      </c>
      <c r="B102" s="66" t="s">
        <v>88</v>
      </c>
      <c r="C102" s="405" t="s">
        <v>290</v>
      </c>
      <c r="D102" s="79" t="s">
        <v>460</v>
      </c>
      <c r="E102" s="239">
        <v>2.96</v>
      </c>
      <c r="F102" s="239" t="s">
        <v>118</v>
      </c>
      <c r="G102" s="76" t="s">
        <v>390</v>
      </c>
      <c r="H102" s="76">
        <v>2</v>
      </c>
      <c r="I102" s="76"/>
      <c r="J102" s="435"/>
      <c r="K102" s="434"/>
    </row>
    <row r="103" spans="1:11" s="409" customFormat="1" ht="13.5" customHeight="1">
      <c r="A103" s="66">
        <v>368673</v>
      </c>
      <c r="B103" s="66" t="s">
        <v>88</v>
      </c>
      <c r="C103" s="66" t="s">
        <v>286</v>
      </c>
      <c r="D103" s="79" t="s">
        <v>461</v>
      </c>
      <c r="E103" s="76">
        <v>26.64</v>
      </c>
      <c r="F103" s="76" t="s">
        <v>335</v>
      </c>
      <c r="G103" s="76">
        <v>30</v>
      </c>
      <c r="H103" s="76">
        <v>30</v>
      </c>
      <c r="I103" s="76"/>
      <c r="J103" s="435"/>
      <c r="K103" s="434"/>
    </row>
    <row r="104" spans="1:11" s="409" customFormat="1" ht="13.5" customHeight="1">
      <c r="A104" s="405">
        <v>368674</v>
      </c>
      <c r="B104" s="405" t="s">
        <v>88</v>
      </c>
      <c r="C104" s="405" t="s">
        <v>290</v>
      </c>
      <c r="D104" s="79" t="s">
        <v>462</v>
      </c>
      <c r="E104" s="239">
        <v>1.998</v>
      </c>
      <c r="F104" s="239" t="s">
        <v>118</v>
      </c>
      <c r="G104" s="76" t="s">
        <v>390</v>
      </c>
      <c r="H104" s="76">
        <v>2</v>
      </c>
      <c r="I104" s="76"/>
      <c r="J104" s="435"/>
      <c r="K104" s="434"/>
    </row>
    <row r="105" spans="1:11" s="409" customFormat="1" ht="13.5" customHeight="1">
      <c r="A105" s="467">
        <v>368676</v>
      </c>
      <c r="B105" s="467" t="s">
        <v>88</v>
      </c>
      <c r="C105" s="467"/>
      <c r="D105" s="468" t="s">
        <v>595</v>
      </c>
      <c r="E105" s="239"/>
      <c r="F105" s="239" t="s">
        <v>118</v>
      </c>
      <c r="G105" s="76">
        <v>4</v>
      </c>
      <c r="H105" s="76">
        <v>4</v>
      </c>
      <c r="I105" s="76"/>
      <c r="J105" s="435"/>
      <c r="K105" s="434"/>
    </row>
    <row r="106" spans="1:11" ht="13.5" customHeight="1">
      <c r="A106" s="154">
        <v>368677</v>
      </c>
      <c r="B106" s="154" t="s">
        <v>88</v>
      </c>
      <c r="C106" s="154" t="s">
        <v>290</v>
      </c>
      <c r="D106" s="452" t="s">
        <v>588</v>
      </c>
      <c r="F106" s="398" t="s">
        <v>118</v>
      </c>
      <c r="G106" s="398" t="s">
        <v>390</v>
      </c>
      <c r="H106" s="398">
        <v>2</v>
      </c>
      <c r="I106" s="435"/>
      <c r="K106" s="403"/>
    </row>
    <row r="107" ht="13.5" customHeight="1">
      <c r="J107" s="435"/>
    </row>
    <row r="108" ht="13.5" customHeight="1">
      <c r="J108" s="437"/>
    </row>
    <row r="109" ht="13.5" customHeight="1">
      <c r="J109" s="437"/>
    </row>
    <row r="110" ht="13.5" customHeight="1">
      <c r="J110" s="435"/>
    </row>
    <row r="111" ht="13.5" customHeight="1">
      <c r="J111" s="435"/>
    </row>
    <row r="112" ht="13.5" customHeight="1">
      <c r="J112" s="435"/>
    </row>
    <row r="113" ht="13.5" customHeight="1">
      <c r="J113" s="435"/>
    </row>
    <row r="114" ht="13.5" customHeight="1">
      <c r="J114" s="435"/>
    </row>
    <row r="115" ht="13.5" customHeight="1">
      <c r="J115" s="435"/>
    </row>
    <row r="116" ht="13.5" customHeight="1">
      <c r="J116" s="435"/>
    </row>
    <row r="117" ht="13.5" customHeight="1">
      <c r="J117" s="435"/>
    </row>
    <row r="118" ht="13.5" customHeight="1">
      <c r="J118" s="435"/>
    </row>
  </sheetData>
  <printOptions gridLines="1"/>
  <pageMargins left="0.36" right="0.3" top="0.46" bottom="0.65" header="0.29" footer="0.24"/>
  <pageSetup horizontalDpi="600" verticalDpi="600" orientation="landscape" paperSize="17" scale="95" r:id="rId1"/>
  <headerFooter alignWithMargins="0">
    <oddFooter>&amp;LFile: IHEP Kit, ME 1/2 - July, 2001
N. Chester&amp;Cpage &amp;P of &amp;N&amp;RUpdated : 10/02/01
Printed: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selection activeCell="A6" sqref="A6"/>
    </sheetView>
  </sheetViews>
  <sheetFormatPr defaultColWidth="9.140625" defaultRowHeight="13.5" customHeight="1"/>
  <cols>
    <col min="1" max="1" width="11.57421875" style="12" customWidth="1"/>
    <col min="2" max="2" width="6.00390625" style="12" customWidth="1"/>
    <col min="3" max="3" width="4.8515625" style="25" customWidth="1"/>
    <col min="4" max="4" width="56.00390625" style="18" customWidth="1"/>
    <col min="5" max="5" width="7.28125" style="6" hidden="1" customWidth="1"/>
    <col min="6" max="8" width="11.57421875" style="6" customWidth="1"/>
    <col min="9" max="9" width="10.7109375" style="6" customWidth="1"/>
    <col min="10" max="10" width="11.57421875" style="434" customWidth="1"/>
    <col min="11" max="12" width="10.7109375" style="6" customWidth="1"/>
    <col min="13" max="14" width="10.7109375" style="18" customWidth="1"/>
    <col min="15" max="16" width="11.57421875" style="18" customWidth="1"/>
    <col min="17" max="17" width="10.7109375" style="18" customWidth="1"/>
    <col min="18" max="18" width="19.7109375" style="18" customWidth="1"/>
    <col min="19" max="16384" width="9.140625" style="18" customWidth="1"/>
  </cols>
  <sheetData>
    <row r="1" spans="1:18" s="413" customFormat="1" ht="33.75" customHeight="1">
      <c r="A1" s="52" t="s">
        <v>405</v>
      </c>
      <c r="B1" s="410" t="s">
        <v>406</v>
      </c>
      <c r="C1" s="411" t="s">
        <v>67</v>
      </c>
      <c r="D1" s="402" t="s">
        <v>407</v>
      </c>
      <c r="E1" s="52" t="s">
        <v>96</v>
      </c>
      <c r="F1" s="421" t="s">
        <v>388</v>
      </c>
      <c r="G1" s="427" t="s">
        <v>396</v>
      </c>
      <c r="H1" s="428" t="s">
        <v>397</v>
      </c>
      <c r="I1" s="428" t="s">
        <v>465</v>
      </c>
      <c r="J1" s="432" t="s">
        <v>581</v>
      </c>
      <c r="K1" s="427" t="s">
        <v>398</v>
      </c>
      <c r="L1" s="427" t="s">
        <v>399</v>
      </c>
      <c r="M1" s="427" t="s">
        <v>400</v>
      </c>
      <c r="N1" s="427" t="s">
        <v>401</v>
      </c>
      <c r="O1" s="427" t="s">
        <v>402</v>
      </c>
      <c r="P1" s="427" t="s">
        <v>403</v>
      </c>
      <c r="Q1" s="427" t="s">
        <v>404</v>
      </c>
      <c r="R1" s="412" t="s">
        <v>68</v>
      </c>
    </row>
    <row r="2" spans="2:10" s="413" customFormat="1" ht="11.25" customHeight="1">
      <c r="B2" s="410"/>
      <c r="E2" s="399">
        <v>144</v>
      </c>
      <c r="F2" s="422"/>
      <c r="G2" s="399"/>
      <c r="H2" s="419"/>
      <c r="J2" s="433"/>
    </row>
    <row r="3" spans="1:12" s="403" customFormat="1" ht="13.5" customHeight="1">
      <c r="A3" s="405"/>
      <c r="B3" s="405"/>
      <c r="C3" s="25"/>
      <c r="D3" s="404"/>
      <c r="E3" s="399"/>
      <c r="F3" s="399"/>
      <c r="G3" s="399"/>
      <c r="H3" s="399"/>
      <c r="I3" s="399"/>
      <c r="J3" s="434"/>
      <c r="K3" s="399"/>
      <c r="L3" s="399"/>
    </row>
    <row r="4" spans="1:12" s="79" customFormat="1" ht="24.75" customHeight="1">
      <c r="A4" s="66">
        <v>368289</v>
      </c>
      <c r="B4" s="66" t="s">
        <v>79</v>
      </c>
      <c r="C4" s="66" t="s">
        <v>290</v>
      </c>
      <c r="D4" s="406" t="s">
        <v>463</v>
      </c>
      <c r="E4" s="407" t="s">
        <v>187</v>
      </c>
      <c r="F4" s="407" t="s">
        <v>190</v>
      </c>
      <c r="G4" s="407" t="s">
        <v>392</v>
      </c>
      <c r="H4" s="407" t="s">
        <v>188</v>
      </c>
      <c r="I4" s="407"/>
      <c r="J4" s="434"/>
      <c r="K4" s="407"/>
      <c r="L4" s="76"/>
    </row>
    <row r="5" spans="1:12" s="79" customFormat="1" ht="13.5" customHeight="1">
      <c r="A5" s="66">
        <v>368291</v>
      </c>
      <c r="B5" s="66" t="s">
        <v>88</v>
      </c>
      <c r="C5" s="66" t="s">
        <v>290</v>
      </c>
      <c r="D5" s="406" t="s">
        <v>464</v>
      </c>
      <c r="E5" s="76">
        <v>148</v>
      </c>
      <c r="F5" s="76" t="s">
        <v>116</v>
      </c>
      <c r="G5" s="76" t="s">
        <v>70</v>
      </c>
      <c r="H5" s="76">
        <v>50</v>
      </c>
      <c r="I5" s="76"/>
      <c r="J5" s="434"/>
      <c r="K5" s="76"/>
      <c r="L5" s="76"/>
    </row>
    <row r="15" ht="13.5" customHeight="1">
      <c r="J15" s="435"/>
    </row>
    <row r="16" ht="13.5" customHeight="1">
      <c r="J16" s="435"/>
    </row>
    <row r="17" ht="13.5" customHeight="1">
      <c r="J17" s="435"/>
    </row>
    <row r="18" ht="13.5" customHeight="1">
      <c r="J18" s="435"/>
    </row>
    <row r="19" ht="13.5" customHeight="1">
      <c r="J19" s="435"/>
    </row>
    <row r="20" ht="13.5" customHeight="1">
      <c r="J20" s="435"/>
    </row>
    <row r="21" ht="13.5" customHeight="1">
      <c r="J21" s="436"/>
    </row>
    <row r="22" ht="13.5" customHeight="1">
      <c r="J22" s="436"/>
    </row>
    <row r="24" ht="13.5" customHeight="1">
      <c r="J24" s="435"/>
    </row>
    <row r="25" ht="13.5" customHeight="1">
      <c r="J25" s="435"/>
    </row>
    <row r="26" ht="13.5" customHeight="1">
      <c r="J26" s="435"/>
    </row>
    <row r="27" ht="13.5" customHeight="1">
      <c r="J27" s="435"/>
    </row>
    <row r="28" ht="13.5" customHeight="1">
      <c r="J28" s="435"/>
    </row>
    <row r="29" ht="13.5" customHeight="1">
      <c r="J29" s="435"/>
    </row>
    <row r="30" ht="13.5" customHeight="1">
      <c r="J30" s="435"/>
    </row>
    <row r="31" ht="13.5" customHeight="1">
      <c r="J31" s="435"/>
    </row>
    <row r="35" ht="13.5" customHeight="1">
      <c r="J35" s="435"/>
    </row>
    <row r="36" ht="13.5" customHeight="1">
      <c r="J36" s="435"/>
    </row>
    <row r="37" ht="13.5" customHeight="1">
      <c r="J37" s="435"/>
    </row>
    <row r="38" ht="13.5" customHeight="1">
      <c r="J38" s="435"/>
    </row>
    <row r="39" ht="13.5" customHeight="1">
      <c r="J39" s="435"/>
    </row>
    <row r="40" ht="13.5" customHeight="1">
      <c r="J40" s="435"/>
    </row>
    <row r="41" ht="13.5" customHeight="1">
      <c r="J41" s="435"/>
    </row>
    <row r="42" ht="13.5" customHeight="1">
      <c r="J42" s="435"/>
    </row>
    <row r="43" ht="13.5" customHeight="1">
      <c r="J43" s="435"/>
    </row>
    <row r="44" ht="13.5" customHeight="1">
      <c r="J44" s="435"/>
    </row>
    <row r="45" ht="13.5" customHeight="1">
      <c r="J45" s="435"/>
    </row>
    <row r="46" ht="13.5" customHeight="1">
      <c r="J46" s="435"/>
    </row>
    <row r="47" ht="13.5" customHeight="1">
      <c r="J47" s="435"/>
    </row>
    <row r="48" ht="13.5" customHeight="1">
      <c r="J48" s="435"/>
    </row>
    <row r="49" ht="13.5" customHeight="1">
      <c r="J49" s="435"/>
    </row>
    <row r="50" ht="13.5" customHeight="1">
      <c r="J50" s="435"/>
    </row>
    <row r="51" ht="13.5" customHeight="1">
      <c r="J51" s="435"/>
    </row>
    <row r="52" ht="13.5" customHeight="1">
      <c r="J52" s="435"/>
    </row>
    <row r="53" ht="13.5" customHeight="1">
      <c r="J53" s="435"/>
    </row>
    <row r="54" ht="13.5" customHeight="1">
      <c r="J54" s="435"/>
    </row>
    <row r="55" ht="13.5" customHeight="1">
      <c r="J55" s="435"/>
    </row>
    <row r="56" ht="13.5" customHeight="1">
      <c r="J56" s="435"/>
    </row>
    <row r="57" ht="13.5" customHeight="1">
      <c r="J57" s="435"/>
    </row>
    <row r="58" ht="13.5" customHeight="1">
      <c r="J58" s="435"/>
    </row>
    <row r="59" ht="13.5" customHeight="1">
      <c r="J59" s="435"/>
    </row>
    <row r="60" ht="13.5" customHeight="1">
      <c r="J60" s="435"/>
    </row>
    <row r="61" ht="13.5" customHeight="1">
      <c r="J61" s="435"/>
    </row>
    <row r="62" ht="13.5" customHeight="1">
      <c r="J62" s="435"/>
    </row>
    <row r="63" ht="13.5" customHeight="1">
      <c r="J63" s="435"/>
    </row>
    <row r="64" ht="13.5" customHeight="1">
      <c r="J64" s="436"/>
    </row>
    <row r="65" ht="13.5" customHeight="1">
      <c r="J65" s="436"/>
    </row>
    <row r="66" ht="13.5" customHeight="1">
      <c r="J66" s="436"/>
    </row>
    <row r="67" ht="13.5" customHeight="1">
      <c r="J67" s="435"/>
    </row>
    <row r="68" ht="13.5" customHeight="1">
      <c r="J68" s="436"/>
    </row>
    <row r="69" ht="13.5" customHeight="1">
      <c r="J69" s="436"/>
    </row>
    <row r="70" ht="13.5" customHeight="1">
      <c r="J70" s="436"/>
    </row>
    <row r="71" ht="13.5" customHeight="1">
      <c r="J71" s="436"/>
    </row>
    <row r="72" ht="13.5" customHeight="1">
      <c r="J72" s="435"/>
    </row>
    <row r="73" ht="13.5" customHeight="1">
      <c r="J73" s="435"/>
    </row>
    <row r="74" ht="13.5" customHeight="1">
      <c r="J74" s="435"/>
    </row>
    <row r="75" ht="13.5" customHeight="1">
      <c r="J75" s="435"/>
    </row>
    <row r="76" ht="13.5" customHeight="1">
      <c r="J76" s="435"/>
    </row>
    <row r="77" ht="13.5" customHeight="1">
      <c r="J77" s="435"/>
    </row>
    <row r="78" ht="13.5" customHeight="1">
      <c r="J78" s="435"/>
    </row>
    <row r="79" ht="13.5" customHeight="1">
      <c r="J79" s="435"/>
    </row>
    <row r="80" ht="13.5" customHeight="1">
      <c r="J80" s="435"/>
    </row>
    <row r="81" ht="13.5" customHeight="1">
      <c r="J81" s="435"/>
    </row>
    <row r="82" ht="13.5" customHeight="1">
      <c r="J82" s="435"/>
    </row>
    <row r="83" ht="13.5" customHeight="1">
      <c r="J83" s="435"/>
    </row>
    <row r="84" ht="13.5" customHeight="1">
      <c r="J84" s="435"/>
    </row>
    <row r="85" ht="13.5" customHeight="1">
      <c r="J85" s="435"/>
    </row>
    <row r="86" ht="13.5" customHeight="1">
      <c r="J86" s="435"/>
    </row>
    <row r="87" ht="13.5" customHeight="1">
      <c r="J87" s="435"/>
    </row>
    <row r="88" ht="13.5" customHeight="1">
      <c r="J88" s="435"/>
    </row>
    <row r="89" ht="13.5" customHeight="1">
      <c r="J89" s="435"/>
    </row>
    <row r="90" ht="13.5" customHeight="1">
      <c r="J90" s="435"/>
    </row>
    <row r="91" ht="13.5" customHeight="1">
      <c r="J91" s="435"/>
    </row>
    <row r="92" ht="13.5" customHeight="1">
      <c r="J92" s="435"/>
    </row>
    <row r="93" ht="13.5" customHeight="1">
      <c r="J93" s="435"/>
    </row>
    <row r="94" ht="13.5" customHeight="1">
      <c r="J94" s="437"/>
    </row>
    <row r="95" ht="13.5" customHeight="1">
      <c r="J95" s="435"/>
    </row>
    <row r="96" ht="13.5" customHeight="1">
      <c r="J96" s="435"/>
    </row>
    <row r="97" ht="13.5" customHeight="1">
      <c r="J97" s="435"/>
    </row>
    <row r="98" ht="13.5" customHeight="1">
      <c r="J98" s="435"/>
    </row>
    <row r="99" ht="13.5" customHeight="1">
      <c r="J99" s="435"/>
    </row>
    <row r="100" ht="13.5" customHeight="1">
      <c r="J100" s="435"/>
    </row>
    <row r="101" ht="13.5" customHeight="1">
      <c r="J101" s="435"/>
    </row>
    <row r="102" ht="13.5" customHeight="1">
      <c r="J102" s="435"/>
    </row>
    <row r="103" ht="13.5" customHeight="1">
      <c r="J103" s="435"/>
    </row>
    <row r="104" ht="13.5" customHeight="1">
      <c r="J104" s="435"/>
    </row>
    <row r="105" ht="13.5" customHeight="1">
      <c r="J105" s="435"/>
    </row>
    <row r="106" ht="13.5" customHeight="1">
      <c r="J106" s="435"/>
    </row>
    <row r="107" ht="13.5" customHeight="1">
      <c r="J107" s="435"/>
    </row>
    <row r="108" ht="13.5" customHeight="1">
      <c r="J108" s="437"/>
    </row>
    <row r="109" ht="13.5" customHeight="1">
      <c r="J109" s="437"/>
    </row>
    <row r="110" ht="13.5" customHeight="1">
      <c r="J110" s="435"/>
    </row>
    <row r="111" ht="13.5" customHeight="1">
      <c r="J111" s="435"/>
    </row>
    <row r="112" ht="13.5" customHeight="1">
      <c r="J112" s="435"/>
    </row>
    <row r="113" ht="13.5" customHeight="1">
      <c r="J113" s="435"/>
    </row>
    <row r="114" ht="13.5" customHeight="1">
      <c r="J114" s="435"/>
    </row>
    <row r="115" ht="13.5" customHeight="1">
      <c r="J115" s="435"/>
    </row>
    <row r="116" ht="13.5" customHeight="1">
      <c r="J116" s="435"/>
    </row>
    <row r="117" ht="13.5" customHeight="1">
      <c r="J117" s="435"/>
    </row>
    <row r="118" ht="13.5" customHeight="1">
      <c r="J118" s="435"/>
    </row>
  </sheetData>
  <printOptions gridLines="1"/>
  <pageMargins left="0.39" right="0.49" top="1" bottom="1" header="0.5" footer="0.5"/>
  <pageSetup horizontalDpi="600" verticalDpi="600" orientation="landscape" paperSize="17" scale="95" r:id="rId1"/>
  <headerFooter alignWithMargins="0">
    <oddFooter>&amp;LFile: IHEP Kit, ME 1/2 - Nov., 2001
N. Chester&amp;Cpage &amp;P of &amp;N&amp;RUpdated: 6/15/01
Printed: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7">
      <selection activeCell="I18" sqref="I18"/>
    </sheetView>
  </sheetViews>
  <sheetFormatPr defaultColWidth="9.140625" defaultRowHeight="13.5" customHeight="1"/>
  <cols>
    <col min="1" max="1" width="11.57421875" style="405" customWidth="1"/>
    <col min="2" max="2" width="6.00390625" style="405" customWidth="1"/>
    <col min="3" max="3" width="6.57421875" style="401" hidden="1" customWidth="1"/>
    <col min="4" max="4" width="58.57421875" style="403" customWidth="1"/>
    <col min="5" max="5" width="7.28125" style="398" hidden="1" customWidth="1"/>
    <col min="6" max="6" width="11.7109375" style="398" customWidth="1"/>
    <col min="7" max="7" width="12.140625" style="398" customWidth="1"/>
    <col min="8" max="9" width="10.8515625" style="398" customWidth="1"/>
    <col min="10" max="10" width="11.57421875" style="434" customWidth="1"/>
    <col min="11" max="14" width="10.8515625" style="403" customWidth="1"/>
    <col min="15" max="15" width="11.7109375" style="403" customWidth="1"/>
    <col min="16" max="17" width="10.8515625" style="403" customWidth="1"/>
    <col min="18" max="18" width="21.57421875" style="403" customWidth="1"/>
    <col min="19" max="16384" width="9.140625" style="403" customWidth="1"/>
  </cols>
  <sheetData>
    <row r="1" spans="1:18" s="413" customFormat="1" ht="29.25" customHeight="1">
      <c r="A1" s="52" t="s">
        <v>405</v>
      </c>
      <c r="B1" s="410" t="s">
        <v>406</v>
      </c>
      <c r="C1" s="411" t="s">
        <v>67</v>
      </c>
      <c r="D1" s="402" t="s">
        <v>408</v>
      </c>
      <c r="E1" s="52" t="s">
        <v>96</v>
      </c>
      <c r="F1" s="421" t="s">
        <v>388</v>
      </c>
      <c r="G1" s="427" t="s">
        <v>396</v>
      </c>
      <c r="H1" s="428" t="s">
        <v>397</v>
      </c>
      <c r="I1" s="428" t="s">
        <v>465</v>
      </c>
      <c r="J1" s="432" t="s">
        <v>586</v>
      </c>
      <c r="K1" s="427" t="s">
        <v>398</v>
      </c>
      <c r="L1" s="427" t="s">
        <v>399</v>
      </c>
      <c r="M1" s="427" t="s">
        <v>400</v>
      </c>
      <c r="N1" s="427" t="s">
        <v>401</v>
      </c>
      <c r="O1" s="427" t="s">
        <v>402</v>
      </c>
      <c r="P1" s="427" t="s">
        <v>403</v>
      </c>
      <c r="Q1" s="427" t="s">
        <v>404</v>
      </c>
      <c r="R1" s="412" t="s">
        <v>68</v>
      </c>
    </row>
    <row r="2" spans="2:10" s="413" customFormat="1" ht="11.25" customHeight="1">
      <c r="B2" s="414"/>
      <c r="C2" s="415"/>
      <c r="E2" s="399">
        <v>144</v>
      </c>
      <c r="F2" s="399"/>
      <c r="G2" s="399"/>
      <c r="H2" s="419"/>
      <c r="J2" s="433"/>
    </row>
    <row r="3" spans="4:9" ht="13.5" customHeight="1">
      <c r="D3" s="404"/>
      <c r="E3" s="399"/>
      <c r="F3" s="399"/>
      <c r="G3" s="399"/>
      <c r="H3" s="399"/>
      <c r="I3" s="399"/>
    </row>
    <row r="4" spans="1:10" s="79" customFormat="1" ht="13.5" customHeight="1">
      <c r="A4" s="66">
        <v>368112</v>
      </c>
      <c r="B4" s="66" t="s">
        <v>79</v>
      </c>
      <c r="C4" s="66" t="s">
        <v>291</v>
      </c>
      <c r="D4" s="79" t="s">
        <v>477</v>
      </c>
      <c r="E4" s="76">
        <v>74</v>
      </c>
      <c r="F4" s="66" t="s">
        <v>335</v>
      </c>
      <c r="G4" s="76">
        <v>74</v>
      </c>
      <c r="H4" s="76">
        <v>74</v>
      </c>
      <c r="J4" s="434"/>
    </row>
    <row r="5" spans="1:10" s="79" customFormat="1" ht="13.5" customHeight="1">
      <c r="A5" s="66">
        <v>368113</v>
      </c>
      <c r="B5" s="66" t="s">
        <v>79</v>
      </c>
      <c r="C5" s="66" t="s">
        <v>291</v>
      </c>
      <c r="D5" s="79" t="s">
        <v>477</v>
      </c>
      <c r="E5" s="76">
        <v>74</v>
      </c>
      <c r="F5" s="66" t="s">
        <v>335</v>
      </c>
      <c r="G5" s="76">
        <v>74</v>
      </c>
      <c r="H5" s="76">
        <v>74</v>
      </c>
      <c r="J5" s="434"/>
    </row>
    <row r="6" spans="1:11" s="468" customFormat="1" ht="11.25" customHeight="1">
      <c r="A6" s="470">
        <v>368114</v>
      </c>
      <c r="B6" s="470" t="s">
        <v>79</v>
      </c>
      <c r="C6" s="470" t="s">
        <v>290</v>
      </c>
      <c r="D6" s="468" t="s">
        <v>431</v>
      </c>
      <c r="E6" s="469">
        <v>3996</v>
      </c>
      <c r="F6" s="469" t="s">
        <v>36</v>
      </c>
      <c r="G6" s="469" t="s">
        <v>601</v>
      </c>
      <c r="H6" s="469">
        <v>1750</v>
      </c>
      <c r="I6" s="469"/>
      <c r="J6" s="471"/>
      <c r="K6" s="471"/>
    </row>
    <row r="7" spans="1:11" s="468" customFormat="1" ht="12.75" customHeight="1">
      <c r="A7" s="470">
        <v>368115</v>
      </c>
      <c r="B7" s="470" t="s">
        <v>79</v>
      </c>
      <c r="C7" s="470" t="s">
        <v>290</v>
      </c>
      <c r="D7" s="468" t="s">
        <v>432</v>
      </c>
      <c r="E7" s="469">
        <v>3996</v>
      </c>
      <c r="F7" s="469" t="s">
        <v>36</v>
      </c>
      <c r="G7" s="469" t="s">
        <v>601</v>
      </c>
      <c r="H7" s="469">
        <v>1750</v>
      </c>
      <c r="I7" s="469"/>
      <c r="J7" s="471"/>
      <c r="K7" s="471"/>
    </row>
    <row r="8" spans="1:10" s="79" customFormat="1" ht="13.5" customHeight="1">
      <c r="A8" s="66">
        <v>368135</v>
      </c>
      <c r="B8" s="66" t="s">
        <v>79</v>
      </c>
      <c r="C8" s="66" t="s">
        <v>291</v>
      </c>
      <c r="D8" s="79" t="s">
        <v>205</v>
      </c>
      <c r="E8" s="76">
        <v>216</v>
      </c>
      <c r="F8" s="66" t="s">
        <v>335</v>
      </c>
      <c r="G8" s="76">
        <v>216</v>
      </c>
      <c r="H8" s="76">
        <v>216</v>
      </c>
      <c r="J8" s="434"/>
    </row>
    <row r="9" spans="1:10" s="79" customFormat="1" ht="13.5" customHeight="1">
      <c r="A9" s="66">
        <v>368136</v>
      </c>
      <c r="B9" s="66" t="s">
        <v>79</v>
      </c>
      <c r="C9" s="66" t="s">
        <v>291</v>
      </c>
      <c r="D9" s="79" t="s">
        <v>206</v>
      </c>
      <c r="E9" s="76">
        <v>72</v>
      </c>
      <c r="F9" s="66" t="s">
        <v>335</v>
      </c>
      <c r="G9" s="76">
        <v>72</v>
      </c>
      <c r="H9" s="76">
        <v>72</v>
      </c>
      <c r="J9" s="434"/>
    </row>
    <row r="10" spans="1:10" s="79" customFormat="1" ht="13.5" customHeight="1">
      <c r="A10" s="66">
        <v>368137</v>
      </c>
      <c r="B10" s="66" t="s">
        <v>79</v>
      </c>
      <c r="C10" s="66" t="s">
        <v>291</v>
      </c>
      <c r="D10" s="79" t="s">
        <v>207</v>
      </c>
      <c r="E10" s="76">
        <v>144</v>
      </c>
      <c r="F10" s="66" t="s">
        <v>335</v>
      </c>
      <c r="G10" s="76">
        <v>144</v>
      </c>
      <c r="H10" s="76">
        <v>144</v>
      </c>
      <c r="J10" s="434"/>
    </row>
    <row r="11" spans="1:10" s="79" customFormat="1" ht="13.5" customHeight="1">
      <c r="A11" s="66">
        <v>368138</v>
      </c>
      <c r="B11" s="66" t="s">
        <v>79</v>
      </c>
      <c r="C11" s="66" t="s">
        <v>291</v>
      </c>
      <c r="D11" s="79" t="s">
        <v>208</v>
      </c>
      <c r="E11" s="76">
        <v>72</v>
      </c>
      <c r="F11" s="66" t="s">
        <v>335</v>
      </c>
      <c r="G11" s="76">
        <v>72</v>
      </c>
      <c r="H11" s="76">
        <v>72</v>
      </c>
      <c r="J11" s="434"/>
    </row>
    <row r="12" spans="1:11" s="468" customFormat="1" ht="14.25" customHeight="1">
      <c r="A12" s="470">
        <v>368261</v>
      </c>
      <c r="B12" s="470" t="s">
        <v>79</v>
      </c>
      <c r="C12" s="470" t="s">
        <v>290</v>
      </c>
      <c r="D12" s="468" t="s">
        <v>439</v>
      </c>
      <c r="E12" s="469">
        <v>296</v>
      </c>
      <c r="F12" s="469" t="s">
        <v>340</v>
      </c>
      <c r="G12" s="469" t="s">
        <v>602</v>
      </c>
      <c r="H12" s="469" t="s">
        <v>603</v>
      </c>
      <c r="I12" s="469"/>
      <c r="J12" s="471"/>
      <c r="K12" s="471"/>
    </row>
    <row r="13" spans="1:10" s="79" customFormat="1" ht="15.75" customHeight="1">
      <c r="A13" s="66">
        <v>368288</v>
      </c>
      <c r="B13" s="66" t="s">
        <v>79</v>
      </c>
      <c r="C13" s="66" t="s">
        <v>290</v>
      </c>
      <c r="D13" s="79" t="s">
        <v>467</v>
      </c>
      <c r="E13" s="76">
        <v>45.88</v>
      </c>
      <c r="F13" s="66" t="s">
        <v>186</v>
      </c>
      <c r="G13" s="76" t="s">
        <v>411</v>
      </c>
      <c r="H13" s="76" t="s">
        <v>185</v>
      </c>
      <c r="J13" s="434"/>
    </row>
    <row r="14" spans="1:10" s="79" customFormat="1" ht="13.5" customHeight="1">
      <c r="A14" s="66">
        <v>368289</v>
      </c>
      <c r="B14" s="66" t="s">
        <v>79</v>
      </c>
      <c r="C14" s="66" t="s">
        <v>290</v>
      </c>
      <c r="D14" s="406" t="s">
        <v>463</v>
      </c>
      <c r="E14" s="407" t="s">
        <v>187</v>
      </c>
      <c r="F14" s="66" t="s">
        <v>575</v>
      </c>
      <c r="G14" s="407" t="s">
        <v>576</v>
      </c>
      <c r="H14" s="407" t="s">
        <v>577</v>
      </c>
      <c r="J14" s="434"/>
    </row>
    <row r="15" spans="1:10" s="79" customFormat="1" ht="13.5" customHeight="1">
      <c r="A15" s="66">
        <v>368291</v>
      </c>
      <c r="B15" s="66" t="s">
        <v>88</v>
      </c>
      <c r="C15" s="66" t="s">
        <v>290</v>
      </c>
      <c r="D15" s="406" t="s">
        <v>464</v>
      </c>
      <c r="E15" s="76">
        <v>148</v>
      </c>
      <c r="F15" s="66" t="s">
        <v>116</v>
      </c>
      <c r="G15" s="76" t="s">
        <v>70</v>
      </c>
      <c r="H15" s="76">
        <v>50</v>
      </c>
      <c r="J15" s="434"/>
    </row>
    <row r="16" spans="1:10" s="79" customFormat="1" ht="13.5" customHeight="1">
      <c r="A16" s="66">
        <v>368429</v>
      </c>
      <c r="B16" s="66" t="s">
        <v>79</v>
      </c>
      <c r="C16" s="66" t="s">
        <v>291</v>
      </c>
      <c r="D16" s="79" t="s">
        <v>251</v>
      </c>
      <c r="E16" s="76">
        <v>74</v>
      </c>
      <c r="F16" s="66" t="s">
        <v>335</v>
      </c>
      <c r="G16" s="76">
        <v>74</v>
      </c>
      <c r="H16" s="76">
        <v>74</v>
      </c>
      <c r="J16" s="434"/>
    </row>
    <row r="17" spans="1:10" s="79" customFormat="1" ht="13.5" customHeight="1">
      <c r="A17" s="66">
        <v>368440</v>
      </c>
      <c r="B17" s="66" t="s">
        <v>88</v>
      </c>
      <c r="C17" s="66" t="s">
        <v>291</v>
      </c>
      <c r="D17" s="79" t="s">
        <v>468</v>
      </c>
      <c r="E17" s="76">
        <v>444</v>
      </c>
      <c r="F17" s="66" t="s">
        <v>335</v>
      </c>
      <c r="G17" s="76">
        <v>444</v>
      </c>
      <c r="H17" s="76">
        <v>444</v>
      </c>
      <c r="J17" s="434"/>
    </row>
    <row r="18" spans="1:10" s="79" customFormat="1" ht="13.5" customHeight="1">
      <c r="A18" s="66">
        <v>368441</v>
      </c>
      <c r="B18" s="66" t="s">
        <v>88</v>
      </c>
      <c r="C18" s="66" t="s">
        <v>291</v>
      </c>
      <c r="D18" s="79" t="s">
        <v>468</v>
      </c>
      <c r="E18" s="76">
        <v>148</v>
      </c>
      <c r="F18" s="66" t="s">
        <v>335</v>
      </c>
      <c r="G18" s="76">
        <v>148</v>
      </c>
      <c r="H18" s="76">
        <v>148</v>
      </c>
      <c r="J18" s="435"/>
    </row>
    <row r="19" spans="1:10" s="79" customFormat="1" ht="13.5" customHeight="1">
      <c r="A19" s="66">
        <v>368442</v>
      </c>
      <c r="B19" s="66" t="s">
        <v>79</v>
      </c>
      <c r="C19" s="66" t="s">
        <v>291</v>
      </c>
      <c r="D19" s="79" t="s">
        <v>468</v>
      </c>
      <c r="E19" s="76">
        <v>444</v>
      </c>
      <c r="F19" s="66" t="s">
        <v>335</v>
      </c>
      <c r="G19" s="76">
        <v>444</v>
      </c>
      <c r="H19" s="76">
        <v>444</v>
      </c>
      <c r="J19" s="435"/>
    </row>
    <row r="20" spans="1:10" s="79" customFormat="1" ht="13.5" customHeight="1">
      <c r="A20" s="66">
        <v>368443</v>
      </c>
      <c r="B20" s="66" t="s">
        <v>79</v>
      </c>
      <c r="C20" s="66" t="s">
        <v>291</v>
      </c>
      <c r="D20" s="79" t="s">
        <v>468</v>
      </c>
      <c r="E20" s="76">
        <v>444</v>
      </c>
      <c r="F20" s="66" t="s">
        <v>335</v>
      </c>
      <c r="G20" s="76">
        <v>444</v>
      </c>
      <c r="H20" s="76">
        <v>444</v>
      </c>
      <c r="J20" s="435"/>
    </row>
    <row r="21" spans="1:10" s="79" customFormat="1" ht="13.5" customHeight="1">
      <c r="A21" s="66">
        <v>368444</v>
      </c>
      <c r="B21" s="66" t="s">
        <v>88</v>
      </c>
      <c r="C21" s="66" t="s">
        <v>291</v>
      </c>
      <c r="D21" s="79" t="s">
        <v>468</v>
      </c>
      <c r="E21" s="76">
        <v>296</v>
      </c>
      <c r="F21" s="66" t="s">
        <v>335</v>
      </c>
      <c r="G21" s="76">
        <v>296</v>
      </c>
      <c r="H21" s="76">
        <v>296</v>
      </c>
      <c r="J21" s="435"/>
    </row>
    <row r="22" spans="1:10" s="79" customFormat="1" ht="13.5" customHeight="1">
      <c r="A22" s="66">
        <v>368445</v>
      </c>
      <c r="B22" s="66" t="s">
        <v>88</v>
      </c>
      <c r="C22" s="66" t="s">
        <v>291</v>
      </c>
      <c r="D22" s="79" t="s">
        <v>469</v>
      </c>
      <c r="E22" s="76">
        <v>296</v>
      </c>
      <c r="F22" s="66" t="s">
        <v>335</v>
      </c>
      <c r="G22" s="76">
        <v>296</v>
      </c>
      <c r="H22" s="76">
        <v>296</v>
      </c>
      <c r="J22" s="435"/>
    </row>
    <row r="23" spans="1:10" s="79" customFormat="1" ht="13.5" customHeight="1">
      <c r="A23" s="66">
        <v>368446</v>
      </c>
      <c r="B23" s="66" t="s">
        <v>88</v>
      </c>
      <c r="C23" s="66" t="s">
        <v>291</v>
      </c>
      <c r="D23" s="79" t="s">
        <v>469</v>
      </c>
      <c r="E23" s="76">
        <v>592</v>
      </c>
      <c r="F23" s="66" t="s">
        <v>335</v>
      </c>
      <c r="G23" s="76">
        <v>592</v>
      </c>
      <c r="H23" s="76">
        <v>592</v>
      </c>
      <c r="J23" s="435"/>
    </row>
    <row r="24" spans="1:10" s="79" customFormat="1" ht="13.5" customHeight="1">
      <c r="A24" s="66">
        <v>368448</v>
      </c>
      <c r="B24" s="66" t="s">
        <v>88</v>
      </c>
      <c r="C24" s="66" t="s">
        <v>291</v>
      </c>
      <c r="D24" s="79" t="s">
        <v>470</v>
      </c>
      <c r="E24" s="76">
        <v>444</v>
      </c>
      <c r="F24" s="66" t="s">
        <v>335</v>
      </c>
      <c r="G24" s="76">
        <v>444</v>
      </c>
      <c r="H24" s="76">
        <v>444</v>
      </c>
      <c r="J24" s="436"/>
    </row>
    <row r="25" spans="1:10" s="79" customFormat="1" ht="13.5" customHeight="1">
      <c r="A25" s="66">
        <v>368450</v>
      </c>
      <c r="B25" s="66" t="s">
        <v>88</v>
      </c>
      <c r="C25" s="66" t="s">
        <v>291</v>
      </c>
      <c r="D25" s="79" t="s">
        <v>471</v>
      </c>
      <c r="E25" s="76">
        <v>444</v>
      </c>
      <c r="F25" s="66" t="s">
        <v>335</v>
      </c>
      <c r="G25" s="76">
        <v>444</v>
      </c>
      <c r="H25" s="76">
        <v>444</v>
      </c>
      <c r="J25" s="436"/>
    </row>
    <row r="26" spans="1:10" s="79" customFormat="1" ht="13.5" customHeight="1">
      <c r="A26" s="66">
        <v>368452</v>
      </c>
      <c r="B26" s="66" t="s">
        <v>88</v>
      </c>
      <c r="C26" s="66" t="s">
        <v>291</v>
      </c>
      <c r="D26" s="79" t="s">
        <v>472</v>
      </c>
      <c r="E26" s="76">
        <v>444</v>
      </c>
      <c r="F26" s="66" t="s">
        <v>335</v>
      </c>
      <c r="G26" s="76">
        <v>444</v>
      </c>
      <c r="H26" s="76">
        <v>444</v>
      </c>
      <c r="J26" s="434"/>
    </row>
    <row r="27" spans="1:10" s="79" customFormat="1" ht="13.5" customHeight="1">
      <c r="A27" s="66">
        <v>368454</v>
      </c>
      <c r="B27" s="66" t="s">
        <v>88</v>
      </c>
      <c r="C27" s="66" t="s">
        <v>291</v>
      </c>
      <c r="D27" s="79" t="s">
        <v>473</v>
      </c>
      <c r="E27" s="76">
        <v>444</v>
      </c>
      <c r="F27" s="66" t="s">
        <v>335</v>
      </c>
      <c r="G27" s="76">
        <v>444</v>
      </c>
      <c r="H27" s="76">
        <v>444</v>
      </c>
      <c r="J27" s="435"/>
    </row>
    <row r="28" spans="1:10" s="79" customFormat="1" ht="13.5" customHeight="1">
      <c r="A28" s="66">
        <v>368456</v>
      </c>
      <c r="B28" s="66" t="s">
        <v>88</v>
      </c>
      <c r="C28" s="66" t="s">
        <v>291</v>
      </c>
      <c r="D28" s="79" t="s">
        <v>474</v>
      </c>
      <c r="E28" s="76">
        <v>444</v>
      </c>
      <c r="F28" s="66" t="s">
        <v>335</v>
      </c>
      <c r="G28" s="76">
        <v>444</v>
      </c>
      <c r="H28" s="76">
        <v>444</v>
      </c>
      <c r="J28" s="435"/>
    </row>
    <row r="29" spans="1:10" s="79" customFormat="1" ht="13.5" customHeight="1">
      <c r="A29" s="66">
        <v>368458</v>
      </c>
      <c r="B29" s="66" t="s">
        <v>88</v>
      </c>
      <c r="C29" s="66" t="s">
        <v>291</v>
      </c>
      <c r="D29" s="79" t="s">
        <v>475</v>
      </c>
      <c r="E29" s="76">
        <v>444</v>
      </c>
      <c r="F29" s="66" t="s">
        <v>335</v>
      </c>
      <c r="G29" s="76">
        <v>444</v>
      </c>
      <c r="H29" s="76">
        <v>444</v>
      </c>
      <c r="J29" s="435"/>
    </row>
    <row r="30" spans="1:10" s="409" customFormat="1" ht="13.5" customHeight="1">
      <c r="A30" s="66">
        <v>368671</v>
      </c>
      <c r="B30" s="66" t="s">
        <v>88</v>
      </c>
      <c r="C30" s="405" t="s">
        <v>290</v>
      </c>
      <c r="D30" s="79" t="s">
        <v>460</v>
      </c>
      <c r="E30" s="239">
        <v>2.96</v>
      </c>
      <c r="F30" s="66" t="s">
        <v>118</v>
      </c>
      <c r="G30" s="76" t="s">
        <v>411</v>
      </c>
      <c r="H30" s="76">
        <v>1</v>
      </c>
      <c r="J30" s="435"/>
    </row>
    <row r="31" spans="1:9" ht="13.5" customHeight="1">
      <c r="A31" s="154">
        <v>368677</v>
      </c>
      <c r="B31" s="154" t="s">
        <v>88</v>
      </c>
      <c r="C31" s="154" t="s">
        <v>290</v>
      </c>
      <c r="D31" s="440" t="s">
        <v>588</v>
      </c>
      <c r="F31" s="398" t="s">
        <v>118</v>
      </c>
      <c r="G31" s="398" t="s">
        <v>390</v>
      </c>
      <c r="H31" s="398">
        <v>2</v>
      </c>
      <c r="I31" s="435"/>
    </row>
    <row r="32" ht="13.5" customHeight="1">
      <c r="J32" s="435"/>
    </row>
    <row r="33" ht="13.5" customHeight="1">
      <c r="J33" s="435"/>
    </row>
    <row r="34" ht="13.5" customHeight="1">
      <c r="J34" s="435"/>
    </row>
    <row r="38" ht="13.5" customHeight="1">
      <c r="J38" s="435"/>
    </row>
    <row r="39" ht="13.5" customHeight="1">
      <c r="J39" s="435"/>
    </row>
    <row r="40" ht="13.5" customHeight="1">
      <c r="J40" s="435"/>
    </row>
    <row r="41" ht="13.5" customHeight="1">
      <c r="J41" s="435"/>
    </row>
    <row r="42" ht="13.5" customHeight="1">
      <c r="J42" s="435"/>
    </row>
    <row r="43" ht="13.5" customHeight="1">
      <c r="J43" s="435"/>
    </row>
    <row r="44" ht="13.5" customHeight="1">
      <c r="J44" s="435"/>
    </row>
    <row r="45" ht="13.5" customHeight="1">
      <c r="J45" s="435"/>
    </row>
    <row r="46" ht="13.5" customHeight="1">
      <c r="J46" s="435"/>
    </row>
    <row r="47" ht="13.5" customHeight="1">
      <c r="J47" s="435"/>
    </row>
    <row r="48" ht="13.5" customHeight="1">
      <c r="J48" s="435"/>
    </row>
    <row r="49" ht="13.5" customHeight="1">
      <c r="J49" s="435"/>
    </row>
    <row r="50" ht="13.5" customHeight="1">
      <c r="J50" s="435"/>
    </row>
    <row r="51" ht="13.5" customHeight="1">
      <c r="J51" s="435"/>
    </row>
    <row r="52" ht="13.5" customHeight="1">
      <c r="J52" s="435"/>
    </row>
    <row r="53" ht="13.5" customHeight="1">
      <c r="J53" s="435"/>
    </row>
    <row r="54" ht="13.5" customHeight="1">
      <c r="J54" s="435"/>
    </row>
    <row r="55" ht="13.5" customHeight="1">
      <c r="J55" s="435"/>
    </row>
    <row r="56" ht="13.5" customHeight="1">
      <c r="J56" s="435"/>
    </row>
    <row r="57" ht="13.5" customHeight="1">
      <c r="J57" s="435"/>
    </row>
    <row r="58" ht="13.5" customHeight="1">
      <c r="J58" s="435"/>
    </row>
    <row r="59" ht="13.5" customHeight="1">
      <c r="J59" s="435"/>
    </row>
    <row r="60" ht="13.5" customHeight="1">
      <c r="J60" s="435"/>
    </row>
    <row r="61" ht="13.5" customHeight="1">
      <c r="J61" s="435"/>
    </row>
    <row r="62" ht="13.5" customHeight="1">
      <c r="J62" s="435"/>
    </row>
    <row r="63" ht="13.5" customHeight="1">
      <c r="J63" s="435"/>
    </row>
    <row r="64" ht="13.5" customHeight="1">
      <c r="J64" s="435"/>
    </row>
    <row r="65" ht="13.5" customHeight="1">
      <c r="J65" s="435"/>
    </row>
    <row r="66" ht="13.5" customHeight="1">
      <c r="J66" s="435"/>
    </row>
    <row r="67" ht="13.5" customHeight="1">
      <c r="J67" s="436"/>
    </row>
    <row r="68" ht="13.5" customHeight="1">
      <c r="J68" s="436"/>
    </row>
    <row r="69" ht="13.5" customHeight="1">
      <c r="J69" s="436"/>
    </row>
    <row r="70" ht="13.5" customHeight="1">
      <c r="J70" s="435"/>
    </row>
    <row r="71" ht="13.5" customHeight="1">
      <c r="J71" s="436"/>
    </row>
    <row r="72" ht="13.5" customHeight="1">
      <c r="J72" s="436"/>
    </row>
    <row r="73" ht="13.5" customHeight="1">
      <c r="J73" s="436"/>
    </row>
    <row r="74" ht="13.5" customHeight="1">
      <c r="J74" s="436"/>
    </row>
    <row r="75" ht="13.5" customHeight="1">
      <c r="J75" s="435"/>
    </row>
    <row r="76" ht="13.5" customHeight="1">
      <c r="J76" s="435"/>
    </row>
    <row r="77" ht="13.5" customHeight="1">
      <c r="J77" s="435"/>
    </row>
    <row r="78" ht="13.5" customHeight="1">
      <c r="J78" s="435"/>
    </row>
    <row r="79" ht="13.5" customHeight="1">
      <c r="J79" s="435"/>
    </row>
    <row r="80" ht="13.5" customHeight="1">
      <c r="J80" s="435"/>
    </row>
    <row r="81" ht="13.5" customHeight="1">
      <c r="J81" s="435"/>
    </row>
    <row r="82" ht="13.5" customHeight="1">
      <c r="J82" s="435"/>
    </row>
    <row r="83" ht="13.5" customHeight="1">
      <c r="J83" s="435"/>
    </row>
    <row r="84" ht="13.5" customHeight="1">
      <c r="J84" s="435"/>
    </row>
    <row r="85" ht="13.5" customHeight="1">
      <c r="J85" s="435"/>
    </row>
    <row r="86" ht="13.5" customHeight="1">
      <c r="J86" s="435"/>
    </row>
    <row r="87" ht="13.5" customHeight="1">
      <c r="J87" s="435"/>
    </row>
    <row r="88" ht="13.5" customHeight="1">
      <c r="J88" s="435"/>
    </row>
    <row r="89" ht="13.5" customHeight="1">
      <c r="J89" s="435"/>
    </row>
    <row r="90" ht="13.5" customHeight="1">
      <c r="J90" s="435"/>
    </row>
    <row r="91" ht="13.5" customHeight="1">
      <c r="J91" s="435"/>
    </row>
    <row r="92" ht="13.5" customHeight="1">
      <c r="J92" s="435"/>
    </row>
    <row r="93" ht="13.5" customHeight="1">
      <c r="J93" s="435"/>
    </row>
    <row r="94" ht="13.5" customHeight="1">
      <c r="J94" s="435"/>
    </row>
    <row r="95" ht="13.5" customHeight="1">
      <c r="J95" s="435"/>
    </row>
    <row r="96" ht="13.5" customHeight="1">
      <c r="J96" s="435"/>
    </row>
    <row r="97" ht="13.5" customHeight="1">
      <c r="J97" s="437"/>
    </row>
    <row r="98" ht="13.5" customHeight="1">
      <c r="J98" s="435"/>
    </row>
    <row r="99" ht="13.5" customHeight="1">
      <c r="J99" s="435"/>
    </row>
    <row r="100" ht="13.5" customHeight="1">
      <c r="J100" s="435"/>
    </row>
    <row r="101" ht="13.5" customHeight="1">
      <c r="J101" s="435"/>
    </row>
    <row r="102" ht="13.5" customHeight="1">
      <c r="J102" s="435"/>
    </row>
    <row r="103" ht="13.5" customHeight="1">
      <c r="J103" s="435"/>
    </row>
    <row r="104" ht="13.5" customHeight="1">
      <c r="J104" s="435"/>
    </row>
    <row r="105" ht="13.5" customHeight="1">
      <c r="J105" s="435"/>
    </row>
    <row r="106" ht="13.5" customHeight="1">
      <c r="J106" s="435"/>
    </row>
    <row r="107" ht="13.5" customHeight="1">
      <c r="J107" s="435"/>
    </row>
    <row r="108" ht="13.5" customHeight="1">
      <c r="J108" s="435"/>
    </row>
    <row r="109" ht="13.5" customHeight="1">
      <c r="J109" s="435"/>
    </row>
    <row r="110" ht="13.5" customHeight="1">
      <c r="J110" s="435"/>
    </row>
    <row r="111" ht="13.5" customHeight="1">
      <c r="J111" s="437"/>
    </row>
    <row r="112" ht="13.5" customHeight="1">
      <c r="J112" s="437"/>
    </row>
    <row r="113" ht="13.5" customHeight="1">
      <c r="J113" s="435"/>
    </row>
    <row r="114" ht="13.5" customHeight="1">
      <c r="J114" s="435"/>
    </row>
    <row r="115" ht="13.5" customHeight="1">
      <c r="J115" s="435"/>
    </row>
    <row r="116" ht="13.5" customHeight="1">
      <c r="J116" s="435"/>
    </row>
    <row r="117" ht="13.5" customHeight="1">
      <c r="J117" s="435"/>
    </row>
    <row r="118" ht="13.5" customHeight="1">
      <c r="J118" s="435"/>
    </row>
    <row r="119" ht="13.5" customHeight="1">
      <c r="J119" s="435"/>
    </row>
    <row r="120" ht="13.5" customHeight="1">
      <c r="J120" s="435"/>
    </row>
    <row r="121" ht="13.5" customHeight="1">
      <c r="J121" s="435"/>
    </row>
  </sheetData>
  <printOptions gridLines="1"/>
  <pageMargins left="0.55" right="0.44" top="1" bottom="1" header="0.6" footer="0.5"/>
  <pageSetup horizontalDpi="600" verticalDpi="600" orientation="landscape" paperSize="17" scale="95" r:id="rId1"/>
  <headerFooter alignWithMargins="0">
    <oddFooter>&amp;LFile: IHEP Kit, ME 1/3 - Oct., 2002
N. Chester&amp;Cpage: &amp;P of &amp;N&amp;RUpdated: 8/23/01
Printed: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6"/>
  <sheetViews>
    <sheetView workbookViewId="0" topLeftCell="A1">
      <pane ySplit="855" topLeftCell="BM109" activePane="bottomLeft" state="split"/>
      <selection pane="topLeft" activeCell="D2" sqref="D2"/>
      <selection pane="bottomLeft" activeCell="A119" sqref="A119:IV120"/>
    </sheetView>
  </sheetViews>
  <sheetFormatPr defaultColWidth="9.140625" defaultRowHeight="13.5" customHeight="1"/>
  <cols>
    <col min="1" max="1" width="8.140625" style="12" customWidth="1"/>
    <col min="2" max="2" width="4.28125" style="12" customWidth="1"/>
    <col min="3" max="3" width="4.28125" style="12" hidden="1" customWidth="1"/>
    <col min="4" max="4" width="40.421875" style="25" customWidth="1"/>
    <col min="5" max="8" width="11.57421875" style="6" customWidth="1"/>
    <col min="9" max="9" width="11.57421875" style="434" customWidth="1"/>
    <col min="10" max="10" width="10.28125" style="434" customWidth="1"/>
    <col min="11" max="11" width="11.57421875" style="18" customWidth="1"/>
    <col min="12" max="12" width="11.57421875" style="6" customWidth="1"/>
    <col min="13" max="13" width="11.57421875" style="18" customWidth="1"/>
    <col min="14" max="14" width="11.57421875" style="12" customWidth="1"/>
    <col min="15" max="16" width="11.57421875" style="18" customWidth="1"/>
    <col min="17" max="17" width="33.421875" style="423" customWidth="1"/>
    <col min="18" max="18" width="9.00390625" style="423" customWidth="1"/>
    <col min="19" max="20" width="9.00390625" style="18" customWidth="1"/>
    <col min="21" max="21" width="21.140625" style="18" customWidth="1"/>
    <col min="22" max="16384" width="9.140625" style="18" customWidth="1"/>
  </cols>
  <sheetData>
    <row r="1" spans="1:17" s="413" customFormat="1" ht="29.25" customHeight="1">
      <c r="A1" s="52" t="s">
        <v>405</v>
      </c>
      <c r="B1" s="410" t="s">
        <v>406</v>
      </c>
      <c r="C1" s="411" t="s">
        <v>67</v>
      </c>
      <c r="D1" s="438" t="s">
        <v>582</v>
      </c>
      <c r="E1" s="421" t="s">
        <v>388</v>
      </c>
      <c r="F1" s="427" t="s">
        <v>396</v>
      </c>
      <c r="G1" s="428" t="s">
        <v>397</v>
      </c>
      <c r="H1" s="428" t="s">
        <v>465</v>
      </c>
      <c r="I1" s="432" t="s">
        <v>586</v>
      </c>
      <c r="J1" s="432" t="s">
        <v>398</v>
      </c>
      <c r="K1" s="427" t="s">
        <v>399</v>
      </c>
      <c r="L1" s="427" t="s">
        <v>400</v>
      </c>
      <c r="M1" s="427" t="s">
        <v>401</v>
      </c>
      <c r="N1" s="427" t="s">
        <v>402</v>
      </c>
      <c r="O1" s="427" t="s">
        <v>403</v>
      </c>
      <c r="P1" s="427" t="s">
        <v>404</v>
      </c>
      <c r="Q1" s="412" t="s">
        <v>68</v>
      </c>
    </row>
    <row r="2" spans="2:10" s="413" customFormat="1" ht="11.25" customHeight="1">
      <c r="B2" s="414"/>
      <c r="C2" s="415"/>
      <c r="E2" s="399"/>
      <c r="F2" s="399"/>
      <c r="G2" s="399"/>
      <c r="H2" s="419"/>
      <c r="I2" s="433"/>
      <c r="J2" s="433"/>
    </row>
    <row r="3" spans="1:10" s="409" customFormat="1" ht="13.5" customHeight="1">
      <c r="A3" s="405">
        <v>106778</v>
      </c>
      <c r="B3" s="405" t="s">
        <v>156</v>
      </c>
      <c r="C3" s="405" t="s">
        <v>93</v>
      </c>
      <c r="D3" s="481" t="s">
        <v>605</v>
      </c>
      <c r="E3" s="405" t="s">
        <v>116</v>
      </c>
      <c r="F3" s="76" t="s">
        <v>393</v>
      </c>
      <c r="G3" s="76">
        <v>10</v>
      </c>
      <c r="I3" s="434">
        <v>33.06</v>
      </c>
      <c r="J3" s="434">
        <v>330.6</v>
      </c>
    </row>
    <row r="4" spans="1:10" s="409" customFormat="1" ht="13.5" customHeight="1">
      <c r="A4" s="405">
        <v>274450</v>
      </c>
      <c r="B4" s="405" t="s">
        <v>79</v>
      </c>
      <c r="C4" s="405" t="s">
        <v>290</v>
      </c>
      <c r="D4" s="47" t="s">
        <v>606</v>
      </c>
      <c r="E4" s="239" t="s">
        <v>116</v>
      </c>
      <c r="F4" s="76" t="s">
        <v>389</v>
      </c>
      <c r="G4" s="76">
        <v>2</v>
      </c>
      <c r="I4" s="434">
        <f>J4/2</f>
        <v>64.21</v>
      </c>
      <c r="J4" s="434">
        <v>128.42</v>
      </c>
    </row>
    <row r="5" spans="1:10" s="79" customFormat="1" ht="13.5" customHeight="1">
      <c r="A5" s="66">
        <v>368005</v>
      </c>
      <c r="B5" s="66" t="s">
        <v>79</v>
      </c>
      <c r="C5" s="66" t="s">
        <v>290</v>
      </c>
      <c r="D5" s="79" t="s">
        <v>476</v>
      </c>
      <c r="E5" s="76" t="s">
        <v>520</v>
      </c>
      <c r="F5" s="76" t="s">
        <v>578</v>
      </c>
      <c r="G5" s="76">
        <v>230</v>
      </c>
      <c r="H5" s="76"/>
      <c r="I5" s="434">
        <f>J5/230*55</f>
        <v>113.85000000000002</v>
      </c>
      <c r="J5" s="435">
        <v>476.1</v>
      </c>
    </row>
    <row r="6" spans="1:10" s="79" customFormat="1" ht="13.5" customHeight="1">
      <c r="A6" s="66">
        <v>368006</v>
      </c>
      <c r="B6" s="66" t="s">
        <v>156</v>
      </c>
      <c r="C6" s="66" t="s">
        <v>290</v>
      </c>
      <c r="D6" s="79" t="s">
        <v>439</v>
      </c>
      <c r="E6" s="76" t="s">
        <v>334</v>
      </c>
      <c r="F6" s="76" t="s">
        <v>367</v>
      </c>
      <c r="G6" s="76">
        <v>460</v>
      </c>
      <c r="H6" s="76"/>
      <c r="I6" s="434">
        <f>J6/G6*100</f>
        <v>252</v>
      </c>
      <c r="J6" s="435">
        <v>1159.2</v>
      </c>
    </row>
    <row r="7" spans="1:10" s="79" customFormat="1" ht="13.5" customHeight="1">
      <c r="A7" s="66">
        <v>368008</v>
      </c>
      <c r="B7" s="66" t="s">
        <v>156</v>
      </c>
      <c r="C7" s="405" t="s">
        <v>93</v>
      </c>
      <c r="D7" s="79" t="s">
        <v>477</v>
      </c>
      <c r="E7" s="76" t="s">
        <v>335</v>
      </c>
      <c r="F7" s="66">
        <v>38</v>
      </c>
      <c r="G7" s="66">
        <v>38</v>
      </c>
      <c r="I7" s="434">
        <f>J7/F7</f>
        <v>9.28</v>
      </c>
      <c r="J7" s="435">
        <v>352.64</v>
      </c>
    </row>
    <row r="8" spans="1:10" s="79" customFormat="1" ht="13.5" customHeight="1">
      <c r="A8" s="66">
        <v>368009</v>
      </c>
      <c r="B8" s="66" t="s">
        <v>83</v>
      </c>
      <c r="C8" s="405" t="s">
        <v>93</v>
      </c>
      <c r="D8" s="79" t="s">
        <v>477</v>
      </c>
      <c r="E8" s="76" t="s">
        <v>335</v>
      </c>
      <c r="F8" s="66">
        <v>38</v>
      </c>
      <c r="G8" s="66">
        <v>38</v>
      </c>
      <c r="I8" s="434">
        <f>J8/F8</f>
        <v>9.309999999999999</v>
      </c>
      <c r="J8" s="435">
        <v>353.78</v>
      </c>
    </row>
    <row r="9" spans="1:10" s="79" customFormat="1" ht="13.5" customHeight="1">
      <c r="A9" s="66">
        <v>368010</v>
      </c>
      <c r="B9" s="66" t="s">
        <v>83</v>
      </c>
      <c r="C9" s="66" t="s">
        <v>286</v>
      </c>
      <c r="D9" s="79" t="s">
        <v>417</v>
      </c>
      <c r="E9" s="76" t="s">
        <v>334</v>
      </c>
      <c r="F9" s="76" t="s">
        <v>368</v>
      </c>
      <c r="G9" s="76">
        <v>700</v>
      </c>
      <c r="I9" s="434">
        <f>J9/G9*100</f>
        <v>6</v>
      </c>
      <c r="J9" s="435">
        <v>42</v>
      </c>
    </row>
    <row r="10" spans="1:10" s="79" customFormat="1" ht="13.5" customHeight="1">
      <c r="A10" s="66">
        <v>368011</v>
      </c>
      <c r="B10" s="66" t="s">
        <v>156</v>
      </c>
      <c r="C10" s="66" t="s">
        <v>286</v>
      </c>
      <c r="D10" s="79" t="s">
        <v>284</v>
      </c>
      <c r="E10" s="66" t="s">
        <v>335</v>
      </c>
      <c r="F10" s="76">
        <v>230</v>
      </c>
      <c r="G10" s="76">
        <v>230</v>
      </c>
      <c r="I10" s="434">
        <f>J10/F10</f>
        <v>6.3478260869565215</v>
      </c>
      <c r="J10" s="435">
        <v>1460</v>
      </c>
    </row>
    <row r="11" spans="1:10" s="79" customFormat="1" ht="13.5" customHeight="1">
      <c r="A11" s="66">
        <v>368012</v>
      </c>
      <c r="B11" s="66" t="s">
        <v>79</v>
      </c>
      <c r="C11" s="66" t="s">
        <v>290</v>
      </c>
      <c r="D11" s="79" t="s">
        <v>478</v>
      </c>
      <c r="E11" s="66" t="s">
        <v>344</v>
      </c>
      <c r="F11" s="76" t="s">
        <v>368</v>
      </c>
      <c r="G11" s="76">
        <v>350</v>
      </c>
      <c r="H11" s="76"/>
      <c r="I11" s="434">
        <f>J11/G11*50</f>
        <v>78</v>
      </c>
      <c r="J11" s="435">
        <v>546</v>
      </c>
    </row>
    <row r="12" spans="1:10" s="79" customFormat="1" ht="13.5" customHeight="1">
      <c r="A12" s="66">
        <v>368014</v>
      </c>
      <c r="B12" s="66" t="s">
        <v>79</v>
      </c>
      <c r="C12" s="66" t="s">
        <v>290</v>
      </c>
      <c r="D12" s="79" t="s">
        <v>418</v>
      </c>
      <c r="E12" s="239" t="s">
        <v>116</v>
      </c>
      <c r="F12" s="76" t="s">
        <v>369</v>
      </c>
      <c r="G12" s="76">
        <v>17</v>
      </c>
      <c r="H12" s="76"/>
      <c r="I12" s="434">
        <f>J12/G12</f>
        <v>26.05</v>
      </c>
      <c r="J12" s="435">
        <v>442.85</v>
      </c>
    </row>
    <row r="13" spans="1:10" s="79" customFormat="1" ht="13.5" customHeight="1">
      <c r="A13" s="66">
        <v>368015</v>
      </c>
      <c r="B13" s="66" t="s">
        <v>88</v>
      </c>
      <c r="C13" s="66" t="s">
        <v>290</v>
      </c>
      <c r="D13" s="79" t="s">
        <v>414</v>
      </c>
      <c r="E13" s="76" t="s">
        <v>334</v>
      </c>
      <c r="F13" s="76" t="s">
        <v>368</v>
      </c>
      <c r="G13" s="76">
        <v>700</v>
      </c>
      <c r="H13" s="76"/>
      <c r="I13" s="434">
        <f>J13/G13*100</f>
        <v>3</v>
      </c>
      <c r="J13" s="435">
        <v>21</v>
      </c>
    </row>
    <row r="14" spans="1:10" s="79" customFormat="1" ht="27" customHeight="1">
      <c r="A14" s="455" t="s">
        <v>593</v>
      </c>
      <c r="B14" s="66" t="s">
        <v>88</v>
      </c>
      <c r="C14" s="66" t="s">
        <v>286</v>
      </c>
      <c r="D14" s="79" t="s">
        <v>415</v>
      </c>
      <c r="E14" s="76" t="s">
        <v>334</v>
      </c>
      <c r="F14" s="76" t="s">
        <v>366</v>
      </c>
      <c r="G14" s="76">
        <v>300</v>
      </c>
      <c r="I14" s="457">
        <f>J14/G14*100</f>
        <v>10</v>
      </c>
      <c r="J14" s="456">
        <v>30</v>
      </c>
    </row>
    <row r="15" spans="1:10" s="79" customFormat="1" ht="13.5" customHeight="1">
      <c r="A15" s="66">
        <v>368020</v>
      </c>
      <c r="B15" s="66" t="s">
        <v>79</v>
      </c>
      <c r="C15" s="66" t="s">
        <v>290</v>
      </c>
      <c r="D15" s="79" t="s">
        <v>479</v>
      </c>
      <c r="E15" s="76" t="s">
        <v>334</v>
      </c>
      <c r="F15" s="76" t="s">
        <v>524</v>
      </c>
      <c r="G15" s="76">
        <v>23000</v>
      </c>
      <c r="H15" s="76"/>
      <c r="I15" s="434">
        <f>J15/G15*100</f>
        <v>19</v>
      </c>
      <c r="J15" s="435">
        <v>4370</v>
      </c>
    </row>
    <row r="16" spans="1:10" s="79" customFormat="1" ht="13.5" customHeight="1">
      <c r="A16" s="66">
        <v>368022</v>
      </c>
      <c r="B16" s="66" t="s">
        <v>79</v>
      </c>
      <c r="C16" s="66" t="s">
        <v>290</v>
      </c>
      <c r="D16" s="79" t="s">
        <v>419</v>
      </c>
      <c r="E16" s="76" t="s">
        <v>345</v>
      </c>
      <c r="F16" s="76" t="s">
        <v>370</v>
      </c>
      <c r="G16" s="76">
        <v>230</v>
      </c>
      <c r="H16" s="76"/>
      <c r="I16" s="435">
        <f>J16/G16*5</f>
        <v>1922.4413043478262</v>
      </c>
      <c r="J16" s="435">
        <v>88432.3</v>
      </c>
    </row>
    <row r="17" spans="1:10" s="79" customFormat="1" ht="13.5" customHeight="1">
      <c r="A17" s="66">
        <v>368026</v>
      </c>
      <c r="B17" s="66" t="s">
        <v>79</v>
      </c>
      <c r="C17" s="66" t="s">
        <v>290</v>
      </c>
      <c r="D17" s="79" t="s">
        <v>414</v>
      </c>
      <c r="E17" s="76" t="s">
        <v>525</v>
      </c>
      <c r="F17" s="76" t="s">
        <v>224</v>
      </c>
      <c r="G17" s="76">
        <v>2808</v>
      </c>
      <c r="H17" s="76"/>
      <c r="I17" s="435">
        <f>J17</f>
        <v>280</v>
      </c>
      <c r="J17" s="435">
        <v>280</v>
      </c>
    </row>
    <row r="18" spans="1:10" s="79" customFormat="1" ht="13.5" customHeight="1">
      <c r="A18" s="66">
        <v>368027</v>
      </c>
      <c r="B18" s="66" t="s">
        <v>88</v>
      </c>
      <c r="C18" s="66" t="s">
        <v>290</v>
      </c>
      <c r="D18" s="79" t="s">
        <v>480</v>
      </c>
      <c r="E18" s="76" t="s">
        <v>334</v>
      </c>
      <c r="F18" s="76" t="s">
        <v>372</v>
      </c>
      <c r="G18" s="76">
        <v>2100</v>
      </c>
      <c r="H18" s="76"/>
      <c r="I18" s="435">
        <f>J18/G18*100</f>
        <v>2</v>
      </c>
      <c r="J18" s="435">
        <v>42</v>
      </c>
    </row>
    <row r="19" spans="1:10" s="79" customFormat="1" ht="13.5" customHeight="1">
      <c r="A19" s="66">
        <v>368033</v>
      </c>
      <c r="B19" s="66" t="s">
        <v>79</v>
      </c>
      <c r="C19" s="66" t="s">
        <v>290</v>
      </c>
      <c r="D19" s="79" t="s">
        <v>125</v>
      </c>
      <c r="E19" s="76" t="s">
        <v>335</v>
      </c>
      <c r="F19" s="76">
        <v>120</v>
      </c>
      <c r="G19" s="76">
        <v>120</v>
      </c>
      <c r="H19" s="76"/>
      <c r="I19" s="435">
        <v>0.5</v>
      </c>
      <c r="J19" s="435">
        <f>I19*G19</f>
        <v>60</v>
      </c>
    </row>
    <row r="20" spans="1:10" s="79" customFormat="1" ht="13.5" customHeight="1">
      <c r="A20" s="66">
        <v>368039</v>
      </c>
      <c r="B20" s="66" t="s">
        <v>88</v>
      </c>
      <c r="C20" s="66" t="s">
        <v>286</v>
      </c>
      <c r="D20" s="79" t="s">
        <v>439</v>
      </c>
      <c r="E20" s="76" t="s">
        <v>334</v>
      </c>
      <c r="F20" s="76" t="s">
        <v>230</v>
      </c>
      <c r="G20" s="76">
        <v>7700</v>
      </c>
      <c r="I20" s="435">
        <f>J20/G20*100</f>
        <v>5</v>
      </c>
      <c r="J20" s="435">
        <v>385</v>
      </c>
    </row>
    <row r="21" spans="1:10" s="79" customFormat="1" ht="13.5" customHeight="1">
      <c r="A21" s="66">
        <v>368042</v>
      </c>
      <c r="B21" s="66" t="s">
        <v>88</v>
      </c>
      <c r="C21" s="66" t="s">
        <v>290</v>
      </c>
      <c r="D21" s="79" t="s">
        <v>420</v>
      </c>
      <c r="E21" s="76" t="s">
        <v>334</v>
      </c>
      <c r="F21" s="76" t="s">
        <v>223</v>
      </c>
      <c r="G21" s="76">
        <v>3500</v>
      </c>
      <c r="H21" s="76"/>
      <c r="I21" s="435">
        <f>J21/G21*100</f>
        <v>3</v>
      </c>
      <c r="J21" s="435">
        <v>105</v>
      </c>
    </row>
    <row r="22" spans="1:10" s="54" customFormat="1" ht="13.5" customHeight="1">
      <c r="A22" s="52">
        <v>368043</v>
      </c>
      <c r="B22" s="52" t="s">
        <v>83</v>
      </c>
      <c r="C22" s="66" t="s">
        <v>286</v>
      </c>
      <c r="D22" s="54" t="s">
        <v>421</v>
      </c>
      <c r="E22" s="76" t="s">
        <v>335</v>
      </c>
      <c r="F22" s="76">
        <v>115</v>
      </c>
      <c r="G22" s="76">
        <v>115</v>
      </c>
      <c r="I22" s="436">
        <f>J22/F22</f>
        <v>4.97</v>
      </c>
      <c r="J22" s="436">
        <v>571.55</v>
      </c>
    </row>
    <row r="23" spans="1:10" s="54" customFormat="1" ht="13.5" customHeight="1">
      <c r="A23" s="52">
        <v>368044</v>
      </c>
      <c r="B23" s="52" t="s">
        <v>83</v>
      </c>
      <c r="C23" s="66" t="s">
        <v>286</v>
      </c>
      <c r="D23" s="54" t="s">
        <v>421</v>
      </c>
      <c r="E23" s="76" t="s">
        <v>335</v>
      </c>
      <c r="F23" s="76">
        <v>115</v>
      </c>
      <c r="G23" s="76">
        <v>115</v>
      </c>
      <c r="I23" s="436">
        <f>J23/F23</f>
        <v>4.91</v>
      </c>
      <c r="J23" s="436">
        <v>564.65</v>
      </c>
    </row>
    <row r="24" spans="1:10" s="54" customFormat="1" ht="13.5" customHeight="1">
      <c r="A24" s="52">
        <v>368045</v>
      </c>
      <c r="B24" s="52" t="s">
        <v>83</v>
      </c>
      <c r="C24" s="53" t="s">
        <v>286</v>
      </c>
      <c r="D24" s="54" t="s">
        <v>421</v>
      </c>
      <c r="E24" s="76" t="s">
        <v>335</v>
      </c>
      <c r="F24" s="76">
        <v>115</v>
      </c>
      <c r="G24" s="76">
        <v>115</v>
      </c>
      <c r="H24" s="425"/>
      <c r="I24" s="436">
        <f>J24/F24</f>
        <v>4.13</v>
      </c>
      <c r="J24" s="436">
        <v>474.95</v>
      </c>
    </row>
    <row r="25" spans="1:10" s="79" customFormat="1" ht="13.5" customHeight="1">
      <c r="A25" s="66">
        <v>368046</v>
      </c>
      <c r="B25" s="66" t="s">
        <v>79</v>
      </c>
      <c r="C25" s="66" t="s">
        <v>286</v>
      </c>
      <c r="D25" s="79" t="s">
        <v>422</v>
      </c>
      <c r="E25" s="76" t="s">
        <v>334</v>
      </c>
      <c r="F25" s="76" t="s">
        <v>371</v>
      </c>
      <c r="G25" s="76">
        <v>2800</v>
      </c>
      <c r="I25" s="435">
        <f>J25/G25*100</f>
        <v>1</v>
      </c>
      <c r="J25" s="435">
        <v>28</v>
      </c>
    </row>
    <row r="26" spans="1:10" s="79" customFormat="1" ht="13.5" customHeight="1">
      <c r="A26" s="66">
        <v>368048</v>
      </c>
      <c r="B26" s="66" t="s">
        <v>83</v>
      </c>
      <c r="C26" s="66" t="s">
        <v>290</v>
      </c>
      <c r="D26" s="79" t="s">
        <v>481</v>
      </c>
      <c r="E26" s="76" t="s">
        <v>334</v>
      </c>
      <c r="F26" s="76" t="s">
        <v>372</v>
      </c>
      <c r="G26" s="76">
        <v>2100</v>
      </c>
      <c r="H26" s="76"/>
      <c r="I26" s="435">
        <f>J26/G26*100</f>
        <v>129</v>
      </c>
      <c r="J26" s="435">
        <v>2709</v>
      </c>
    </row>
    <row r="27" spans="1:10" s="79" customFormat="1" ht="13.5" customHeight="1">
      <c r="A27" s="66">
        <v>368051</v>
      </c>
      <c r="B27" s="66" t="s">
        <v>156</v>
      </c>
      <c r="C27" s="66" t="s">
        <v>286</v>
      </c>
      <c r="D27" s="79" t="s">
        <v>482</v>
      </c>
      <c r="E27" s="76" t="s">
        <v>335</v>
      </c>
      <c r="F27" s="76">
        <v>700</v>
      </c>
      <c r="G27" s="76">
        <v>700</v>
      </c>
      <c r="I27" s="435">
        <f>J27/F27</f>
        <v>1.66</v>
      </c>
      <c r="J27" s="435">
        <v>1162</v>
      </c>
    </row>
    <row r="28" spans="1:10" s="79" customFormat="1" ht="13.5" customHeight="1">
      <c r="A28" s="66">
        <v>368052</v>
      </c>
      <c r="B28" s="66" t="s">
        <v>156</v>
      </c>
      <c r="C28" s="66" t="s">
        <v>286</v>
      </c>
      <c r="D28" s="79" t="s">
        <v>482</v>
      </c>
      <c r="E28" s="76" t="s">
        <v>335</v>
      </c>
      <c r="F28" s="76">
        <v>700</v>
      </c>
      <c r="G28" s="76">
        <v>700</v>
      </c>
      <c r="I28" s="435">
        <f>J28/F28</f>
        <v>1.45</v>
      </c>
      <c r="J28" s="435">
        <v>1015</v>
      </c>
    </row>
    <row r="29" spans="1:10" s="79" customFormat="1" ht="13.5" customHeight="1">
      <c r="A29" s="66">
        <v>368053</v>
      </c>
      <c r="B29" s="66" t="s">
        <v>156</v>
      </c>
      <c r="C29" s="66" t="s">
        <v>286</v>
      </c>
      <c r="D29" s="79" t="s">
        <v>482</v>
      </c>
      <c r="E29" s="76" t="s">
        <v>335</v>
      </c>
      <c r="F29" s="76">
        <v>2100</v>
      </c>
      <c r="G29" s="76">
        <v>2100</v>
      </c>
      <c r="I29" s="435">
        <f>J29/F29</f>
        <v>0.98</v>
      </c>
      <c r="J29" s="435">
        <v>2058</v>
      </c>
    </row>
    <row r="30" spans="1:10" s="79" customFormat="1" ht="13.5" customHeight="1">
      <c r="A30" s="66">
        <v>368054</v>
      </c>
      <c r="B30" s="66" t="s">
        <v>88</v>
      </c>
      <c r="C30" s="66" t="s">
        <v>286</v>
      </c>
      <c r="D30" s="79" t="s">
        <v>424</v>
      </c>
      <c r="E30" s="76" t="s">
        <v>347</v>
      </c>
      <c r="F30" s="76" t="s">
        <v>376</v>
      </c>
      <c r="G30" s="76">
        <v>3588</v>
      </c>
      <c r="I30" s="435">
        <f>J30/G30*26</f>
        <v>5.46</v>
      </c>
      <c r="J30" s="435">
        <v>753.48</v>
      </c>
    </row>
    <row r="31" spans="1:10" s="79" customFormat="1" ht="13.5" customHeight="1">
      <c r="A31" s="66">
        <v>368055</v>
      </c>
      <c r="B31" s="66" t="s">
        <v>79</v>
      </c>
      <c r="C31" s="66" t="s">
        <v>286</v>
      </c>
      <c r="D31" s="79" t="s">
        <v>439</v>
      </c>
      <c r="E31" s="76" t="s">
        <v>527</v>
      </c>
      <c r="F31" s="76" t="s">
        <v>559</v>
      </c>
      <c r="G31" s="76">
        <v>230</v>
      </c>
      <c r="I31" s="435">
        <f>J31</f>
        <v>609</v>
      </c>
      <c r="J31" s="435">
        <v>609</v>
      </c>
    </row>
    <row r="32" spans="1:10" s="79" customFormat="1" ht="13.5" customHeight="1">
      <c r="A32" s="66">
        <v>368056</v>
      </c>
      <c r="B32" s="66" t="s">
        <v>79</v>
      </c>
      <c r="C32" s="66" t="s">
        <v>286</v>
      </c>
      <c r="D32" s="79" t="s">
        <v>417</v>
      </c>
      <c r="E32" s="76" t="s">
        <v>532</v>
      </c>
      <c r="F32" s="76" t="s">
        <v>559</v>
      </c>
      <c r="G32" s="76">
        <v>2100</v>
      </c>
      <c r="I32" s="435">
        <f>J32</f>
        <v>42</v>
      </c>
      <c r="J32" s="435">
        <v>42</v>
      </c>
    </row>
    <row r="33" spans="1:18" ht="13.5" customHeight="1">
      <c r="A33" s="405">
        <v>368058</v>
      </c>
      <c r="B33" s="405" t="s">
        <v>83</v>
      </c>
      <c r="C33" s="66" t="s">
        <v>286</v>
      </c>
      <c r="D33" s="403" t="s">
        <v>421</v>
      </c>
      <c r="E33" s="76" t="s">
        <v>335</v>
      </c>
      <c r="F33" s="76">
        <v>115</v>
      </c>
      <c r="G33" s="76">
        <v>115</v>
      </c>
      <c r="H33" s="18"/>
      <c r="I33" s="434">
        <f>J33/G33</f>
        <v>5.22</v>
      </c>
      <c r="J33" s="434">
        <v>600.3</v>
      </c>
      <c r="L33" s="18"/>
      <c r="N33" s="18"/>
      <c r="Q33" s="18"/>
      <c r="R33" s="18"/>
    </row>
    <row r="34" spans="1:18" ht="13.5" customHeight="1">
      <c r="A34" s="405">
        <v>368059</v>
      </c>
      <c r="B34" s="405" t="s">
        <v>83</v>
      </c>
      <c r="C34" s="66" t="s">
        <v>286</v>
      </c>
      <c r="D34" s="403" t="s">
        <v>421</v>
      </c>
      <c r="E34" s="76" t="s">
        <v>335</v>
      </c>
      <c r="F34" s="76">
        <v>115</v>
      </c>
      <c r="G34" s="76">
        <v>115</v>
      </c>
      <c r="H34" s="18"/>
      <c r="I34" s="434">
        <f>J34/G34</f>
        <v>5.01</v>
      </c>
      <c r="J34" s="434">
        <v>576.15</v>
      </c>
      <c r="L34" s="18"/>
      <c r="N34" s="18"/>
      <c r="Q34" s="18"/>
      <c r="R34" s="18"/>
    </row>
    <row r="35" spans="1:18" ht="13.5" customHeight="1">
      <c r="A35" s="405">
        <v>368060</v>
      </c>
      <c r="B35" s="405" t="s">
        <v>156</v>
      </c>
      <c r="C35" s="66" t="s">
        <v>286</v>
      </c>
      <c r="D35" s="403" t="s">
        <v>421</v>
      </c>
      <c r="E35" s="76" t="s">
        <v>335</v>
      </c>
      <c r="F35" s="76">
        <v>115</v>
      </c>
      <c r="G35" s="76">
        <v>115</v>
      </c>
      <c r="H35" s="18"/>
      <c r="I35" s="434">
        <f>J35/G35</f>
        <v>4.2</v>
      </c>
      <c r="J35" s="434">
        <v>483</v>
      </c>
      <c r="L35" s="18"/>
      <c r="N35" s="18"/>
      <c r="Q35" s="18"/>
      <c r="R35" s="18"/>
    </row>
    <row r="36" spans="1:10" s="79" customFormat="1" ht="13.5" customHeight="1">
      <c r="A36" s="66">
        <v>368069</v>
      </c>
      <c r="B36" s="66" t="s">
        <v>79</v>
      </c>
      <c r="C36" s="66" t="s">
        <v>286</v>
      </c>
      <c r="D36" s="79" t="s">
        <v>425</v>
      </c>
      <c r="E36" s="76" t="s">
        <v>533</v>
      </c>
      <c r="F36" s="76" t="s">
        <v>559</v>
      </c>
      <c r="G36" s="76">
        <v>6700</v>
      </c>
      <c r="I36" s="435">
        <f>J36</f>
        <v>355</v>
      </c>
      <c r="J36" s="435">
        <v>355</v>
      </c>
    </row>
    <row r="37" spans="1:10" s="79" customFormat="1" ht="13.5" customHeight="1">
      <c r="A37" s="66">
        <v>368070</v>
      </c>
      <c r="B37" s="66" t="s">
        <v>79</v>
      </c>
      <c r="C37" s="66" t="s">
        <v>286</v>
      </c>
      <c r="D37" s="79" t="s">
        <v>426</v>
      </c>
      <c r="E37" s="76" t="s">
        <v>533</v>
      </c>
      <c r="F37" s="76" t="s">
        <v>559</v>
      </c>
      <c r="G37" s="76">
        <v>6700</v>
      </c>
      <c r="I37" s="435">
        <f>J37</f>
        <v>67</v>
      </c>
      <c r="J37" s="435">
        <v>67</v>
      </c>
    </row>
    <row r="38" spans="1:10" s="79" customFormat="1" ht="13.5" customHeight="1">
      <c r="A38" s="66">
        <v>368074</v>
      </c>
      <c r="B38" s="66" t="s">
        <v>156</v>
      </c>
      <c r="C38" s="66" t="s">
        <v>286</v>
      </c>
      <c r="D38" s="79" t="s">
        <v>518</v>
      </c>
      <c r="E38" s="76" t="s">
        <v>335</v>
      </c>
      <c r="F38" s="76">
        <v>230</v>
      </c>
      <c r="G38" s="76">
        <v>230</v>
      </c>
      <c r="I38" s="435">
        <f>J38/F38</f>
        <v>6.65</v>
      </c>
      <c r="J38" s="435">
        <v>1529.5</v>
      </c>
    </row>
    <row r="39" spans="1:10" s="79" customFormat="1" ht="13.5" customHeight="1">
      <c r="A39" s="66">
        <v>368075</v>
      </c>
      <c r="B39" s="66" t="s">
        <v>83</v>
      </c>
      <c r="C39" s="66" t="s">
        <v>286</v>
      </c>
      <c r="D39" s="79" t="s">
        <v>518</v>
      </c>
      <c r="E39" s="76" t="s">
        <v>335</v>
      </c>
      <c r="F39" s="76">
        <v>230</v>
      </c>
      <c r="G39" s="76">
        <v>230</v>
      </c>
      <c r="I39" s="435">
        <f>J39/F39</f>
        <v>7.45</v>
      </c>
      <c r="J39" s="435">
        <v>1713.5</v>
      </c>
    </row>
    <row r="40" spans="1:10" s="79" customFormat="1" ht="13.5" customHeight="1">
      <c r="A40" s="66">
        <v>368076</v>
      </c>
      <c r="B40" s="66" t="s">
        <v>79</v>
      </c>
      <c r="C40" s="66" t="s">
        <v>286</v>
      </c>
      <c r="D40" s="79" t="s">
        <v>427</v>
      </c>
      <c r="E40" s="76" t="s">
        <v>535</v>
      </c>
      <c r="F40" s="76" t="s">
        <v>559</v>
      </c>
      <c r="G40" s="76">
        <v>2800</v>
      </c>
      <c r="I40" s="435">
        <f>J40</f>
        <v>140</v>
      </c>
      <c r="J40" s="435">
        <v>140</v>
      </c>
    </row>
    <row r="41" spans="1:10" s="79" customFormat="1" ht="13.5" customHeight="1">
      <c r="A41" s="66">
        <v>368077</v>
      </c>
      <c r="B41" s="66" t="s">
        <v>79</v>
      </c>
      <c r="C41" s="66" t="s">
        <v>286</v>
      </c>
      <c r="D41" s="79" t="s">
        <v>483</v>
      </c>
      <c r="E41" s="76" t="s">
        <v>334</v>
      </c>
      <c r="F41" s="76" t="s">
        <v>368</v>
      </c>
      <c r="G41" s="76">
        <v>700</v>
      </c>
      <c r="I41" s="435">
        <f>J41/G41*100</f>
        <v>3</v>
      </c>
      <c r="J41" s="435">
        <v>21</v>
      </c>
    </row>
    <row r="42" spans="1:10" s="79" customFormat="1" ht="13.5" customHeight="1">
      <c r="A42" s="66">
        <v>368078</v>
      </c>
      <c r="B42" s="66" t="s">
        <v>88</v>
      </c>
      <c r="C42" s="66" t="s">
        <v>286</v>
      </c>
      <c r="D42" s="79" t="s">
        <v>429</v>
      </c>
      <c r="E42" s="76" t="s">
        <v>335</v>
      </c>
      <c r="F42" s="76">
        <v>28</v>
      </c>
      <c r="G42" s="76">
        <v>28</v>
      </c>
      <c r="I42" s="435">
        <f>J42/G42</f>
        <v>43.74</v>
      </c>
      <c r="J42" s="435">
        <v>1224.72</v>
      </c>
    </row>
    <row r="43" spans="1:10" s="79" customFormat="1" ht="13.5" customHeight="1">
      <c r="A43" s="66">
        <v>368080</v>
      </c>
      <c r="B43" s="66" t="s">
        <v>88</v>
      </c>
      <c r="C43" s="66" t="s">
        <v>286</v>
      </c>
      <c r="D43" s="79" t="s">
        <v>137</v>
      </c>
      <c r="E43" s="76" t="s">
        <v>335</v>
      </c>
      <c r="F43" s="76">
        <v>230</v>
      </c>
      <c r="G43" s="76">
        <v>230</v>
      </c>
      <c r="I43" s="435"/>
      <c r="J43" s="435"/>
    </row>
    <row r="44" spans="1:10" s="79" customFormat="1" ht="13.5" customHeight="1">
      <c r="A44" s="66">
        <v>368081</v>
      </c>
      <c r="B44" s="66" t="s">
        <v>88</v>
      </c>
      <c r="C44" s="66" t="s">
        <v>286</v>
      </c>
      <c r="D44" s="79" t="s">
        <v>138</v>
      </c>
      <c r="E44" s="76" t="s">
        <v>335</v>
      </c>
      <c r="F44" s="76">
        <v>230</v>
      </c>
      <c r="G44" s="76">
        <v>230</v>
      </c>
      <c r="I44" s="435"/>
      <c r="J44" s="435"/>
    </row>
    <row r="45" spans="1:10" s="79" customFormat="1" ht="13.5" customHeight="1">
      <c r="A45" s="66">
        <v>368082</v>
      </c>
      <c r="B45" s="66" t="s">
        <v>88</v>
      </c>
      <c r="C45" s="66" t="s">
        <v>286</v>
      </c>
      <c r="D45" s="79" t="s">
        <v>139</v>
      </c>
      <c r="E45" s="76" t="s">
        <v>335</v>
      </c>
      <c r="F45" s="76">
        <v>460</v>
      </c>
      <c r="G45" s="76">
        <v>460</v>
      </c>
      <c r="I45" s="435"/>
      <c r="J45" s="435"/>
    </row>
    <row r="46" spans="1:10" s="79" customFormat="1" ht="13.5" customHeight="1">
      <c r="A46" s="66">
        <v>368083</v>
      </c>
      <c r="B46" s="66" t="s">
        <v>88</v>
      </c>
      <c r="C46" s="66" t="s">
        <v>286</v>
      </c>
      <c r="D46" s="79" t="s">
        <v>140</v>
      </c>
      <c r="E46" s="76" t="s">
        <v>335</v>
      </c>
      <c r="F46" s="76">
        <v>115</v>
      </c>
      <c r="G46" s="76">
        <v>115</v>
      </c>
      <c r="I46" s="435"/>
      <c r="J46" s="435"/>
    </row>
    <row r="47" spans="1:10" s="79" customFormat="1" ht="13.5" customHeight="1">
      <c r="A47" s="66">
        <v>368084</v>
      </c>
      <c r="B47" s="66" t="s">
        <v>88</v>
      </c>
      <c r="C47" s="66" t="s">
        <v>286</v>
      </c>
      <c r="D47" s="79" t="s">
        <v>141</v>
      </c>
      <c r="E47" s="76" t="s">
        <v>335</v>
      </c>
      <c r="F47" s="76">
        <v>115</v>
      </c>
      <c r="G47" s="76">
        <v>115</v>
      </c>
      <c r="I47" s="435"/>
      <c r="J47" s="435"/>
    </row>
    <row r="48" spans="1:10" s="79" customFormat="1" ht="13.5" customHeight="1">
      <c r="A48" s="66">
        <v>368085</v>
      </c>
      <c r="B48" s="66" t="s">
        <v>88</v>
      </c>
      <c r="C48" s="66" t="s">
        <v>286</v>
      </c>
      <c r="D48" s="79" t="s">
        <v>142</v>
      </c>
      <c r="E48" s="76" t="s">
        <v>335</v>
      </c>
      <c r="F48" s="76">
        <v>230</v>
      </c>
      <c r="G48" s="76">
        <v>230</v>
      </c>
      <c r="I48" s="435"/>
      <c r="J48" s="435"/>
    </row>
    <row r="49" spans="1:10" s="79" customFormat="1" ht="13.5" customHeight="1">
      <c r="A49" s="66">
        <v>368093</v>
      </c>
      <c r="B49" s="66" t="s">
        <v>83</v>
      </c>
      <c r="C49" s="66" t="s">
        <v>290</v>
      </c>
      <c r="D49" s="79" t="s">
        <v>466</v>
      </c>
      <c r="E49" s="76" t="s">
        <v>334</v>
      </c>
      <c r="F49" s="76" t="s">
        <v>373</v>
      </c>
      <c r="G49" s="76">
        <v>1400</v>
      </c>
      <c r="H49" s="76"/>
      <c r="I49" s="435">
        <f>J49/G49*100</f>
        <v>12</v>
      </c>
      <c r="J49" s="435">
        <v>168</v>
      </c>
    </row>
    <row r="50" spans="1:10" s="79" customFormat="1" ht="13.5" customHeight="1">
      <c r="A50" s="66">
        <v>368097</v>
      </c>
      <c r="B50" s="66" t="s">
        <v>79</v>
      </c>
      <c r="C50" s="66" t="s">
        <v>290</v>
      </c>
      <c r="D50" s="79" t="s">
        <v>430</v>
      </c>
      <c r="E50" s="76" t="s">
        <v>335</v>
      </c>
      <c r="F50" s="76">
        <v>700</v>
      </c>
      <c r="G50" s="76">
        <v>700</v>
      </c>
      <c r="H50" s="76"/>
      <c r="I50" s="435">
        <f>J50/G50</f>
        <v>5.61</v>
      </c>
      <c r="J50" s="435">
        <v>3927</v>
      </c>
    </row>
    <row r="51" spans="1:10" s="79" customFormat="1" ht="13.5" customHeight="1">
      <c r="A51" s="66">
        <v>368099</v>
      </c>
      <c r="B51" s="66" t="s">
        <v>79</v>
      </c>
      <c r="C51" s="66" t="s">
        <v>290</v>
      </c>
      <c r="D51" s="79" t="s">
        <v>145</v>
      </c>
      <c r="E51" s="76" t="s">
        <v>348</v>
      </c>
      <c r="F51" s="76" t="s">
        <v>224</v>
      </c>
      <c r="G51" s="76">
        <v>702</v>
      </c>
      <c r="H51" s="76"/>
      <c r="I51" s="435"/>
      <c r="J51" s="435"/>
    </row>
    <row r="52" spans="1:10" s="79" customFormat="1" ht="13.5" customHeight="1">
      <c r="A52" s="66">
        <v>368100</v>
      </c>
      <c r="B52" s="66" t="s">
        <v>79</v>
      </c>
      <c r="C52" s="66" t="s">
        <v>290</v>
      </c>
      <c r="D52" s="79" t="s">
        <v>146</v>
      </c>
      <c r="E52" s="76" t="s">
        <v>536</v>
      </c>
      <c r="F52" s="76" t="s">
        <v>538</v>
      </c>
      <c r="G52" s="76">
        <v>950</v>
      </c>
      <c r="H52" s="76"/>
      <c r="I52" s="435">
        <f>J52/G52*400</f>
        <v>3332</v>
      </c>
      <c r="J52" s="435">
        <v>7913.5</v>
      </c>
    </row>
    <row r="53" spans="1:10" s="79" customFormat="1" ht="27" customHeight="1">
      <c r="A53" s="455" t="s">
        <v>594</v>
      </c>
      <c r="B53" s="66" t="s">
        <v>79</v>
      </c>
      <c r="C53" s="66" t="s">
        <v>286</v>
      </c>
      <c r="D53" s="79" t="s">
        <v>415</v>
      </c>
      <c r="E53" s="76" t="s">
        <v>340</v>
      </c>
      <c r="F53" s="76" t="s">
        <v>381</v>
      </c>
      <c r="G53" s="76">
        <v>700</v>
      </c>
      <c r="I53" s="456">
        <f>J53/G53*100</f>
        <v>2</v>
      </c>
      <c r="J53" s="456">
        <v>14</v>
      </c>
    </row>
    <row r="54" spans="1:10" s="79" customFormat="1" ht="13.5" customHeight="1">
      <c r="A54" s="66">
        <v>368114</v>
      </c>
      <c r="B54" s="66" t="s">
        <v>79</v>
      </c>
      <c r="C54" s="66" t="s">
        <v>290</v>
      </c>
      <c r="D54" s="79" t="s">
        <v>484</v>
      </c>
      <c r="E54" s="76" t="s">
        <v>36</v>
      </c>
      <c r="F54" s="76" t="s">
        <v>373</v>
      </c>
      <c r="G54" s="76">
        <v>3500</v>
      </c>
      <c r="H54" s="76"/>
      <c r="I54" s="435">
        <f>J54/G54*250</f>
        <v>62.5</v>
      </c>
      <c r="J54" s="435">
        <v>875</v>
      </c>
    </row>
    <row r="55" spans="1:10" s="79" customFormat="1" ht="13.5" customHeight="1">
      <c r="A55" s="66">
        <v>368115</v>
      </c>
      <c r="B55" s="66" t="s">
        <v>79</v>
      </c>
      <c r="C55" s="66" t="s">
        <v>290</v>
      </c>
      <c r="D55" s="79" t="s">
        <v>432</v>
      </c>
      <c r="E55" s="76" t="s">
        <v>36</v>
      </c>
      <c r="F55" s="76" t="s">
        <v>373</v>
      </c>
      <c r="G55" s="76">
        <v>3500</v>
      </c>
      <c r="H55" s="76"/>
      <c r="I55" s="435">
        <f>J55/G55*250</f>
        <v>85</v>
      </c>
      <c r="J55" s="435">
        <v>1190</v>
      </c>
    </row>
    <row r="56" spans="1:10" s="79" customFormat="1" ht="13.5" customHeight="1">
      <c r="A56" s="66">
        <v>368116</v>
      </c>
      <c r="B56" s="66" t="s">
        <v>88</v>
      </c>
      <c r="C56" s="66" t="s">
        <v>290</v>
      </c>
      <c r="D56" s="79" t="s">
        <v>433</v>
      </c>
      <c r="E56" s="76" t="s">
        <v>349</v>
      </c>
      <c r="F56" s="76" t="s">
        <v>225</v>
      </c>
      <c r="G56" s="76">
        <v>225</v>
      </c>
      <c r="H56" s="76"/>
      <c r="I56" s="435">
        <f>J56/G56*25</f>
        <v>27</v>
      </c>
      <c r="J56" s="435">
        <v>243</v>
      </c>
    </row>
    <row r="57" spans="1:10" s="79" customFormat="1" ht="13.5" customHeight="1">
      <c r="A57" s="66">
        <v>368117</v>
      </c>
      <c r="B57" s="66" t="s">
        <v>79</v>
      </c>
      <c r="C57" s="66" t="s">
        <v>290</v>
      </c>
      <c r="D57" s="79" t="s">
        <v>434</v>
      </c>
      <c r="E57" s="76" t="s">
        <v>345</v>
      </c>
      <c r="F57" s="76" t="s">
        <v>370</v>
      </c>
      <c r="G57" s="76">
        <v>230</v>
      </c>
      <c r="H57" s="76"/>
      <c r="I57" s="435">
        <f>J57/G57*5</f>
        <v>17.450000000000003</v>
      </c>
      <c r="J57" s="435">
        <v>802.7</v>
      </c>
    </row>
    <row r="58" spans="1:10" s="79" customFormat="1" ht="13.5" customHeight="1">
      <c r="A58" s="66">
        <v>368119</v>
      </c>
      <c r="B58" s="66" t="s">
        <v>88</v>
      </c>
      <c r="C58" s="66" t="s">
        <v>290</v>
      </c>
      <c r="D58" s="79" t="s">
        <v>435</v>
      </c>
      <c r="E58" s="76" t="s">
        <v>336</v>
      </c>
      <c r="F58" s="76" t="s">
        <v>380</v>
      </c>
      <c r="G58" s="76">
        <v>230</v>
      </c>
      <c r="H58" s="76"/>
      <c r="I58" s="435">
        <f>J58/G58*2</f>
        <v>0.060000000000000005</v>
      </c>
      <c r="J58" s="435">
        <v>6.9</v>
      </c>
    </row>
    <row r="59" spans="1:10" s="79" customFormat="1" ht="13.5" customHeight="1">
      <c r="A59" s="66">
        <v>368150</v>
      </c>
      <c r="B59" s="66" t="s">
        <v>79</v>
      </c>
      <c r="C59" s="66" t="s">
        <v>291</v>
      </c>
      <c r="D59" s="79" t="s">
        <v>485</v>
      </c>
      <c r="E59" s="76" t="s">
        <v>335</v>
      </c>
      <c r="F59" s="76">
        <v>228</v>
      </c>
      <c r="G59" s="76">
        <v>228</v>
      </c>
      <c r="I59" s="435">
        <f>J59/G59</f>
        <v>38.59</v>
      </c>
      <c r="J59" s="435">
        <v>8798.52</v>
      </c>
    </row>
    <row r="60" spans="1:10" s="79" customFormat="1" ht="13.5" customHeight="1">
      <c r="A60" s="66">
        <v>368152</v>
      </c>
      <c r="B60" s="66" t="s">
        <v>79</v>
      </c>
      <c r="C60" s="66" t="s">
        <v>291</v>
      </c>
      <c r="D60" s="79" t="s">
        <v>486</v>
      </c>
      <c r="E60" s="76" t="s">
        <v>335</v>
      </c>
      <c r="F60" s="76">
        <v>228</v>
      </c>
      <c r="G60" s="76">
        <v>228</v>
      </c>
      <c r="I60" s="435">
        <f aca="true" t="shared" si="0" ref="I60:I80">J60/G60</f>
        <v>38.59</v>
      </c>
      <c r="J60" s="435">
        <v>8798.52</v>
      </c>
    </row>
    <row r="61" spans="1:10" s="79" customFormat="1" ht="13.5" customHeight="1">
      <c r="A61" s="66">
        <v>368154</v>
      </c>
      <c r="B61" s="66" t="s">
        <v>79</v>
      </c>
      <c r="C61" s="66" t="s">
        <v>291</v>
      </c>
      <c r="D61" s="79" t="s">
        <v>487</v>
      </c>
      <c r="E61" s="76" t="s">
        <v>335</v>
      </c>
      <c r="F61" s="76">
        <v>228</v>
      </c>
      <c r="G61" s="76">
        <v>228</v>
      </c>
      <c r="I61" s="435">
        <f t="shared" si="0"/>
        <v>38.59</v>
      </c>
      <c r="J61" s="435">
        <v>8798.52</v>
      </c>
    </row>
    <row r="62" spans="1:10" s="79" customFormat="1" ht="13.5" customHeight="1">
      <c r="A62" s="66">
        <v>368156</v>
      </c>
      <c r="B62" s="66" t="s">
        <v>79</v>
      </c>
      <c r="C62" s="66" t="s">
        <v>291</v>
      </c>
      <c r="D62" s="79" t="s">
        <v>488</v>
      </c>
      <c r="E62" s="76" t="s">
        <v>335</v>
      </c>
      <c r="F62" s="76">
        <v>228</v>
      </c>
      <c r="G62" s="76">
        <v>228</v>
      </c>
      <c r="I62" s="435">
        <f t="shared" si="0"/>
        <v>38.59</v>
      </c>
      <c r="J62" s="435">
        <v>8798.52</v>
      </c>
    </row>
    <row r="63" spans="1:10" s="79" customFormat="1" ht="13.5" customHeight="1">
      <c r="A63" s="66">
        <v>368158</v>
      </c>
      <c r="B63" s="66" t="s">
        <v>79</v>
      </c>
      <c r="C63" s="66" t="s">
        <v>291</v>
      </c>
      <c r="D63" s="79" t="s">
        <v>489</v>
      </c>
      <c r="E63" s="76" t="s">
        <v>335</v>
      </c>
      <c r="F63" s="76">
        <v>228</v>
      </c>
      <c r="G63" s="76">
        <v>228</v>
      </c>
      <c r="I63" s="435">
        <f t="shared" si="0"/>
        <v>38.59</v>
      </c>
      <c r="J63" s="435">
        <v>8798.52</v>
      </c>
    </row>
    <row r="64" spans="1:10" s="79" customFormat="1" ht="13.5" customHeight="1">
      <c r="A64" s="66">
        <v>368160</v>
      </c>
      <c r="B64" s="66" t="s">
        <v>79</v>
      </c>
      <c r="C64" s="66" t="s">
        <v>291</v>
      </c>
      <c r="D64" s="79" t="s">
        <v>490</v>
      </c>
      <c r="E64" s="76" t="s">
        <v>335</v>
      </c>
      <c r="F64" s="76">
        <v>228</v>
      </c>
      <c r="G64" s="76">
        <v>228</v>
      </c>
      <c r="I64" s="435">
        <f t="shared" si="0"/>
        <v>38.59</v>
      </c>
      <c r="J64" s="435">
        <v>8798.52</v>
      </c>
    </row>
    <row r="65" spans="1:10" s="54" customFormat="1" ht="13.5" customHeight="1">
      <c r="A65" s="52">
        <v>368172</v>
      </c>
      <c r="B65" s="52" t="s">
        <v>79</v>
      </c>
      <c r="C65" s="52" t="s">
        <v>287</v>
      </c>
      <c r="D65" s="54" t="s">
        <v>491</v>
      </c>
      <c r="E65" s="76" t="s">
        <v>335</v>
      </c>
      <c r="F65" s="426">
        <v>40</v>
      </c>
      <c r="G65" s="426">
        <v>40</v>
      </c>
      <c r="I65" s="435">
        <f t="shared" si="0"/>
        <v>19.77</v>
      </c>
      <c r="J65" s="436">
        <v>790.8</v>
      </c>
    </row>
    <row r="66" spans="1:10" s="54" customFormat="1" ht="13.5" customHeight="1">
      <c r="A66" s="52">
        <v>368173</v>
      </c>
      <c r="B66" s="52" t="s">
        <v>79</v>
      </c>
      <c r="C66" s="52" t="s">
        <v>287</v>
      </c>
      <c r="D66" s="54" t="s">
        <v>491</v>
      </c>
      <c r="E66" s="76" t="s">
        <v>335</v>
      </c>
      <c r="F66" s="426">
        <v>40</v>
      </c>
      <c r="G66" s="426">
        <v>40</v>
      </c>
      <c r="I66" s="435">
        <f t="shared" si="0"/>
        <v>19.77</v>
      </c>
      <c r="J66" s="436">
        <v>790.8</v>
      </c>
    </row>
    <row r="67" spans="1:10" s="54" customFormat="1" ht="13.5" customHeight="1">
      <c r="A67" s="52">
        <v>368174</v>
      </c>
      <c r="B67" s="52" t="s">
        <v>83</v>
      </c>
      <c r="C67" s="52" t="s">
        <v>287</v>
      </c>
      <c r="D67" s="54" t="s">
        <v>491</v>
      </c>
      <c r="E67" s="76" t="s">
        <v>335</v>
      </c>
      <c r="F67" s="426">
        <v>40</v>
      </c>
      <c r="G67" s="426">
        <v>40</v>
      </c>
      <c r="I67" s="435">
        <f t="shared" si="0"/>
        <v>23.669999999999998</v>
      </c>
      <c r="J67" s="436">
        <v>946.8</v>
      </c>
    </row>
    <row r="68" spans="1:10" s="79" customFormat="1" ht="11.25" customHeight="1">
      <c r="A68" s="66">
        <v>368175</v>
      </c>
      <c r="B68" s="52" t="s">
        <v>83</v>
      </c>
      <c r="C68" s="52" t="s">
        <v>287</v>
      </c>
      <c r="D68" s="79" t="s">
        <v>491</v>
      </c>
      <c r="E68" s="76" t="s">
        <v>335</v>
      </c>
      <c r="F68" s="426">
        <v>40</v>
      </c>
      <c r="G68" s="426">
        <v>40</v>
      </c>
      <c r="I68" s="435">
        <f t="shared" si="0"/>
        <v>18.990000000000002</v>
      </c>
      <c r="J68" s="435">
        <v>759.6</v>
      </c>
    </row>
    <row r="69" spans="1:10" s="54" customFormat="1" ht="13.5" customHeight="1">
      <c r="A69" s="52">
        <v>368176</v>
      </c>
      <c r="B69" s="52" t="s">
        <v>156</v>
      </c>
      <c r="C69" s="52" t="s">
        <v>287</v>
      </c>
      <c r="D69" s="54" t="s">
        <v>491</v>
      </c>
      <c r="E69" s="76" t="s">
        <v>335</v>
      </c>
      <c r="F69" s="426">
        <v>40</v>
      </c>
      <c r="G69" s="426">
        <v>40</v>
      </c>
      <c r="I69" s="435">
        <f t="shared" si="0"/>
        <v>21.34</v>
      </c>
      <c r="J69" s="436">
        <v>853.6</v>
      </c>
    </row>
    <row r="70" spans="1:10" s="54" customFormat="1" ht="13.5" customHeight="1">
      <c r="A70" s="52">
        <v>368177</v>
      </c>
      <c r="B70" s="52" t="s">
        <v>83</v>
      </c>
      <c r="C70" s="52" t="s">
        <v>287</v>
      </c>
      <c r="D70" s="54" t="s">
        <v>491</v>
      </c>
      <c r="E70" s="76" t="s">
        <v>335</v>
      </c>
      <c r="F70" s="426">
        <v>40</v>
      </c>
      <c r="G70" s="426">
        <v>40</v>
      </c>
      <c r="I70" s="435">
        <f t="shared" si="0"/>
        <v>19.66</v>
      </c>
      <c r="J70" s="436">
        <v>786.4</v>
      </c>
    </row>
    <row r="71" spans="1:10" s="54" customFormat="1" ht="13.5" customHeight="1">
      <c r="A71" s="52">
        <v>368178</v>
      </c>
      <c r="B71" s="52" t="s">
        <v>83</v>
      </c>
      <c r="C71" s="52" t="s">
        <v>287</v>
      </c>
      <c r="D71" s="54" t="s">
        <v>492</v>
      </c>
      <c r="E71" s="76" t="s">
        <v>335</v>
      </c>
      <c r="F71" s="426">
        <v>40</v>
      </c>
      <c r="G71" s="426">
        <v>40</v>
      </c>
      <c r="I71" s="435">
        <f t="shared" si="0"/>
        <v>26.4</v>
      </c>
      <c r="J71" s="436">
        <v>1056</v>
      </c>
    </row>
    <row r="72" spans="1:10" s="54" customFormat="1" ht="15.75" customHeight="1">
      <c r="A72" s="52">
        <v>368179</v>
      </c>
      <c r="B72" s="52" t="s">
        <v>79</v>
      </c>
      <c r="C72" s="52" t="s">
        <v>287</v>
      </c>
      <c r="D72" s="54" t="s">
        <v>492</v>
      </c>
      <c r="E72" s="76" t="s">
        <v>335</v>
      </c>
      <c r="F72" s="426">
        <v>40</v>
      </c>
      <c r="G72" s="426">
        <v>40</v>
      </c>
      <c r="I72" s="435">
        <f t="shared" si="0"/>
        <v>18.5</v>
      </c>
      <c r="J72" s="436">
        <v>740</v>
      </c>
    </row>
    <row r="73" spans="1:10" s="79" customFormat="1" ht="13.5" customHeight="1">
      <c r="A73" s="66">
        <v>368191</v>
      </c>
      <c r="B73" s="52" t="s">
        <v>79</v>
      </c>
      <c r="C73" s="52" t="s">
        <v>287</v>
      </c>
      <c r="D73" s="79" t="s">
        <v>493</v>
      </c>
      <c r="E73" s="76" t="s">
        <v>335</v>
      </c>
      <c r="F73" s="426" t="s">
        <v>219</v>
      </c>
      <c r="G73" s="426" t="s">
        <v>219</v>
      </c>
      <c r="I73" s="435"/>
      <c r="J73" s="435"/>
    </row>
    <row r="74" spans="1:10" s="79" customFormat="1" ht="13.5" customHeight="1">
      <c r="A74" s="66">
        <v>368192</v>
      </c>
      <c r="B74" s="66" t="s">
        <v>83</v>
      </c>
      <c r="C74" s="66" t="s">
        <v>291</v>
      </c>
      <c r="D74" s="79" t="s">
        <v>494</v>
      </c>
      <c r="E74" s="76" t="s">
        <v>335</v>
      </c>
      <c r="F74" s="76">
        <v>228</v>
      </c>
      <c r="G74" s="76">
        <v>228</v>
      </c>
      <c r="I74" s="435">
        <f t="shared" si="0"/>
        <v>15.850000000000001</v>
      </c>
      <c r="J74" s="435">
        <v>3613.8</v>
      </c>
    </row>
    <row r="75" spans="1:10" s="79" customFormat="1" ht="13.5" customHeight="1">
      <c r="A75" s="66">
        <v>368193</v>
      </c>
      <c r="B75" s="66" t="s">
        <v>83</v>
      </c>
      <c r="C75" s="405" t="s">
        <v>93</v>
      </c>
      <c r="D75" s="79" t="s">
        <v>494</v>
      </c>
      <c r="E75" s="76" t="s">
        <v>335</v>
      </c>
      <c r="F75" s="66">
        <v>76</v>
      </c>
      <c r="G75" s="66">
        <v>76</v>
      </c>
      <c r="I75" s="435">
        <f t="shared" si="0"/>
        <v>51.4</v>
      </c>
      <c r="J75" s="435">
        <v>3906.4</v>
      </c>
    </row>
    <row r="76" spans="1:10" s="79" customFormat="1" ht="13.5" customHeight="1">
      <c r="A76" s="66">
        <v>368194</v>
      </c>
      <c r="B76" s="66" t="s">
        <v>83</v>
      </c>
      <c r="C76" s="405" t="s">
        <v>93</v>
      </c>
      <c r="D76" s="79" t="s">
        <v>494</v>
      </c>
      <c r="E76" s="76" t="s">
        <v>335</v>
      </c>
      <c r="F76" s="66">
        <v>152</v>
      </c>
      <c r="G76" s="66">
        <v>152</v>
      </c>
      <c r="I76" s="435">
        <f t="shared" si="0"/>
        <v>81</v>
      </c>
      <c r="J76" s="435">
        <v>12312</v>
      </c>
    </row>
    <row r="77" spans="1:10" s="79" customFormat="1" ht="13.5" customHeight="1">
      <c r="A77" s="66">
        <v>368195</v>
      </c>
      <c r="B77" s="66" t="s">
        <v>83</v>
      </c>
      <c r="C77" s="66" t="s">
        <v>291</v>
      </c>
      <c r="D77" s="79" t="s">
        <v>494</v>
      </c>
      <c r="E77" s="76" t="s">
        <v>335</v>
      </c>
      <c r="F77" s="76">
        <v>228</v>
      </c>
      <c r="G77" s="76">
        <v>228</v>
      </c>
      <c r="I77" s="435">
        <f t="shared" si="0"/>
        <v>40</v>
      </c>
      <c r="J77" s="435">
        <v>9120</v>
      </c>
    </row>
    <row r="78" spans="1:10" s="79" customFormat="1" ht="13.5" customHeight="1">
      <c r="A78" s="66">
        <v>368196</v>
      </c>
      <c r="B78" s="66" t="s">
        <v>83</v>
      </c>
      <c r="C78" s="66" t="s">
        <v>291</v>
      </c>
      <c r="D78" s="79" t="s">
        <v>494</v>
      </c>
      <c r="E78" s="76" t="s">
        <v>335</v>
      </c>
      <c r="F78" s="76">
        <v>228</v>
      </c>
      <c r="G78" s="76">
        <v>228</v>
      </c>
      <c r="I78" s="435">
        <f t="shared" si="0"/>
        <v>40</v>
      </c>
      <c r="J78" s="435">
        <v>9120</v>
      </c>
    </row>
    <row r="79" spans="1:10" s="79" customFormat="1" ht="13.5" customHeight="1">
      <c r="A79" s="66">
        <v>368198</v>
      </c>
      <c r="B79" s="66" t="s">
        <v>88</v>
      </c>
      <c r="C79" s="66" t="s">
        <v>291</v>
      </c>
      <c r="D79" s="79" t="s">
        <v>495</v>
      </c>
      <c r="E79" s="76" t="s">
        <v>335</v>
      </c>
      <c r="F79" s="76">
        <v>152</v>
      </c>
      <c r="G79" s="76">
        <v>152</v>
      </c>
      <c r="I79" s="435">
        <f t="shared" si="0"/>
        <v>4.6000000000000005</v>
      </c>
      <c r="J79" s="435">
        <v>699.2</v>
      </c>
    </row>
    <row r="80" spans="1:10" s="79" customFormat="1" ht="13.5" customHeight="1">
      <c r="A80" s="66">
        <v>368199</v>
      </c>
      <c r="B80" s="66" t="s">
        <v>88</v>
      </c>
      <c r="C80" s="66" t="s">
        <v>291</v>
      </c>
      <c r="D80" s="79" t="s">
        <v>495</v>
      </c>
      <c r="E80" s="76" t="s">
        <v>335</v>
      </c>
      <c r="F80" s="76">
        <v>304</v>
      </c>
      <c r="G80" s="76">
        <v>304</v>
      </c>
      <c r="I80" s="435">
        <f t="shared" si="0"/>
        <v>4.56</v>
      </c>
      <c r="J80" s="435">
        <v>1386.24</v>
      </c>
    </row>
    <row r="81" spans="1:10" s="79" customFormat="1" ht="13.5" customHeight="1">
      <c r="A81" s="66">
        <v>368215</v>
      </c>
      <c r="B81" s="66" t="s">
        <v>156</v>
      </c>
      <c r="C81" s="66" t="s">
        <v>291</v>
      </c>
      <c r="D81" s="79" t="s">
        <v>214</v>
      </c>
      <c r="E81" s="76" t="s">
        <v>335</v>
      </c>
      <c r="F81" s="76">
        <v>108</v>
      </c>
      <c r="G81" s="76">
        <v>108</v>
      </c>
      <c r="I81" s="435"/>
      <c r="J81" s="435"/>
    </row>
    <row r="82" spans="1:10" s="79" customFormat="1" ht="13.5" customHeight="1">
      <c r="A82" s="66">
        <v>368216</v>
      </c>
      <c r="B82" s="66" t="s">
        <v>83</v>
      </c>
      <c r="C82" s="66" t="s">
        <v>291</v>
      </c>
      <c r="D82" s="79" t="s">
        <v>215</v>
      </c>
      <c r="E82" s="76" t="s">
        <v>335</v>
      </c>
      <c r="F82" s="76">
        <v>36</v>
      </c>
      <c r="G82" s="76">
        <v>36</v>
      </c>
      <c r="I82" s="435"/>
      <c r="J82" s="435"/>
    </row>
    <row r="83" spans="1:10" s="79" customFormat="1" ht="13.5" customHeight="1">
      <c r="A83" s="66">
        <v>368217</v>
      </c>
      <c r="B83" s="66" t="s">
        <v>156</v>
      </c>
      <c r="C83" s="66" t="s">
        <v>291</v>
      </c>
      <c r="D83" s="79" t="s">
        <v>216</v>
      </c>
      <c r="E83" s="76" t="s">
        <v>335</v>
      </c>
      <c r="F83" s="76">
        <v>72</v>
      </c>
      <c r="G83" s="76">
        <v>72</v>
      </c>
      <c r="I83" s="435"/>
      <c r="J83" s="435"/>
    </row>
    <row r="84" spans="1:10" s="79" customFormat="1" ht="13.5" customHeight="1">
      <c r="A84" s="66">
        <v>368218</v>
      </c>
      <c r="B84" s="66" t="s">
        <v>79</v>
      </c>
      <c r="C84" s="66" t="s">
        <v>291</v>
      </c>
      <c r="D84" s="79" t="s">
        <v>217</v>
      </c>
      <c r="E84" s="76" t="s">
        <v>335</v>
      </c>
      <c r="F84" s="76">
        <v>36</v>
      </c>
      <c r="G84" s="76">
        <v>36</v>
      </c>
      <c r="I84" s="435"/>
      <c r="J84" s="435"/>
    </row>
    <row r="85" spans="1:10" s="79" customFormat="1" ht="13.5" customHeight="1">
      <c r="A85" s="66">
        <v>368248</v>
      </c>
      <c r="B85" s="66" t="s">
        <v>79</v>
      </c>
      <c r="C85" s="66" t="s">
        <v>290</v>
      </c>
      <c r="D85" s="79" t="s">
        <v>436</v>
      </c>
      <c r="E85" s="66" t="s">
        <v>540</v>
      </c>
      <c r="F85" s="76" t="s">
        <v>559</v>
      </c>
      <c r="G85" s="76">
        <v>1400</v>
      </c>
      <c r="H85" s="76"/>
      <c r="I85" s="435">
        <f>J85</f>
        <v>5992</v>
      </c>
      <c r="J85" s="435">
        <v>5992</v>
      </c>
    </row>
    <row r="86" spans="1:10" s="79" customFormat="1" ht="13.5" customHeight="1">
      <c r="A86" s="66">
        <v>368250</v>
      </c>
      <c r="B86" s="66" t="s">
        <v>88</v>
      </c>
      <c r="C86" s="66" t="s">
        <v>290</v>
      </c>
      <c r="D86" s="79" t="s">
        <v>437</v>
      </c>
      <c r="E86" s="66" t="s">
        <v>543</v>
      </c>
      <c r="F86" s="76" t="s">
        <v>559</v>
      </c>
      <c r="G86" s="76">
        <v>6388</v>
      </c>
      <c r="H86" s="76"/>
      <c r="I86" s="435">
        <f>J86</f>
        <v>1612</v>
      </c>
      <c r="J86" s="435">
        <v>1612</v>
      </c>
    </row>
    <row r="87" spans="1:10" s="79" customFormat="1" ht="13.5" customHeight="1">
      <c r="A87" s="66">
        <v>368252</v>
      </c>
      <c r="B87" s="66" t="s">
        <v>88</v>
      </c>
      <c r="C87" s="66" t="s">
        <v>290</v>
      </c>
      <c r="D87" s="79" t="s">
        <v>438</v>
      </c>
      <c r="E87" s="76" t="s">
        <v>339</v>
      </c>
      <c r="F87" s="76" t="s">
        <v>373</v>
      </c>
      <c r="G87" s="76">
        <v>7000</v>
      </c>
      <c r="H87" s="76"/>
      <c r="I87" s="435">
        <f>J87/G87*500</f>
        <v>265</v>
      </c>
      <c r="J87" s="435">
        <v>3710</v>
      </c>
    </row>
    <row r="88" spans="1:10" s="79" customFormat="1" ht="13.5" customHeight="1">
      <c r="A88" s="66">
        <v>368255</v>
      </c>
      <c r="B88" s="66" t="s">
        <v>88</v>
      </c>
      <c r="C88" s="66" t="s">
        <v>290</v>
      </c>
      <c r="D88" s="79" t="s">
        <v>466</v>
      </c>
      <c r="E88" s="76" t="s">
        <v>342</v>
      </c>
      <c r="F88" s="76" t="s">
        <v>374</v>
      </c>
      <c r="G88" s="76">
        <v>72000</v>
      </c>
      <c r="H88" s="76"/>
      <c r="I88" s="435">
        <f>J88/G88*4000</f>
        <v>320</v>
      </c>
      <c r="J88" s="435">
        <v>5760</v>
      </c>
    </row>
    <row r="89" spans="1:10" s="79" customFormat="1" ht="13.5" customHeight="1">
      <c r="A89" s="66">
        <v>368257</v>
      </c>
      <c r="B89" s="66" t="s">
        <v>88</v>
      </c>
      <c r="C89" s="66" t="s">
        <v>290</v>
      </c>
      <c r="D89" s="79" t="s">
        <v>466</v>
      </c>
      <c r="E89" s="76" t="s">
        <v>343</v>
      </c>
      <c r="F89" s="76" t="s">
        <v>375</v>
      </c>
      <c r="G89" s="76">
        <v>4200</v>
      </c>
      <c r="H89" s="76"/>
      <c r="I89" s="435">
        <f>J89/G89*100</f>
        <v>12</v>
      </c>
      <c r="J89" s="435">
        <v>504</v>
      </c>
    </row>
    <row r="90" spans="1:10" s="79" customFormat="1" ht="13.5" customHeight="1">
      <c r="A90" s="66">
        <v>368259</v>
      </c>
      <c r="B90" s="66" t="s">
        <v>79</v>
      </c>
      <c r="C90" s="66" t="s">
        <v>290</v>
      </c>
      <c r="D90" s="79" t="s">
        <v>496</v>
      </c>
      <c r="E90" s="76" t="s">
        <v>334</v>
      </c>
      <c r="F90" s="76" t="s">
        <v>226</v>
      </c>
      <c r="G90" s="76">
        <v>74000</v>
      </c>
      <c r="H90" s="76"/>
      <c r="I90" s="435">
        <f>J90/G90*100</f>
        <v>26</v>
      </c>
      <c r="J90" s="435">
        <v>19240</v>
      </c>
    </row>
    <row r="91" spans="1:10" s="468" customFormat="1" ht="13.5" customHeight="1">
      <c r="A91" s="486">
        <v>368261</v>
      </c>
      <c r="B91" s="486" t="s">
        <v>79</v>
      </c>
      <c r="C91" s="486" t="s">
        <v>290</v>
      </c>
      <c r="D91" s="487" t="s">
        <v>607</v>
      </c>
      <c r="E91" s="472" t="s">
        <v>340</v>
      </c>
      <c r="F91" s="488" t="s">
        <v>579</v>
      </c>
      <c r="G91" s="472">
        <v>230</v>
      </c>
      <c r="H91" s="472"/>
      <c r="I91" s="489">
        <f>J91/G91*100</f>
        <v>129</v>
      </c>
      <c r="J91" s="489">
        <v>296.7</v>
      </c>
    </row>
    <row r="92" spans="1:10" s="79" customFormat="1" ht="13.5" customHeight="1">
      <c r="A92" s="66">
        <v>368280</v>
      </c>
      <c r="B92" s="66" t="s">
        <v>88</v>
      </c>
      <c r="C92" s="66" t="s">
        <v>290</v>
      </c>
      <c r="D92" s="79" t="s">
        <v>440</v>
      </c>
      <c r="E92" s="324" t="s">
        <v>350</v>
      </c>
      <c r="F92" s="76">
        <v>12</v>
      </c>
      <c r="G92" s="76">
        <v>12</v>
      </c>
      <c r="H92" s="76"/>
      <c r="I92" s="435">
        <f>J92/F92</f>
        <v>40.74</v>
      </c>
      <c r="J92" s="435">
        <v>488.88</v>
      </c>
    </row>
    <row r="93" spans="1:10" s="79" customFormat="1" ht="13.5" customHeight="1">
      <c r="A93" s="66">
        <v>368282</v>
      </c>
      <c r="B93" s="66" t="s">
        <v>88</v>
      </c>
      <c r="C93" s="66" t="s">
        <v>290</v>
      </c>
      <c r="D93" s="79" t="s">
        <v>441</v>
      </c>
      <c r="E93" s="76" t="s">
        <v>545</v>
      </c>
      <c r="F93" s="76" t="s">
        <v>559</v>
      </c>
      <c r="G93" s="76">
        <v>6900</v>
      </c>
      <c r="H93" s="76"/>
      <c r="I93" s="435">
        <f>J93</f>
        <v>276</v>
      </c>
      <c r="J93" s="435">
        <v>276</v>
      </c>
    </row>
    <row r="94" spans="1:10" s="79" customFormat="1" ht="13.5" customHeight="1">
      <c r="A94" s="66">
        <v>368283</v>
      </c>
      <c r="B94" s="66" t="s">
        <v>88</v>
      </c>
      <c r="C94" s="66" t="s">
        <v>290</v>
      </c>
      <c r="D94" s="79" t="s">
        <v>442</v>
      </c>
      <c r="E94" s="76" t="s">
        <v>340</v>
      </c>
      <c r="F94" s="76" t="s">
        <v>572</v>
      </c>
      <c r="G94" s="76">
        <v>3500</v>
      </c>
      <c r="H94" s="76"/>
      <c r="I94" s="435">
        <f>J94/G94*100</f>
        <v>124</v>
      </c>
      <c r="J94" s="435">
        <v>4340</v>
      </c>
    </row>
    <row r="95" spans="1:10" s="417" customFormat="1" ht="13.5" customHeight="1">
      <c r="A95" s="416">
        <v>368286</v>
      </c>
      <c r="B95" s="416" t="s">
        <v>79</v>
      </c>
      <c r="C95" s="66" t="s">
        <v>286</v>
      </c>
      <c r="D95" s="417" t="s">
        <v>515</v>
      </c>
      <c r="E95" s="76" t="s">
        <v>335</v>
      </c>
      <c r="F95" s="76">
        <v>52</v>
      </c>
      <c r="G95" s="76">
        <v>52</v>
      </c>
      <c r="I95" s="437"/>
      <c r="J95" s="437"/>
    </row>
    <row r="96" spans="1:10" s="79" customFormat="1" ht="13.5" customHeight="1">
      <c r="A96" s="66">
        <v>368287</v>
      </c>
      <c r="B96" s="66" t="s">
        <v>83</v>
      </c>
      <c r="C96" s="66" t="s">
        <v>93</v>
      </c>
      <c r="D96" s="79" t="s">
        <v>416</v>
      </c>
      <c r="E96" s="76" t="s">
        <v>116</v>
      </c>
      <c r="F96" s="76" t="s">
        <v>229</v>
      </c>
      <c r="G96" s="66">
        <v>370</v>
      </c>
      <c r="I96" s="435">
        <f>J96/G96</f>
        <v>121.17</v>
      </c>
      <c r="J96" s="435">
        <v>44832.9</v>
      </c>
    </row>
    <row r="97" spans="1:10" s="79" customFormat="1" ht="15.75" customHeight="1">
      <c r="A97" s="66">
        <v>368288</v>
      </c>
      <c r="B97" s="66" t="s">
        <v>79</v>
      </c>
      <c r="C97" s="66" t="s">
        <v>290</v>
      </c>
      <c r="D97" s="79" t="s">
        <v>467</v>
      </c>
      <c r="E97" s="76" t="s">
        <v>186</v>
      </c>
      <c r="F97" s="76" t="s">
        <v>394</v>
      </c>
      <c r="G97" s="424" t="s">
        <v>227</v>
      </c>
      <c r="I97" s="435">
        <f>J97/24</f>
        <v>83.21</v>
      </c>
      <c r="J97" s="435">
        <v>1997.04</v>
      </c>
    </row>
    <row r="98" spans="1:10" s="79" customFormat="1" ht="13.5" customHeight="1">
      <c r="A98" s="66">
        <v>368289</v>
      </c>
      <c r="B98" s="66" t="s">
        <v>79</v>
      </c>
      <c r="C98" s="66" t="s">
        <v>290</v>
      </c>
      <c r="D98" s="406" t="s">
        <v>497</v>
      </c>
      <c r="E98" s="407" t="s">
        <v>575</v>
      </c>
      <c r="F98" s="407" t="s">
        <v>580</v>
      </c>
      <c r="G98" s="407" t="s">
        <v>188</v>
      </c>
      <c r="I98" s="435">
        <f>J98/6</f>
        <v>141.17</v>
      </c>
      <c r="J98" s="435">
        <v>847.02</v>
      </c>
    </row>
    <row r="99" spans="1:10" s="79" customFormat="1" ht="13.5" customHeight="1">
      <c r="A99" s="66">
        <v>368291</v>
      </c>
      <c r="B99" s="66" t="s">
        <v>88</v>
      </c>
      <c r="C99" s="66" t="s">
        <v>290</v>
      </c>
      <c r="D99" s="406" t="s">
        <v>445</v>
      </c>
      <c r="E99" s="76" t="s">
        <v>116</v>
      </c>
      <c r="F99" s="76">
        <v>50</v>
      </c>
      <c r="G99" s="76">
        <v>50</v>
      </c>
      <c r="I99" s="435">
        <f>J99/G99</f>
        <v>21.43</v>
      </c>
      <c r="J99" s="435">
        <v>1071.5</v>
      </c>
    </row>
    <row r="100" spans="1:10" s="408" customFormat="1" ht="13.5" customHeight="1">
      <c r="A100" s="76">
        <v>368300</v>
      </c>
      <c r="B100" s="324" t="s">
        <v>79</v>
      </c>
      <c r="C100" s="324" t="s">
        <v>290</v>
      </c>
      <c r="D100" s="408" t="s">
        <v>446</v>
      </c>
      <c r="E100" s="324" t="s">
        <v>116</v>
      </c>
      <c r="F100" s="76">
        <v>160</v>
      </c>
      <c r="G100" s="76">
        <v>160</v>
      </c>
      <c r="I100" s="435">
        <f>J100/G100</f>
        <v>8.64</v>
      </c>
      <c r="J100" s="435">
        <v>1382.4</v>
      </c>
    </row>
    <row r="101" spans="1:10" s="79" customFormat="1" ht="13.5" customHeight="1">
      <c r="A101" s="66">
        <v>368303</v>
      </c>
      <c r="B101" s="66" t="s">
        <v>79</v>
      </c>
      <c r="C101" s="66" t="s">
        <v>286</v>
      </c>
      <c r="D101" s="79" t="s">
        <v>498</v>
      </c>
      <c r="E101" s="239" t="s">
        <v>335</v>
      </c>
      <c r="F101" s="76">
        <v>230</v>
      </c>
      <c r="G101" s="76">
        <v>230</v>
      </c>
      <c r="I101" s="435"/>
      <c r="J101" s="435"/>
    </row>
    <row r="102" spans="1:10" s="79" customFormat="1" ht="13.5" customHeight="1">
      <c r="A102" s="66">
        <v>368304</v>
      </c>
      <c r="B102" s="66" t="s">
        <v>83</v>
      </c>
      <c r="C102" s="66" t="s">
        <v>290</v>
      </c>
      <c r="D102" s="79" t="s">
        <v>446</v>
      </c>
      <c r="E102" s="76" t="s">
        <v>116</v>
      </c>
      <c r="F102" s="76" t="s">
        <v>391</v>
      </c>
      <c r="G102" s="76">
        <v>6</v>
      </c>
      <c r="I102" s="435">
        <f>J102/G102</f>
        <v>18.5</v>
      </c>
      <c r="J102" s="435">
        <v>111</v>
      </c>
    </row>
    <row r="103" spans="1:10" s="79" customFormat="1" ht="13.5" customHeight="1">
      <c r="A103" s="66">
        <v>368305</v>
      </c>
      <c r="B103" s="66" t="s">
        <v>83</v>
      </c>
      <c r="C103" s="66" t="s">
        <v>290</v>
      </c>
      <c r="D103" s="79" t="s">
        <v>448</v>
      </c>
      <c r="E103" s="76" t="s">
        <v>335</v>
      </c>
      <c r="F103" s="76">
        <v>2800</v>
      </c>
      <c r="G103" s="76">
        <v>2800</v>
      </c>
      <c r="I103" s="435">
        <f>J103/G103</f>
        <v>1.64</v>
      </c>
      <c r="J103" s="435">
        <v>4592</v>
      </c>
    </row>
    <row r="104" spans="1:10" s="79" customFormat="1" ht="13.5" customHeight="1">
      <c r="A104" s="66">
        <v>368306</v>
      </c>
      <c r="B104" s="66" t="s">
        <v>79</v>
      </c>
      <c r="C104" s="66" t="s">
        <v>286</v>
      </c>
      <c r="D104" s="79" t="s">
        <v>498</v>
      </c>
      <c r="E104" s="76" t="s">
        <v>335</v>
      </c>
      <c r="F104" s="76">
        <v>230</v>
      </c>
      <c r="G104" s="76">
        <v>230</v>
      </c>
      <c r="I104" s="435"/>
      <c r="J104" s="435"/>
    </row>
    <row r="105" spans="1:10" s="79" customFormat="1" ht="13.5" customHeight="1">
      <c r="A105" s="66">
        <v>368307</v>
      </c>
      <c r="B105" s="66" t="s">
        <v>157</v>
      </c>
      <c r="C105" s="66" t="s">
        <v>290</v>
      </c>
      <c r="D105" s="79" t="s">
        <v>499</v>
      </c>
      <c r="E105" s="76" t="s">
        <v>552</v>
      </c>
      <c r="F105" s="76" t="s">
        <v>554</v>
      </c>
      <c r="G105" s="76">
        <v>4504</v>
      </c>
      <c r="I105" s="435">
        <f>J105/G105*8</f>
        <v>55.68</v>
      </c>
      <c r="J105" s="435">
        <v>31347.84</v>
      </c>
    </row>
    <row r="106" spans="1:10" s="79" customFormat="1" ht="13.5" customHeight="1">
      <c r="A106" s="66">
        <v>368309</v>
      </c>
      <c r="B106" s="66" t="s">
        <v>79</v>
      </c>
      <c r="C106" s="66" t="s">
        <v>286</v>
      </c>
      <c r="D106" s="79" t="s">
        <v>498</v>
      </c>
      <c r="E106" s="76" t="s">
        <v>335</v>
      </c>
      <c r="F106" s="76">
        <v>700</v>
      </c>
      <c r="G106" s="76">
        <v>700</v>
      </c>
      <c r="I106" s="435"/>
      <c r="J106" s="435"/>
    </row>
    <row r="107" spans="1:10" s="79" customFormat="1" ht="13.5" customHeight="1">
      <c r="A107" s="66">
        <v>368328</v>
      </c>
      <c r="B107" s="66" t="s">
        <v>79</v>
      </c>
      <c r="C107" s="66" t="s">
        <v>290</v>
      </c>
      <c r="D107" s="79" t="s">
        <v>414</v>
      </c>
      <c r="E107" s="76" t="s">
        <v>334</v>
      </c>
      <c r="F107" s="76" t="s">
        <v>228</v>
      </c>
      <c r="G107" s="76">
        <v>800</v>
      </c>
      <c r="I107" s="435">
        <f>J107/G107*100</f>
        <v>16</v>
      </c>
      <c r="J107" s="435">
        <v>128</v>
      </c>
    </row>
    <row r="108" spans="1:10" s="79" customFormat="1" ht="13.5" customHeight="1">
      <c r="A108" s="66">
        <v>368331</v>
      </c>
      <c r="B108" s="66" t="s">
        <v>79</v>
      </c>
      <c r="C108" s="66" t="s">
        <v>291</v>
      </c>
      <c r="D108" s="79" t="s">
        <v>309</v>
      </c>
      <c r="E108" s="76" t="s">
        <v>335</v>
      </c>
      <c r="F108" s="76">
        <v>38</v>
      </c>
      <c r="G108" s="76">
        <v>38</v>
      </c>
      <c r="I108" s="435"/>
      <c r="J108" s="435"/>
    </row>
    <row r="109" spans="1:10" s="417" customFormat="1" ht="13.5" customHeight="1">
      <c r="A109" s="418">
        <v>368341</v>
      </c>
      <c r="B109" s="418" t="s">
        <v>79</v>
      </c>
      <c r="C109" s="66" t="s">
        <v>286</v>
      </c>
      <c r="D109" s="417" t="s">
        <v>515</v>
      </c>
      <c r="E109" s="76" t="s">
        <v>335</v>
      </c>
      <c r="F109" s="76">
        <v>305</v>
      </c>
      <c r="G109" s="76">
        <v>305</v>
      </c>
      <c r="I109" s="437"/>
      <c r="J109" s="437"/>
    </row>
    <row r="110" spans="1:10" s="417" customFormat="1" ht="13.5" customHeight="1">
      <c r="A110" s="418">
        <v>368423</v>
      </c>
      <c r="B110" s="418" t="s">
        <v>79</v>
      </c>
      <c r="C110" s="66" t="s">
        <v>286</v>
      </c>
      <c r="D110" s="417" t="s">
        <v>515</v>
      </c>
      <c r="E110" s="76" t="s">
        <v>335</v>
      </c>
      <c r="F110" s="76">
        <v>155</v>
      </c>
      <c r="G110" s="76">
        <v>155</v>
      </c>
      <c r="I110" s="437"/>
      <c r="J110" s="437"/>
    </row>
    <row r="111" spans="1:10" s="79" customFormat="1" ht="13.5" customHeight="1">
      <c r="A111" s="66">
        <v>368424</v>
      </c>
      <c r="B111" s="66" t="s">
        <v>88</v>
      </c>
      <c r="C111" s="66" t="s">
        <v>290</v>
      </c>
      <c r="D111" s="79" t="s">
        <v>446</v>
      </c>
      <c r="E111" s="76" t="s">
        <v>116</v>
      </c>
      <c r="F111" s="76" t="s">
        <v>377</v>
      </c>
      <c r="G111" s="76">
        <v>85</v>
      </c>
      <c r="I111" s="435">
        <f>J111/G111</f>
        <v>6.2</v>
      </c>
      <c r="J111" s="435">
        <v>527</v>
      </c>
    </row>
    <row r="112" spans="1:10" s="79" customFormat="1" ht="13.5" customHeight="1">
      <c r="A112" s="66">
        <v>368461</v>
      </c>
      <c r="B112" s="66" t="s">
        <v>88</v>
      </c>
      <c r="C112" s="66" t="s">
        <v>290</v>
      </c>
      <c r="D112" s="79" t="s">
        <v>446</v>
      </c>
      <c r="E112" s="76" t="s">
        <v>116</v>
      </c>
      <c r="F112" s="76" t="s">
        <v>378</v>
      </c>
      <c r="G112" s="76">
        <v>10</v>
      </c>
      <c r="I112" s="435">
        <f>J112/G112</f>
        <v>0.2</v>
      </c>
      <c r="J112" s="435">
        <v>2</v>
      </c>
    </row>
    <row r="113" spans="1:10" s="79" customFormat="1" ht="13.5" customHeight="1">
      <c r="A113" s="66">
        <v>368523</v>
      </c>
      <c r="B113" s="66" t="s">
        <v>79</v>
      </c>
      <c r="C113" s="66" t="s">
        <v>290</v>
      </c>
      <c r="D113" s="79" t="s">
        <v>148</v>
      </c>
      <c r="E113" s="76" t="s">
        <v>335</v>
      </c>
      <c r="F113" s="76">
        <v>115</v>
      </c>
      <c r="G113" s="76">
        <v>115</v>
      </c>
      <c r="I113" s="435">
        <f>J113/G113</f>
        <v>3.64</v>
      </c>
      <c r="J113" s="435">
        <v>418.6</v>
      </c>
    </row>
    <row r="114" spans="1:10" s="79" customFormat="1" ht="13.5" customHeight="1">
      <c r="A114" s="66">
        <v>368524</v>
      </c>
      <c r="B114" s="66" t="s">
        <v>79</v>
      </c>
      <c r="C114" s="66" t="s">
        <v>290</v>
      </c>
      <c r="D114" s="79" t="s">
        <v>149</v>
      </c>
      <c r="E114" s="76" t="s">
        <v>335</v>
      </c>
      <c r="F114" s="76">
        <v>115</v>
      </c>
      <c r="G114" s="76">
        <v>115</v>
      </c>
      <c r="I114" s="435">
        <f>J114/G114</f>
        <v>8.290000000000001</v>
      </c>
      <c r="J114" s="435">
        <v>953.35</v>
      </c>
    </row>
    <row r="115" spans="1:10" s="79" customFormat="1" ht="13.5" customHeight="1">
      <c r="A115" s="66">
        <v>368525</v>
      </c>
      <c r="B115" s="66" t="s">
        <v>88</v>
      </c>
      <c r="C115" s="66" t="s">
        <v>290</v>
      </c>
      <c r="D115" s="79" t="s">
        <v>500</v>
      </c>
      <c r="E115" s="76" t="s">
        <v>584</v>
      </c>
      <c r="F115" s="76" t="s">
        <v>585</v>
      </c>
      <c r="G115" s="76">
        <v>500</v>
      </c>
      <c r="I115" s="435">
        <f>J115</f>
        <v>75</v>
      </c>
      <c r="J115" s="435">
        <v>75</v>
      </c>
    </row>
    <row r="116" spans="1:10" s="79" customFormat="1" ht="13.5" customHeight="1">
      <c r="A116" s="66">
        <v>368526</v>
      </c>
      <c r="B116" s="66" t="s">
        <v>79</v>
      </c>
      <c r="C116" s="66" t="s">
        <v>290</v>
      </c>
      <c r="D116" s="79" t="s">
        <v>459</v>
      </c>
      <c r="E116" s="76" t="s">
        <v>344</v>
      </c>
      <c r="F116" s="76" t="s">
        <v>587</v>
      </c>
      <c r="G116" s="76">
        <v>120</v>
      </c>
      <c r="I116" s="435">
        <f>J116/G116*50</f>
        <v>359.5</v>
      </c>
      <c r="J116" s="435">
        <v>862.8</v>
      </c>
    </row>
    <row r="117" spans="1:10" s="79" customFormat="1" ht="13.5" customHeight="1">
      <c r="A117" s="66">
        <v>368529</v>
      </c>
      <c r="B117" s="66" t="s">
        <v>79</v>
      </c>
      <c r="C117" s="66" t="s">
        <v>290</v>
      </c>
      <c r="D117" s="79" t="s">
        <v>583</v>
      </c>
      <c r="E117" s="76" t="s">
        <v>335</v>
      </c>
      <c r="F117" s="76">
        <v>115</v>
      </c>
      <c r="G117" s="76">
        <v>115</v>
      </c>
      <c r="I117" s="435">
        <f>J117/G117</f>
        <v>6.8</v>
      </c>
      <c r="J117" s="435">
        <v>782</v>
      </c>
    </row>
    <row r="118" spans="1:10" s="79" customFormat="1" ht="13.5" customHeight="1">
      <c r="A118" s="66">
        <v>368530</v>
      </c>
      <c r="B118" s="66" t="s">
        <v>88</v>
      </c>
      <c r="C118" s="66" t="s">
        <v>290</v>
      </c>
      <c r="D118" s="79" t="s">
        <v>517</v>
      </c>
      <c r="E118" s="76" t="s">
        <v>335</v>
      </c>
      <c r="F118" s="76">
        <v>115</v>
      </c>
      <c r="G118" s="76">
        <v>115</v>
      </c>
      <c r="I118" s="435">
        <f>J118/G118</f>
        <v>1.4100000000000001</v>
      </c>
      <c r="J118" s="435">
        <v>162.15</v>
      </c>
    </row>
    <row r="119" spans="1:10" s="409" customFormat="1" ht="13.5" customHeight="1">
      <c r="A119" s="66">
        <v>368671</v>
      </c>
      <c r="B119" s="66" t="s">
        <v>88</v>
      </c>
      <c r="C119" s="405" t="s">
        <v>290</v>
      </c>
      <c r="D119" s="79" t="s">
        <v>460</v>
      </c>
      <c r="E119" s="76" t="s">
        <v>118</v>
      </c>
      <c r="F119" s="76" t="s">
        <v>390</v>
      </c>
      <c r="G119" s="76">
        <v>2</v>
      </c>
      <c r="I119" s="434">
        <f>J119/G119</f>
        <v>299.22</v>
      </c>
      <c r="J119" s="434">
        <v>598.44</v>
      </c>
    </row>
    <row r="120" spans="1:10" s="409" customFormat="1" ht="13.5" customHeight="1">
      <c r="A120" s="66">
        <v>368673</v>
      </c>
      <c r="B120" s="66" t="s">
        <v>88</v>
      </c>
      <c r="C120" s="66" t="s">
        <v>286</v>
      </c>
      <c r="D120" s="79" t="s">
        <v>501</v>
      </c>
      <c r="E120" s="76" t="s">
        <v>335</v>
      </c>
      <c r="F120" s="76">
        <v>28</v>
      </c>
      <c r="G120" s="76">
        <v>28</v>
      </c>
      <c r="I120" s="434">
        <f>J120/G120</f>
        <v>4.9799999999999995</v>
      </c>
      <c r="J120" s="434">
        <v>139.44</v>
      </c>
    </row>
    <row r="121" spans="1:10" s="409" customFormat="1" ht="13.5" customHeight="1">
      <c r="A121" s="405">
        <v>368674</v>
      </c>
      <c r="B121" s="405" t="s">
        <v>88</v>
      </c>
      <c r="C121" s="405" t="s">
        <v>290</v>
      </c>
      <c r="D121" s="79" t="s">
        <v>462</v>
      </c>
      <c r="E121" s="76" t="s">
        <v>118</v>
      </c>
      <c r="F121" s="76" t="s">
        <v>390</v>
      </c>
      <c r="G121" s="76">
        <v>2</v>
      </c>
      <c r="I121" s="434">
        <f>J121/G121</f>
        <v>182.33</v>
      </c>
      <c r="J121" s="434">
        <v>364.66</v>
      </c>
    </row>
    <row r="122" spans="1:10" s="409" customFormat="1" ht="13.5" customHeight="1">
      <c r="A122" s="467">
        <v>368676</v>
      </c>
      <c r="B122" s="467" t="s">
        <v>88</v>
      </c>
      <c r="C122" s="467"/>
      <c r="D122" s="468" t="s">
        <v>596</v>
      </c>
      <c r="E122" s="76" t="s">
        <v>118</v>
      </c>
      <c r="F122" s="76" t="s">
        <v>568</v>
      </c>
      <c r="G122" s="76">
        <v>3</v>
      </c>
      <c r="I122" s="434"/>
      <c r="J122" s="434"/>
    </row>
    <row r="123" spans="1:10" s="403" customFormat="1" ht="13.5" customHeight="1">
      <c r="A123" s="154">
        <v>368677</v>
      </c>
      <c r="B123" s="154" t="s">
        <v>88</v>
      </c>
      <c r="C123" s="154" t="s">
        <v>290</v>
      </c>
      <c r="D123" s="440" t="s">
        <v>588</v>
      </c>
      <c r="E123" s="398" t="s">
        <v>118</v>
      </c>
      <c r="F123" s="398" t="s">
        <v>592</v>
      </c>
      <c r="G123" s="398">
        <v>1</v>
      </c>
      <c r="H123" s="398"/>
      <c r="I123" s="435"/>
      <c r="J123" s="434"/>
    </row>
    <row r="124" spans="5:18" ht="13.5" customHeight="1">
      <c r="E124" s="76"/>
      <c r="F124" s="423"/>
      <c r="G124" s="18"/>
      <c r="H124" s="18"/>
      <c r="L124" s="18"/>
      <c r="N124" s="18"/>
      <c r="Q124" s="18"/>
      <c r="R124" s="18"/>
    </row>
    <row r="125" spans="5:18" ht="13.5" customHeight="1">
      <c r="E125" s="76"/>
      <c r="F125" s="423"/>
      <c r="G125" s="18"/>
      <c r="H125" s="18"/>
      <c r="L125" s="18"/>
      <c r="N125" s="18"/>
      <c r="Q125" s="18"/>
      <c r="R125" s="18"/>
    </row>
    <row r="126" spans="5:18" ht="13.5" customHeight="1">
      <c r="E126" s="76"/>
      <c r="F126" s="423"/>
      <c r="G126" s="18"/>
      <c r="H126" s="18"/>
      <c r="L126" s="18"/>
      <c r="N126" s="18"/>
      <c r="Q126" s="18"/>
      <c r="R126" s="18"/>
    </row>
    <row r="127" spans="5:18" ht="13.5" customHeight="1">
      <c r="E127" s="76"/>
      <c r="F127" s="423"/>
      <c r="G127" s="18"/>
      <c r="H127" s="18"/>
      <c r="L127" s="18"/>
      <c r="N127" s="18"/>
      <c r="Q127" s="18"/>
      <c r="R127" s="18"/>
    </row>
    <row r="128" spans="5:18" ht="13.5" customHeight="1">
      <c r="E128" s="76"/>
      <c r="F128" s="423"/>
      <c r="G128" s="18"/>
      <c r="H128" s="18"/>
      <c r="L128" s="18"/>
      <c r="N128" s="18"/>
      <c r="Q128" s="18"/>
      <c r="R128" s="18"/>
    </row>
    <row r="129" spans="5:18" ht="13.5" customHeight="1">
      <c r="E129" s="76"/>
      <c r="F129" s="423"/>
      <c r="G129" s="18"/>
      <c r="H129" s="18"/>
      <c r="L129" s="18"/>
      <c r="N129" s="18"/>
      <c r="Q129" s="18"/>
      <c r="R129" s="18"/>
    </row>
    <row r="130" spans="5:18" ht="13.5" customHeight="1">
      <c r="E130" s="239"/>
      <c r="F130" s="423"/>
      <c r="G130" s="18"/>
      <c r="H130" s="18"/>
      <c r="L130" s="18"/>
      <c r="N130" s="18"/>
      <c r="Q130" s="18"/>
      <c r="R130" s="18"/>
    </row>
    <row r="131" spans="5:18" ht="13.5" customHeight="1">
      <c r="E131" s="76"/>
      <c r="F131" s="423"/>
      <c r="G131" s="18"/>
      <c r="H131" s="18"/>
      <c r="L131" s="18"/>
      <c r="N131" s="18"/>
      <c r="Q131" s="18"/>
      <c r="R131" s="18"/>
    </row>
    <row r="132" spans="5:18" ht="13.5" customHeight="1">
      <c r="E132" s="239"/>
      <c r="F132" s="423"/>
      <c r="G132" s="18"/>
      <c r="H132" s="18"/>
      <c r="L132" s="18"/>
      <c r="N132" s="18"/>
      <c r="Q132" s="18"/>
      <c r="R132" s="18"/>
    </row>
    <row r="133" spans="5:18" ht="13.5" customHeight="1">
      <c r="E133" s="239"/>
      <c r="F133" s="423"/>
      <c r="G133" s="18"/>
      <c r="H133" s="18"/>
      <c r="L133" s="18"/>
      <c r="N133" s="18"/>
      <c r="Q133" s="18"/>
      <c r="R133" s="18"/>
    </row>
    <row r="134" spans="5:18" ht="13.5" customHeight="1">
      <c r="E134" s="18"/>
      <c r="H134" s="18"/>
      <c r="L134" s="18"/>
      <c r="M134" s="423"/>
      <c r="N134" s="423"/>
      <c r="Q134" s="18"/>
      <c r="R134" s="18"/>
    </row>
    <row r="135" ht="13.5" customHeight="1">
      <c r="E135" s="18"/>
    </row>
    <row r="136" ht="13.5" customHeight="1">
      <c r="E136" s="18"/>
    </row>
  </sheetData>
  <printOptions gridLines="1"/>
  <pageMargins left="0.44" right="0.48" top="0.55" bottom="0.75" header="0.5" footer="0.39"/>
  <pageSetup horizontalDpi="600" verticalDpi="600" orientation="landscape" paperSize="17" scale="95" r:id="rId1"/>
  <headerFooter alignWithMargins="0">
    <oddFooter>&amp;LFile: PNPI Kit, ME 2/1 - July, 2001
N. Chester&amp;Cpage &amp;P of &amp;N&amp;RUpdated: 10/02/01
Printed: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A15">
      <selection activeCell="G40" sqref="G40"/>
    </sheetView>
  </sheetViews>
  <sheetFormatPr defaultColWidth="9.140625" defaultRowHeight="13.5" customHeight="1"/>
  <cols>
    <col min="1" max="1" width="8.140625" style="12" customWidth="1"/>
    <col min="2" max="2" width="4.28125" style="12" customWidth="1"/>
    <col min="3" max="3" width="4.28125" style="12" hidden="1" customWidth="1"/>
    <col min="4" max="4" width="58.421875" style="25" customWidth="1"/>
    <col min="5" max="5" width="9.7109375" style="18" customWidth="1"/>
    <col min="6" max="8" width="11.57421875" style="6" customWidth="1"/>
    <col min="9" max="9" width="11.57421875" style="434" customWidth="1"/>
    <col min="10" max="11" width="11.57421875" style="6" customWidth="1"/>
    <col min="12" max="12" width="11.57421875" style="18" customWidth="1"/>
    <col min="13" max="13" width="11.57421875" style="6" customWidth="1"/>
    <col min="14" max="14" width="11.57421875" style="18" customWidth="1"/>
    <col min="15" max="15" width="11.57421875" style="12" customWidth="1"/>
    <col min="16" max="16" width="11.57421875" style="18" customWidth="1"/>
    <col min="17" max="17" width="22.00390625" style="18" customWidth="1"/>
    <col min="18" max="18" width="11.57421875" style="423" customWidth="1"/>
    <col min="19" max="19" width="9.00390625" style="423" customWidth="1"/>
    <col min="20" max="21" width="9.00390625" style="18" customWidth="1"/>
    <col min="22" max="22" width="21.140625" style="18" customWidth="1"/>
    <col min="23" max="16384" width="9.140625" style="18" customWidth="1"/>
  </cols>
  <sheetData>
    <row r="1" spans="1:17" s="413" customFormat="1" ht="29.25" customHeight="1">
      <c r="A1" s="52" t="s">
        <v>405</v>
      </c>
      <c r="B1" s="410" t="s">
        <v>406</v>
      </c>
      <c r="C1" s="411" t="s">
        <v>67</v>
      </c>
      <c r="D1" s="483" t="s">
        <v>613</v>
      </c>
      <c r="E1" s="421" t="s">
        <v>388</v>
      </c>
      <c r="F1" s="427" t="s">
        <v>396</v>
      </c>
      <c r="G1" s="428" t="s">
        <v>397</v>
      </c>
      <c r="H1" s="428" t="s">
        <v>465</v>
      </c>
      <c r="I1" s="432" t="s">
        <v>586</v>
      </c>
      <c r="J1" s="427" t="s">
        <v>398</v>
      </c>
      <c r="K1" s="427" t="s">
        <v>399</v>
      </c>
      <c r="L1" s="427" t="s">
        <v>400</v>
      </c>
      <c r="M1" s="427" t="s">
        <v>401</v>
      </c>
      <c r="N1" s="427" t="s">
        <v>402</v>
      </c>
      <c r="O1" s="427" t="s">
        <v>403</v>
      </c>
      <c r="P1" s="427" t="s">
        <v>404</v>
      </c>
      <c r="Q1" s="412" t="s">
        <v>68</v>
      </c>
    </row>
    <row r="2" spans="1:10" s="403" customFormat="1" ht="13.5" customHeight="1">
      <c r="A2" s="405"/>
      <c r="B2" s="405"/>
      <c r="C2" s="401"/>
      <c r="D2" s="404"/>
      <c r="E2" s="399"/>
      <c r="F2" s="399"/>
      <c r="G2" s="399"/>
      <c r="H2" s="399"/>
      <c r="I2" s="433"/>
      <c r="J2" s="399"/>
    </row>
    <row r="3" spans="1:9" s="79" customFormat="1" ht="24.75" customHeight="1">
      <c r="A3" s="66">
        <v>368289</v>
      </c>
      <c r="B3" s="66" t="s">
        <v>79</v>
      </c>
      <c r="C3" s="66" t="s">
        <v>290</v>
      </c>
      <c r="D3" s="406" t="s">
        <v>497</v>
      </c>
      <c r="E3" s="76" t="s">
        <v>190</v>
      </c>
      <c r="F3" s="407" t="s">
        <v>392</v>
      </c>
      <c r="G3" s="407" t="s">
        <v>188</v>
      </c>
      <c r="I3" s="434"/>
    </row>
    <row r="4" spans="1:9" s="79" customFormat="1" ht="13.5" customHeight="1">
      <c r="A4" s="66">
        <v>368291</v>
      </c>
      <c r="B4" s="66" t="s">
        <v>88</v>
      </c>
      <c r="C4" s="66" t="s">
        <v>290</v>
      </c>
      <c r="D4" s="406" t="s">
        <v>445</v>
      </c>
      <c r="E4" s="76" t="s">
        <v>116</v>
      </c>
      <c r="F4" s="76" t="s">
        <v>70</v>
      </c>
      <c r="G4" s="76">
        <v>50</v>
      </c>
      <c r="I4" s="434"/>
    </row>
    <row r="5" spans="1:10" s="79" customFormat="1" ht="13.5" customHeight="1">
      <c r="A5" s="66">
        <v>368315</v>
      </c>
      <c r="B5" s="66" t="s">
        <v>79</v>
      </c>
      <c r="C5" s="66" t="s">
        <v>291</v>
      </c>
      <c r="D5" s="79" t="s">
        <v>233</v>
      </c>
      <c r="E5" s="76" t="s">
        <v>335</v>
      </c>
      <c r="F5" s="76">
        <v>108</v>
      </c>
      <c r="G5" s="76">
        <v>108</v>
      </c>
      <c r="H5" s="76"/>
      <c r="I5" s="434"/>
      <c r="J5" s="76"/>
    </row>
    <row r="6" spans="1:10" s="79" customFormat="1" ht="13.5" customHeight="1">
      <c r="A6" s="66">
        <v>368316</v>
      </c>
      <c r="B6" s="66" t="s">
        <v>79</v>
      </c>
      <c r="C6" s="66" t="s">
        <v>291</v>
      </c>
      <c r="D6" s="79" t="s">
        <v>234</v>
      </c>
      <c r="E6" s="76" t="s">
        <v>335</v>
      </c>
      <c r="F6" s="76">
        <v>36</v>
      </c>
      <c r="G6" s="76">
        <v>36</v>
      </c>
      <c r="H6" s="76"/>
      <c r="I6" s="434"/>
      <c r="J6" s="76"/>
    </row>
    <row r="7" spans="1:10" s="79" customFormat="1" ht="13.5" customHeight="1">
      <c r="A7" s="66">
        <v>368317</v>
      </c>
      <c r="B7" s="66" t="s">
        <v>79</v>
      </c>
      <c r="C7" s="66" t="s">
        <v>291</v>
      </c>
      <c r="D7" s="79" t="s">
        <v>236</v>
      </c>
      <c r="E7" s="76" t="s">
        <v>335</v>
      </c>
      <c r="F7" s="76">
        <v>72</v>
      </c>
      <c r="G7" s="76">
        <v>72</v>
      </c>
      <c r="H7" s="76"/>
      <c r="I7" s="434"/>
      <c r="J7" s="76"/>
    </row>
    <row r="8" spans="1:10" s="79" customFormat="1" ht="13.5" customHeight="1">
      <c r="A8" s="66">
        <v>368318</v>
      </c>
      <c r="B8" s="66" t="s">
        <v>88</v>
      </c>
      <c r="C8" s="66" t="s">
        <v>291</v>
      </c>
      <c r="D8" s="79" t="s">
        <v>237</v>
      </c>
      <c r="E8" s="76" t="s">
        <v>335</v>
      </c>
      <c r="F8" s="76">
        <v>36</v>
      </c>
      <c r="G8" s="76">
        <v>36</v>
      </c>
      <c r="H8" s="76"/>
      <c r="I8" s="434"/>
      <c r="J8" s="76"/>
    </row>
    <row r="9" spans="1:10" s="79" customFormat="1" ht="13.5" customHeight="1">
      <c r="A9" s="66">
        <v>368460</v>
      </c>
      <c r="B9" s="66" t="s">
        <v>83</v>
      </c>
      <c r="C9" s="66" t="s">
        <v>291</v>
      </c>
      <c r="D9" s="79" t="s">
        <v>502</v>
      </c>
      <c r="E9" s="76" t="s">
        <v>335</v>
      </c>
      <c r="F9" s="76">
        <v>228</v>
      </c>
      <c r="G9" s="76">
        <v>228</v>
      </c>
      <c r="H9" s="76"/>
      <c r="I9" s="434"/>
      <c r="J9" s="76"/>
    </row>
    <row r="10" spans="1:10" s="79" customFormat="1" ht="13.5" customHeight="1">
      <c r="A10" s="66">
        <v>368463</v>
      </c>
      <c r="B10" s="66" t="s">
        <v>79</v>
      </c>
      <c r="C10" s="66" t="s">
        <v>291</v>
      </c>
      <c r="D10" s="79" t="s">
        <v>502</v>
      </c>
      <c r="E10" s="76" t="s">
        <v>335</v>
      </c>
      <c r="F10" s="76">
        <v>228</v>
      </c>
      <c r="G10" s="76">
        <v>228</v>
      </c>
      <c r="H10" s="76"/>
      <c r="I10" s="434"/>
      <c r="J10" s="76"/>
    </row>
    <row r="11" spans="1:10" s="79" customFormat="1" ht="13.5" customHeight="1">
      <c r="A11" s="66">
        <v>368464</v>
      </c>
      <c r="B11" s="66" t="s">
        <v>79</v>
      </c>
      <c r="C11" s="66" t="s">
        <v>291</v>
      </c>
      <c r="D11" s="79" t="s">
        <v>502</v>
      </c>
      <c r="E11" s="76" t="s">
        <v>335</v>
      </c>
      <c r="F11" s="76">
        <v>228</v>
      </c>
      <c r="G11" s="76">
        <v>228</v>
      </c>
      <c r="H11" s="76"/>
      <c r="I11" s="434"/>
      <c r="J11" s="76"/>
    </row>
    <row r="12" spans="1:10" s="79" customFormat="1" ht="13.5" customHeight="1">
      <c r="A12" s="66">
        <v>368465</v>
      </c>
      <c r="B12" s="66" t="s">
        <v>88</v>
      </c>
      <c r="C12" s="66" t="s">
        <v>291</v>
      </c>
      <c r="D12" s="79" t="s">
        <v>503</v>
      </c>
      <c r="E12" s="76" t="s">
        <v>335</v>
      </c>
      <c r="F12" s="76">
        <v>152</v>
      </c>
      <c r="G12" s="76">
        <v>152</v>
      </c>
      <c r="H12" s="76"/>
      <c r="I12" s="434"/>
      <c r="J12" s="76"/>
    </row>
    <row r="13" spans="1:10" s="79" customFormat="1" ht="13.5" customHeight="1">
      <c r="A13" s="66">
        <v>368466</v>
      </c>
      <c r="B13" s="66" t="s">
        <v>88</v>
      </c>
      <c r="C13" s="66" t="s">
        <v>291</v>
      </c>
      <c r="D13" s="79" t="s">
        <v>503</v>
      </c>
      <c r="E13" s="76" t="s">
        <v>335</v>
      </c>
      <c r="F13" s="76">
        <v>304</v>
      </c>
      <c r="G13" s="76">
        <v>304</v>
      </c>
      <c r="H13" s="76"/>
      <c r="I13" s="434"/>
      <c r="J13" s="76"/>
    </row>
    <row r="14" spans="1:10" s="79" customFormat="1" ht="13.5" customHeight="1">
      <c r="A14" s="66">
        <v>368468</v>
      </c>
      <c r="B14" s="66" t="s">
        <v>79</v>
      </c>
      <c r="C14" s="66" t="s">
        <v>291</v>
      </c>
      <c r="D14" s="79" t="s">
        <v>504</v>
      </c>
      <c r="E14" s="76" t="s">
        <v>335</v>
      </c>
      <c r="F14" s="76">
        <v>228</v>
      </c>
      <c r="G14" s="76">
        <v>228</v>
      </c>
      <c r="H14" s="76"/>
      <c r="I14" s="434"/>
      <c r="J14" s="76"/>
    </row>
    <row r="15" spans="1:10" s="79" customFormat="1" ht="13.5" customHeight="1">
      <c r="A15" s="66">
        <v>368470</v>
      </c>
      <c r="B15" s="66" t="s">
        <v>79</v>
      </c>
      <c r="C15" s="66" t="s">
        <v>291</v>
      </c>
      <c r="D15" s="79" t="s">
        <v>505</v>
      </c>
      <c r="E15" s="76" t="s">
        <v>335</v>
      </c>
      <c r="F15" s="76">
        <v>228</v>
      </c>
      <c r="G15" s="76">
        <v>228</v>
      </c>
      <c r="H15" s="76"/>
      <c r="I15" s="435"/>
      <c r="J15" s="76"/>
    </row>
    <row r="16" spans="1:10" s="79" customFormat="1" ht="13.5" customHeight="1">
      <c r="A16" s="66">
        <v>368472</v>
      </c>
      <c r="B16" s="66" t="s">
        <v>79</v>
      </c>
      <c r="C16" s="66" t="s">
        <v>291</v>
      </c>
      <c r="D16" s="79" t="s">
        <v>506</v>
      </c>
      <c r="E16" s="76" t="s">
        <v>335</v>
      </c>
      <c r="F16" s="76">
        <v>228</v>
      </c>
      <c r="G16" s="76">
        <v>228</v>
      </c>
      <c r="H16" s="76"/>
      <c r="I16" s="435"/>
      <c r="J16" s="76"/>
    </row>
    <row r="17" spans="1:10" s="79" customFormat="1" ht="13.5" customHeight="1">
      <c r="A17" s="66">
        <v>368474</v>
      </c>
      <c r="B17" s="66" t="s">
        <v>79</v>
      </c>
      <c r="C17" s="66" t="s">
        <v>291</v>
      </c>
      <c r="D17" s="79" t="s">
        <v>505</v>
      </c>
      <c r="E17" s="76" t="s">
        <v>335</v>
      </c>
      <c r="F17" s="76">
        <v>228</v>
      </c>
      <c r="G17" s="76">
        <v>228</v>
      </c>
      <c r="H17" s="76"/>
      <c r="I17" s="435"/>
      <c r="J17" s="76"/>
    </row>
    <row r="18" spans="1:10" s="79" customFormat="1" ht="13.5" customHeight="1">
      <c r="A18" s="66">
        <v>368476</v>
      </c>
      <c r="B18" s="66" t="s">
        <v>79</v>
      </c>
      <c r="C18" s="66" t="s">
        <v>291</v>
      </c>
      <c r="D18" s="79" t="s">
        <v>507</v>
      </c>
      <c r="E18" s="76" t="s">
        <v>335</v>
      </c>
      <c r="F18" s="76">
        <v>228</v>
      </c>
      <c r="G18" s="76">
        <v>228</v>
      </c>
      <c r="H18" s="76"/>
      <c r="I18" s="435"/>
      <c r="J18" s="76"/>
    </row>
    <row r="19" spans="1:10" s="79" customFormat="1" ht="13.5" customHeight="1">
      <c r="A19" s="66">
        <v>368478</v>
      </c>
      <c r="B19" s="66" t="s">
        <v>79</v>
      </c>
      <c r="C19" s="66" t="s">
        <v>291</v>
      </c>
      <c r="D19" s="79" t="s">
        <v>508</v>
      </c>
      <c r="E19" s="76" t="s">
        <v>335</v>
      </c>
      <c r="F19" s="76">
        <v>228</v>
      </c>
      <c r="G19" s="76">
        <v>228</v>
      </c>
      <c r="H19" s="76"/>
      <c r="I19" s="435"/>
      <c r="J19" s="76"/>
    </row>
    <row r="20" spans="1:10" s="79" customFormat="1" ht="13.5" customHeight="1">
      <c r="A20" s="66">
        <v>368480</v>
      </c>
      <c r="B20" s="66" t="s">
        <v>88</v>
      </c>
      <c r="C20" s="66" t="s">
        <v>291</v>
      </c>
      <c r="D20" s="79" t="s">
        <v>0</v>
      </c>
      <c r="E20" s="76" t="s">
        <v>335</v>
      </c>
      <c r="F20" s="76">
        <v>38</v>
      </c>
      <c r="G20" s="76">
        <v>38</v>
      </c>
      <c r="H20" s="76"/>
      <c r="I20" s="435"/>
      <c r="J20" s="76"/>
    </row>
    <row r="21" spans="1:11" s="79" customFormat="1" ht="13.5" customHeight="1">
      <c r="A21" s="66">
        <v>368008</v>
      </c>
      <c r="B21" s="66" t="s">
        <v>156</v>
      </c>
      <c r="C21" s="405" t="s">
        <v>93</v>
      </c>
      <c r="D21" s="79" t="s">
        <v>615</v>
      </c>
      <c r="E21" s="76" t="s">
        <v>335</v>
      </c>
      <c r="F21" s="76">
        <v>77</v>
      </c>
      <c r="G21" s="66">
        <v>77</v>
      </c>
      <c r="H21" s="76"/>
      <c r="I21" s="436"/>
      <c r="J21" s="76"/>
      <c r="K21" s="409"/>
    </row>
    <row r="22" spans="1:11" s="79" customFormat="1" ht="13.5" customHeight="1">
      <c r="A22" s="66">
        <v>368009</v>
      </c>
      <c r="B22" s="66" t="s">
        <v>83</v>
      </c>
      <c r="C22" s="405" t="s">
        <v>93</v>
      </c>
      <c r="D22" s="79" t="s">
        <v>615</v>
      </c>
      <c r="E22" s="76" t="s">
        <v>335</v>
      </c>
      <c r="F22" s="76">
        <v>77</v>
      </c>
      <c r="G22" s="66">
        <v>77</v>
      </c>
      <c r="H22" s="76"/>
      <c r="I22" s="436"/>
      <c r="J22" s="76"/>
      <c r="K22" s="409"/>
    </row>
    <row r="23" spans="1:11" s="79" customFormat="1" ht="13.5" customHeight="1">
      <c r="A23" s="66">
        <v>368193</v>
      </c>
      <c r="B23" s="66" t="s">
        <v>83</v>
      </c>
      <c r="C23" s="405" t="s">
        <v>93</v>
      </c>
      <c r="D23" s="79" t="s">
        <v>616</v>
      </c>
      <c r="E23" s="76" t="s">
        <v>335</v>
      </c>
      <c r="F23" s="76">
        <v>154</v>
      </c>
      <c r="G23" s="66">
        <v>154</v>
      </c>
      <c r="H23" s="76"/>
      <c r="I23" s="434"/>
      <c r="J23" s="76"/>
      <c r="K23" s="409"/>
    </row>
    <row r="24" spans="1:11" s="79" customFormat="1" ht="13.5" customHeight="1">
      <c r="A24" s="66">
        <v>368194</v>
      </c>
      <c r="B24" s="66" t="s">
        <v>83</v>
      </c>
      <c r="C24" s="405" t="s">
        <v>93</v>
      </c>
      <c r="D24" s="79" t="s">
        <v>616</v>
      </c>
      <c r="E24" s="76" t="s">
        <v>335</v>
      </c>
      <c r="F24" s="76">
        <v>308</v>
      </c>
      <c r="G24" s="66">
        <v>308</v>
      </c>
      <c r="H24" s="76"/>
      <c r="I24" s="435"/>
      <c r="J24" s="76"/>
      <c r="K24" s="409"/>
    </row>
    <row r="25" spans="1:19" ht="13.5" customHeight="1">
      <c r="A25" s="13">
        <v>368677</v>
      </c>
      <c r="B25" s="13" t="s">
        <v>88</v>
      </c>
      <c r="C25" s="13" t="s">
        <v>290</v>
      </c>
      <c r="D25" s="481" t="s">
        <v>588</v>
      </c>
      <c r="E25" s="398" t="s">
        <v>118</v>
      </c>
      <c r="F25" s="398" t="s">
        <v>592</v>
      </c>
      <c r="G25" s="398">
        <v>1</v>
      </c>
      <c r="H25" s="423"/>
      <c r="I25" s="435"/>
      <c r="J25" s="18"/>
      <c r="K25" s="18"/>
      <c r="M25" s="18"/>
      <c r="O25" s="18"/>
      <c r="R25" s="18"/>
      <c r="S25" s="18"/>
    </row>
    <row r="26" spans="4:19" ht="13.5" customHeight="1">
      <c r="D26" s="482" t="s">
        <v>612</v>
      </c>
      <c r="F26" s="18"/>
      <c r="G26" s="423"/>
      <c r="H26" s="423"/>
      <c r="I26" s="435"/>
      <c r="J26" s="18"/>
      <c r="K26" s="18"/>
      <c r="M26" s="18"/>
      <c r="O26" s="18"/>
      <c r="R26" s="18"/>
      <c r="S26" s="18"/>
    </row>
    <row r="27" spans="1:9" s="79" customFormat="1" ht="13.5" customHeight="1">
      <c r="A27" s="66">
        <v>368486</v>
      </c>
      <c r="B27" s="66" t="s">
        <v>79</v>
      </c>
      <c r="C27" s="66" t="s">
        <v>291</v>
      </c>
      <c r="D27" s="79" t="s">
        <v>509</v>
      </c>
      <c r="E27" s="66" t="s">
        <v>335</v>
      </c>
      <c r="F27" s="76">
        <v>228</v>
      </c>
      <c r="G27" s="76">
        <v>228</v>
      </c>
      <c r="H27" s="76"/>
      <c r="I27" s="434"/>
    </row>
    <row r="28" spans="1:9" s="79" customFormat="1" ht="13.5" customHeight="1">
      <c r="A28" s="66">
        <v>368488</v>
      </c>
      <c r="B28" s="66" t="s">
        <v>79</v>
      </c>
      <c r="C28" s="66" t="s">
        <v>291</v>
      </c>
      <c r="D28" s="79" t="s">
        <v>510</v>
      </c>
      <c r="E28" s="66" t="s">
        <v>335</v>
      </c>
      <c r="F28" s="76">
        <v>228</v>
      </c>
      <c r="G28" s="76">
        <v>228</v>
      </c>
      <c r="H28" s="76"/>
      <c r="I28" s="434"/>
    </row>
    <row r="29" spans="1:9" s="79" customFormat="1" ht="13.5" customHeight="1">
      <c r="A29" s="66">
        <v>368490</v>
      </c>
      <c r="B29" s="66" t="s">
        <v>79</v>
      </c>
      <c r="C29" s="66" t="s">
        <v>291</v>
      </c>
      <c r="D29" s="79" t="s">
        <v>511</v>
      </c>
      <c r="E29" s="66" t="s">
        <v>335</v>
      </c>
      <c r="F29" s="76">
        <v>228</v>
      </c>
      <c r="G29" s="76">
        <v>228</v>
      </c>
      <c r="H29" s="76"/>
      <c r="I29" s="434"/>
    </row>
    <row r="30" spans="1:9" s="79" customFormat="1" ht="13.5" customHeight="1">
      <c r="A30" s="66">
        <v>368492</v>
      </c>
      <c r="B30" s="66" t="s">
        <v>79</v>
      </c>
      <c r="C30" s="66" t="s">
        <v>291</v>
      </c>
      <c r="D30" s="79" t="s">
        <v>512</v>
      </c>
      <c r="E30" s="66" t="s">
        <v>335</v>
      </c>
      <c r="F30" s="76">
        <v>228</v>
      </c>
      <c r="G30" s="76">
        <v>228</v>
      </c>
      <c r="H30" s="76"/>
      <c r="I30" s="434"/>
    </row>
    <row r="31" spans="1:9" s="79" customFormat="1" ht="13.5" customHeight="1">
      <c r="A31" s="66">
        <v>368494</v>
      </c>
      <c r="B31" s="66" t="s">
        <v>79</v>
      </c>
      <c r="C31" s="66" t="s">
        <v>291</v>
      </c>
      <c r="D31" s="79" t="s">
        <v>513</v>
      </c>
      <c r="E31" s="66" t="s">
        <v>335</v>
      </c>
      <c r="F31" s="76">
        <v>228</v>
      </c>
      <c r="G31" s="76">
        <v>228</v>
      </c>
      <c r="H31" s="76"/>
      <c r="I31" s="435"/>
    </row>
    <row r="32" spans="1:9" s="79" customFormat="1" ht="13.5" customHeight="1">
      <c r="A32" s="66">
        <v>368496</v>
      </c>
      <c r="B32" s="66" t="s">
        <v>79</v>
      </c>
      <c r="C32" s="66" t="s">
        <v>291</v>
      </c>
      <c r="D32" s="79" t="s">
        <v>514</v>
      </c>
      <c r="E32" s="66" t="s">
        <v>335</v>
      </c>
      <c r="F32" s="76">
        <v>228</v>
      </c>
      <c r="G32" s="76">
        <v>228</v>
      </c>
      <c r="H32" s="76"/>
      <c r="I32" s="435"/>
    </row>
    <row r="33" spans="1:9" s="79" customFormat="1" ht="13.5" customHeight="1">
      <c r="A33" s="66">
        <v>368498</v>
      </c>
      <c r="B33" s="66" t="s">
        <v>88</v>
      </c>
      <c r="C33" s="66" t="s">
        <v>291</v>
      </c>
      <c r="D33" s="79" t="s">
        <v>494</v>
      </c>
      <c r="E33" s="66" t="s">
        <v>335</v>
      </c>
      <c r="F33" s="76">
        <v>228</v>
      </c>
      <c r="G33" s="76">
        <v>228</v>
      </c>
      <c r="H33" s="76"/>
      <c r="I33" s="435"/>
    </row>
    <row r="34" spans="1:9" s="79" customFormat="1" ht="13.5" customHeight="1">
      <c r="A34" s="66">
        <v>368499</v>
      </c>
      <c r="B34" s="66" t="s">
        <v>88</v>
      </c>
      <c r="C34" s="66" t="s">
        <v>291</v>
      </c>
      <c r="D34" s="79" t="s">
        <v>494</v>
      </c>
      <c r="E34" s="66" t="s">
        <v>335</v>
      </c>
      <c r="F34" s="76">
        <v>228</v>
      </c>
      <c r="G34" s="76">
        <v>228</v>
      </c>
      <c r="H34" s="76"/>
      <c r="I34" s="435"/>
    </row>
    <row r="35" spans="1:9" s="79" customFormat="1" ht="13.5" customHeight="1">
      <c r="A35" s="66">
        <v>368500</v>
      </c>
      <c r="B35" s="66" t="s">
        <v>88</v>
      </c>
      <c r="C35" s="66" t="s">
        <v>291</v>
      </c>
      <c r="D35" s="79" t="s">
        <v>494</v>
      </c>
      <c r="E35" s="66" t="s">
        <v>335</v>
      </c>
      <c r="F35" s="76">
        <v>228</v>
      </c>
      <c r="G35" s="76">
        <v>228</v>
      </c>
      <c r="H35" s="76"/>
      <c r="I35" s="435"/>
    </row>
    <row r="36" spans="1:9" s="79" customFormat="1" ht="13.5" customHeight="1">
      <c r="A36" s="66">
        <v>368501</v>
      </c>
      <c r="B36" s="66" t="s">
        <v>88</v>
      </c>
      <c r="C36" s="66" t="s">
        <v>291</v>
      </c>
      <c r="D36" s="79" t="s">
        <v>495</v>
      </c>
      <c r="E36" s="66" t="s">
        <v>335</v>
      </c>
      <c r="F36" s="76">
        <v>152</v>
      </c>
      <c r="G36" s="76">
        <v>152</v>
      </c>
      <c r="H36" s="76"/>
      <c r="I36" s="435"/>
    </row>
    <row r="37" spans="1:9" s="79" customFormat="1" ht="13.5" customHeight="1">
      <c r="A37" s="66">
        <v>368502</v>
      </c>
      <c r="B37" s="66" t="s">
        <v>88</v>
      </c>
      <c r="C37" s="66" t="s">
        <v>291</v>
      </c>
      <c r="D37" s="79" t="s">
        <v>495</v>
      </c>
      <c r="E37" s="66" t="s">
        <v>335</v>
      </c>
      <c r="F37" s="76">
        <v>304</v>
      </c>
      <c r="G37" s="76">
        <v>304</v>
      </c>
      <c r="H37" s="76"/>
      <c r="I37" s="436"/>
    </row>
    <row r="38" spans="1:9" s="79" customFormat="1" ht="13.5" customHeight="1">
      <c r="A38" s="66">
        <v>368503</v>
      </c>
      <c r="B38" s="66" t="s">
        <v>88</v>
      </c>
      <c r="C38" s="66" t="s">
        <v>291</v>
      </c>
      <c r="D38" s="79" t="s">
        <v>39</v>
      </c>
      <c r="E38" s="66" t="s">
        <v>335</v>
      </c>
      <c r="F38" s="76">
        <v>38</v>
      </c>
      <c r="G38" s="76">
        <v>38</v>
      </c>
      <c r="H38" s="76"/>
      <c r="I38" s="436"/>
    </row>
    <row r="39" ht="13.5" customHeight="1">
      <c r="I39" s="435"/>
    </row>
    <row r="40" ht="13.5" customHeight="1">
      <c r="I40" s="435"/>
    </row>
    <row r="41" ht="13.5" customHeight="1">
      <c r="I41" s="435"/>
    </row>
    <row r="42" ht="13.5" customHeight="1">
      <c r="I42" s="435"/>
    </row>
    <row r="43" ht="13.5" customHeight="1">
      <c r="I43" s="435"/>
    </row>
    <row r="44" ht="13.5" customHeight="1">
      <c r="I44" s="435"/>
    </row>
    <row r="45" ht="13.5" customHeight="1">
      <c r="I45" s="435"/>
    </row>
    <row r="46" ht="13.5" customHeight="1">
      <c r="I46" s="435"/>
    </row>
    <row r="47" ht="13.5" customHeight="1">
      <c r="I47" s="435"/>
    </row>
    <row r="48" ht="13.5" customHeight="1">
      <c r="I48" s="435"/>
    </row>
    <row r="49" ht="13.5" customHeight="1">
      <c r="I49" s="435"/>
    </row>
    <row r="50" ht="13.5" customHeight="1">
      <c r="I50" s="435"/>
    </row>
    <row r="51" ht="13.5" customHeight="1">
      <c r="I51" s="435"/>
    </row>
    <row r="52" ht="13.5" customHeight="1">
      <c r="I52" s="435"/>
    </row>
    <row r="53" ht="13.5" customHeight="1">
      <c r="I53" s="435"/>
    </row>
    <row r="54" ht="13.5" customHeight="1">
      <c r="I54" s="435"/>
    </row>
    <row r="55" ht="13.5" customHeight="1">
      <c r="I55" s="435"/>
    </row>
    <row r="56" ht="13.5" customHeight="1">
      <c r="I56" s="435"/>
    </row>
    <row r="57" ht="13.5" customHeight="1">
      <c r="I57" s="435"/>
    </row>
    <row r="58" ht="13.5" customHeight="1">
      <c r="I58" s="435"/>
    </row>
    <row r="59" ht="13.5" customHeight="1">
      <c r="I59" s="435"/>
    </row>
    <row r="60" ht="13.5" customHeight="1">
      <c r="I60" s="435"/>
    </row>
    <row r="61" ht="13.5" customHeight="1">
      <c r="I61" s="435"/>
    </row>
    <row r="62" ht="13.5" customHeight="1">
      <c r="I62" s="435"/>
    </row>
    <row r="63" ht="13.5" customHeight="1">
      <c r="I63" s="435"/>
    </row>
    <row r="64" ht="13.5" customHeight="1">
      <c r="I64" s="436"/>
    </row>
    <row r="65" ht="13.5" customHeight="1">
      <c r="I65" s="436"/>
    </row>
    <row r="66" ht="13.5" customHeight="1">
      <c r="I66" s="436"/>
    </row>
    <row r="67" ht="13.5" customHeight="1">
      <c r="I67" s="435"/>
    </row>
    <row r="68" ht="13.5" customHeight="1">
      <c r="I68" s="436"/>
    </row>
    <row r="69" ht="13.5" customHeight="1">
      <c r="I69" s="436"/>
    </row>
    <row r="70" ht="13.5" customHeight="1">
      <c r="I70" s="436"/>
    </row>
    <row r="71" ht="13.5" customHeight="1">
      <c r="I71" s="436"/>
    </row>
    <row r="72" ht="13.5" customHeight="1">
      <c r="I72" s="435"/>
    </row>
    <row r="73" ht="13.5" customHeight="1">
      <c r="I73" s="435"/>
    </row>
    <row r="74" ht="13.5" customHeight="1">
      <c r="I74" s="435"/>
    </row>
    <row r="75" ht="13.5" customHeight="1">
      <c r="I75" s="435"/>
    </row>
    <row r="76" ht="13.5" customHeight="1">
      <c r="I76" s="435"/>
    </row>
    <row r="77" ht="13.5" customHeight="1">
      <c r="I77" s="435"/>
    </row>
    <row r="78" ht="13.5" customHeight="1">
      <c r="I78" s="435"/>
    </row>
    <row r="79" ht="13.5" customHeight="1">
      <c r="I79" s="435"/>
    </row>
    <row r="80" ht="13.5" customHeight="1">
      <c r="I80" s="435"/>
    </row>
    <row r="81" ht="13.5" customHeight="1">
      <c r="I81" s="435"/>
    </row>
    <row r="82" ht="13.5" customHeight="1">
      <c r="I82" s="435"/>
    </row>
    <row r="83" ht="13.5" customHeight="1">
      <c r="I83" s="435"/>
    </row>
    <row r="84" ht="13.5" customHeight="1">
      <c r="I84" s="435"/>
    </row>
    <row r="85" ht="13.5" customHeight="1">
      <c r="I85" s="435"/>
    </row>
    <row r="86" ht="13.5" customHeight="1">
      <c r="I86" s="435"/>
    </row>
    <row r="87" ht="13.5" customHeight="1">
      <c r="I87" s="435"/>
    </row>
    <row r="88" ht="13.5" customHeight="1">
      <c r="I88" s="435"/>
    </row>
    <row r="89" ht="13.5" customHeight="1">
      <c r="I89" s="435"/>
    </row>
    <row r="90" ht="13.5" customHeight="1">
      <c r="I90" s="435"/>
    </row>
    <row r="91" ht="13.5" customHeight="1">
      <c r="I91" s="435"/>
    </row>
    <row r="92" ht="13.5" customHeight="1">
      <c r="I92" s="435"/>
    </row>
    <row r="93" ht="13.5" customHeight="1">
      <c r="I93" s="435"/>
    </row>
    <row r="94" ht="13.5" customHeight="1">
      <c r="I94" s="437"/>
    </row>
    <row r="95" ht="13.5" customHeight="1">
      <c r="I95" s="435"/>
    </row>
    <row r="96" ht="13.5" customHeight="1">
      <c r="I96" s="435"/>
    </row>
    <row r="97" ht="13.5" customHeight="1">
      <c r="I97" s="435"/>
    </row>
    <row r="98" ht="13.5" customHeight="1">
      <c r="I98" s="435"/>
    </row>
    <row r="99" ht="13.5" customHeight="1">
      <c r="I99" s="435"/>
    </row>
    <row r="100" ht="13.5" customHeight="1">
      <c r="I100" s="435"/>
    </row>
    <row r="101" ht="13.5" customHeight="1">
      <c r="I101" s="435"/>
    </row>
    <row r="102" ht="13.5" customHeight="1">
      <c r="I102" s="435"/>
    </row>
    <row r="103" ht="13.5" customHeight="1">
      <c r="I103" s="435"/>
    </row>
    <row r="104" ht="13.5" customHeight="1">
      <c r="I104" s="435"/>
    </row>
    <row r="105" ht="13.5" customHeight="1">
      <c r="I105" s="435"/>
    </row>
    <row r="106" ht="13.5" customHeight="1">
      <c r="I106" s="435"/>
    </row>
    <row r="107" ht="13.5" customHeight="1">
      <c r="I107" s="435"/>
    </row>
    <row r="108" ht="13.5" customHeight="1">
      <c r="I108" s="437"/>
    </row>
    <row r="109" ht="13.5" customHeight="1">
      <c r="I109" s="437"/>
    </row>
    <row r="110" ht="13.5" customHeight="1">
      <c r="I110" s="435"/>
    </row>
    <row r="111" ht="13.5" customHeight="1">
      <c r="I111" s="435"/>
    </row>
    <row r="112" ht="13.5" customHeight="1">
      <c r="I112" s="435"/>
    </row>
    <row r="113" ht="13.5" customHeight="1">
      <c r="I113" s="435"/>
    </row>
    <row r="114" ht="13.5" customHeight="1">
      <c r="I114" s="435"/>
    </row>
    <row r="115" ht="13.5" customHeight="1">
      <c r="I115" s="435"/>
    </row>
    <row r="116" ht="13.5" customHeight="1">
      <c r="I116" s="435"/>
    </row>
    <row r="117" ht="13.5" customHeight="1">
      <c r="I117" s="435"/>
    </row>
    <row r="118" ht="13.5" customHeight="1">
      <c r="I118" s="435"/>
    </row>
  </sheetData>
  <printOptions gridLines="1"/>
  <pageMargins left="0.49" right="0.47" top="1" bottom="1" header="0.5" footer="0.5"/>
  <pageSetup horizontalDpi="600" verticalDpi="600" orientation="landscape" paperSize="17" scale="95" r:id="rId1"/>
  <headerFooter alignWithMargins="0">
    <oddFooter>&amp;LFile: PNPI Kit, ME 3/1 - Nov., 2001
N. Chester&amp;Cpage &amp;P of &amp;N&amp;RUpdated: 10/25/01
Printed: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F15" sqref="F15"/>
    </sheetView>
  </sheetViews>
  <sheetFormatPr defaultColWidth="9.140625" defaultRowHeight="13.5" customHeight="1"/>
  <cols>
    <col min="1" max="1" width="8.140625" style="12" customWidth="1"/>
    <col min="2" max="2" width="4.28125" style="12" customWidth="1"/>
    <col min="3" max="3" width="4.28125" style="12" hidden="1" customWidth="1"/>
    <col min="4" max="4" width="58.421875" style="25" customWidth="1"/>
    <col min="5" max="8" width="11.57421875" style="6" customWidth="1"/>
    <col min="9" max="9" width="11.57421875" style="434" customWidth="1"/>
    <col min="10" max="10" width="11.57421875" style="6" customWidth="1"/>
    <col min="11" max="11" width="11.57421875" style="18" customWidth="1"/>
    <col min="12" max="12" width="11.57421875" style="6" customWidth="1"/>
    <col min="13" max="13" width="11.57421875" style="18" customWidth="1"/>
    <col min="14" max="14" width="11.57421875" style="12" customWidth="1"/>
    <col min="15" max="16" width="11.57421875" style="18" customWidth="1"/>
    <col min="17" max="17" width="20.7109375" style="423" customWidth="1"/>
    <col min="18" max="18" width="9.00390625" style="423" customWidth="1"/>
    <col min="19" max="20" width="9.00390625" style="18" customWidth="1"/>
    <col min="21" max="21" width="21.140625" style="18" customWidth="1"/>
    <col min="22" max="16384" width="9.140625" style="18" customWidth="1"/>
  </cols>
  <sheetData>
    <row r="1" spans="1:17" s="413" customFormat="1" ht="29.25" customHeight="1">
      <c r="A1" s="52" t="s">
        <v>405</v>
      </c>
      <c r="B1" s="410" t="s">
        <v>406</v>
      </c>
      <c r="C1" s="411" t="s">
        <v>67</v>
      </c>
      <c r="D1" s="402" t="s">
        <v>409</v>
      </c>
      <c r="E1" s="421" t="s">
        <v>388</v>
      </c>
      <c r="F1" s="427" t="s">
        <v>396</v>
      </c>
      <c r="G1" s="428" t="s">
        <v>397</v>
      </c>
      <c r="H1" s="428" t="s">
        <v>465</v>
      </c>
      <c r="I1" s="432" t="s">
        <v>586</v>
      </c>
      <c r="J1" s="427" t="s">
        <v>398</v>
      </c>
      <c r="K1" s="427" t="s">
        <v>399</v>
      </c>
      <c r="L1" s="427" t="s">
        <v>400</v>
      </c>
      <c r="M1" s="427" t="s">
        <v>401</v>
      </c>
      <c r="N1" s="427" t="s">
        <v>402</v>
      </c>
      <c r="O1" s="427" t="s">
        <v>403</v>
      </c>
      <c r="P1" s="427" t="s">
        <v>404</v>
      </c>
      <c r="Q1" s="412" t="s">
        <v>68</v>
      </c>
    </row>
    <row r="2" spans="1:9" s="403" customFormat="1" ht="13.5" customHeight="1">
      <c r="A2" s="405"/>
      <c r="B2" s="405"/>
      <c r="C2" s="401"/>
      <c r="D2" s="404"/>
      <c r="E2" s="399"/>
      <c r="F2" s="399"/>
      <c r="G2" s="399"/>
      <c r="H2" s="399"/>
      <c r="I2" s="433"/>
    </row>
    <row r="3" spans="1:9" s="79" customFormat="1" ht="15.75" customHeight="1">
      <c r="A3" s="66">
        <v>368288</v>
      </c>
      <c r="B3" s="66" t="s">
        <v>79</v>
      </c>
      <c r="C3" s="66" t="s">
        <v>290</v>
      </c>
      <c r="D3" s="79" t="s">
        <v>467</v>
      </c>
      <c r="E3" s="66" t="s">
        <v>186</v>
      </c>
      <c r="F3" s="76">
        <v>1</v>
      </c>
      <c r="G3" s="424" t="s">
        <v>185</v>
      </c>
      <c r="I3" s="434"/>
    </row>
    <row r="4" spans="1:9" s="79" customFormat="1" ht="13.5" customHeight="1">
      <c r="A4" s="66">
        <v>368289</v>
      </c>
      <c r="B4" s="66" t="s">
        <v>79</v>
      </c>
      <c r="C4" s="66" t="s">
        <v>290</v>
      </c>
      <c r="D4" s="406" t="s">
        <v>497</v>
      </c>
      <c r="E4" s="66" t="s">
        <v>190</v>
      </c>
      <c r="F4" s="407" t="s">
        <v>395</v>
      </c>
      <c r="G4" s="407" t="s">
        <v>189</v>
      </c>
      <c r="I4" s="434"/>
    </row>
    <row r="5" spans="1:9" s="79" customFormat="1" ht="13.5" customHeight="1">
      <c r="A5" s="66">
        <v>368291</v>
      </c>
      <c r="B5" s="66" t="s">
        <v>88</v>
      </c>
      <c r="C5" s="66" t="s">
        <v>290</v>
      </c>
      <c r="D5" s="406" t="s">
        <v>445</v>
      </c>
      <c r="E5" s="66" t="s">
        <v>116</v>
      </c>
      <c r="F5" s="76" t="s">
        <v>410</v>
      </c>
      <c r="G5" s="76">
        <v>20</v>
      </c>
      <c r="I5" s="434"/>
    </row>
    <row r="6" spans="1:9" s="409" customFormat="1" ht="13.5" customHeight="1">
      <c r="A6" s="66">
        <v>368671</v>
      </c>
      <c r="B6" s="66" t="s">
        <v>88</v>
      </c>
      <c r="C6" s="405" t="s">
        <v>290</v>
      </c>
      <c r="D6" s="79" t="s">
        <v>460</v>
      </c>
      <c r="E6" s="66" t="s">
        <v>190</v>
      </c>
      <c r="F6" s="76" t="s">
        <v>411</v>
      </c>
      <c r="G6" s="76">
        <v>1</v>
      </c>
      <c r="I6" s="434"/>
    </row>
    <row r="7" spans="1:9" s="79" customFormat="1" ht="13.5" customHeight="1">
      <c r="A7" s="66">
        <v>368415</v>
      </c>
      <c r="B7" s="66" t="s">
        <v>79</v>
      </c>
      <c r="C7" s="66" t="s">
        <v>291</v>
      </c>
      <c r="D7" s="79" t="s">
        <v>245</v>
      </c>
      <c r="E7" s="66" t="s">
        <v>335</v>
      </c>
      <c r="F7" s="76">
        <v>108</v>
      </c>
      <c r="G7" s="76">
        <v>108</v>
      </c>
      <c r="H7" s="76"/>
      <c r="I7" s="434"/>
    </row>
    <row r="8" spans="1:9" s="79" customFormat="1" ht="13.5" customHeight="1">
      <c r="A8" s="66">
        <v>368416</v>
      </c>
      <c r="B8" s="66" t="s">
        <v>79</v>
      </c>
      <c r="C8" s="66" t="s">
        <v>291</v>
      </c>
      <c r="D8" s="79" t="s">
        <v>246</v>
      </c>
      <c r="E8" s="66" t="s">
        <v>335</v>
      </c>
      <c r="F8" s="76">
        <v>36</v>
      </c>
      <c r="G8" s="76">
        <v>36</v>
      </c>
      <c r="H8" s="76"/>
      <c r="I8" s="434"/>
    </row>
    <row r="9" spans="1:9" s="79" customFormat="1" ht="13.5" customHeight="1">
      <c r="A9" s="66">
        <v>368417</v>
      </c>
      <c r="B9" s="66" t="s">
        <v>79</v>
      </c>
      <c r="C9" s="66" t="s">
        <v>291</v>
      </c>
      <c r="D9" s="79" t="s">
        <v>247</v>
      </c>
      <c r="E9" s="66" t="s">
        <v>335</v>
      </c>
      <c r="F9" s="76">
        <v>72</v>
      </c>
      <c r="G9" s="76">
        <v>72</v>
      </c>
      <c r="H9" s="76"/>
      <c r="I9" s="434"/>
    </row>
    <row r="10" spans="1:9" s="79" customFormat="1" ht="13.5" customHeight="1">
      <c r="A10" s="66">
        <v>368418</v>
      </c>
      <c r="B10" s="66" t="s">
        <v>79</v>
      </c>
      <c r="C10" s="66" t="s">
        <v>291</v>
      </c>
      <c r="D10" s="79" t="s">
        <v>248</v>
      </c>
      <c r="E10" s="66" t="s">
        <v>335</v>
      </c>
      <c r="F10" s="76">
        <v>36</v>
      </c>
      <c r="G10" s="76">
        <v>36</v>
      </c>
      <c r="H10" s="76"/>
      <c r="I10" s="434"/>
    </row>
    <row r="11" spans="1:18" ht="13.5" customHeight="1">
      <c r="A11" s="13">
        <v>368677</v>
      </c>
      <c r="B11" s="13" t="s">
        <v>88</v>
      </c>
      <c r="C11" s="13" t="s">
        <v>290</v>
      </c>
      <c r="D11" s="481" t="s">
        <v>588</v>
      </c>
      <c r="E11" s="398" t="s">
        <v>118</v>
      </c>
      <c r="F11" s="398" t="s">
        <v>592</v>
      </c>
      <c r="G11" s="398">
        <v>1</v>
      </c>
      <c r="H11" s="18"/>
      <c r="J11" s="18"/>
      <c r="L11" s="18"/>
      <c r="N11" s="18"/>
      <c r="Q11" s="18"/>
      <c r="R11" s="18"/>
    </row>
    <row r="12" spans="5:18" ht="13.5" customHeight="1">
      <c r="E12" s="12"/>
      <c r="F12" s="423"/>
      <c r="G12" s="423"/>
      <c r="H12" s="18"/>
      <c r="I12" s="435"/>
      <c r="J12" s="18"/>
      <c r="L12" s="18"/>
      <c r="N12" s="18"/>
      <c r="Q12" s="18"/>
      <c r="R12" s="18"/>
    </row>
    <row r="13" spans="5:18" ht="13.5" customHeight="1">
      <c r="E13" s="12"/>
      <c r="F13" s="423"/>
      <c r="G13" s="423"/>
      <c r="H13" s="18"/>
      <c r="I13" s="435"/>
      <c r="J13" s="18"/>
      <c r="L13" s="18"/>
      <c r="N13" s="18"/>
      <c r="Q13" s="18"/>
      <c r="R13" s="18"/>
    </row>
    <row r="14" spans="5:18" ht="13.5" customHeight="1">
      <c r="E14" s="12"/>
      <c r="F14" s="423"/>
      <c r="G14" s="423"/>
      <c r="H14" s="18"/>
      <c r="I14" s="435"/>
      <c r="J14" s="18"/>
      <c r="L14" s="18"/>
      <c r="N14" s="18"/>
      <c r="Q14" s="18"/>
      <c r="R14" s="18"/>
    </row>
    <row r="15" spans="5:18" ht="13.5" customHeight="1">
      <c r="E15" s="12"/>
      <c r="F15" s="423"/>
      <c r="G15" s="423"/>
      <c r="H15" s="18"/>
      <c r="I15" s="435"/>
      <c r="J15" s="18"/>
      <c r="L15" s="18"/>
      <c r="N15" s="18"/>
      <c r="Q15" s="18"/>
      <c r="R15" s="18"/>
    </row>
    <row r="16" spans="5:18" ht="13.5" customHeight="1">
      <c r="E16" s="12"/>
      <c r="F16" s="423"/>
      <c r="G16" s="423"/>
      <c r="H16" s="18"/>
      <c r="I16" s="435"/>
      <c r="J16" s="18"/>
      <c r="L16" s="18"/>
      <c r="N16" s="18"/>
      <c r="Q16" s="18"/>
      <c r="R16" s="18"/>
    </row>
    <row r="17" spans="5:18" ht="13.5" customHeight="1">
      <c r="E17" s="12"/>
      <c r="F17" s="423"/>
      <c r="G17" s="423"/>
      <c r="H17" s="18"/>
      <c r="I17" s="435"/>
      <c r="J17" s="18"/>
      <c r="L17" s="18"/>
      <c r="N17" s="18"/>
      <c r="Q17" s="18"/>
      <c r="R17" s="18"/>
    </row>
    <row r="18" spans="5:18" ht="13.5" customHeight="1">
      <c r="E18" s="12"/>
      <c r="F18" s="423"/>
      <c r="G18" s="423"/>
      <c r="H18" s="18"/>
      <c r="I18" s="435"/>
      <c r="J18" s="18"/>
      <c r="L18" s="18"/>
      <c r="N18" s="18"/>
      <c r="Q18" s="18"/>
      <c r="R18" s="18"/>
    </row>
    <row r="19" spans="5:18" ht="13.5" customHeight="1">
      <c r="E19" s="12"/>
      <c r="F19" s="423"/>
      <c r="G19" s="423"/>
      <c r="H19" s="18"/>
      <c r="I19" s="435"/>
      <c r="J19" s="18"/>
      <c r="L19" s="18"/>
      <c r="N19" s="18"/>
      <c r="Q19" s="18"/>
      <c r="R19" s="18"/>
    </row>
    <row r="20" spans="5:18" ht="13.5" customHeight="1">
      <c r="E20" s="12"/>
      <c r="F20" s="423"/>
      <c r="G20" s="423"/>
      <c r="H20" s="18"/>
      <c r="J20" s="18"/>
      <c r="L20" s="18"/>
      <c r="N20" s="18"/>
      <c r="Q20" s="18"/>
      <c r="R20" s="18"/>
    </row>
    <row r="23" ht="13.5" customHeight="1">
      <c r="I23" s="435"/>
    </row>
    <row r="24" ht="13.5" customHeight="1">
      <c r="I24" s="435"/>
    </row>
    <row r="25" ht="13.5" customHeight="1">
      <c r="I25" s="435"/>
    </row>
    <row r="26" ht="13.5" customHeight="1">
      <c r="I26" s="435"/>
    </row>
    <row r="27" ht="13.5" customHeight="1">
      <c r="I27" s="435"/>
    </row>
    <row r="28" ht="13.5" customHeight="1">
      <c r="I28" s="435"/>
    </row>
    <row r="29" ht="13.5" customHeight="1">
      <c r="I29" s="435"/>
    </row>
    <row r="30" ht="13.5" customHeight="1">
      <c r="I30" s="435"/>
    </row>
    <row r="31" ht="13.5" customHeight="1">
      <c r="I31" s="435"/>
    </row>
    <row r="32" ht="13.5" customHeight="1">
      <c r="I32" s="435"/>
    </row>
    <row r="33" ht="13.5" customHeight="1">
      <c r="I33" s="435"/>
    </row>
    <row r="34" ht="13.5" customHeight="1">
      <c r="I34" s="435"/>
    </row>
    <row r="35" ht="13.5" customHeight="1">
      <c r="I35" s="435"/>
    </row>
    <row r="36" ht="13.5" customHeight="1">
      <c r="I36" s="435"/>
    </row>
    <row r="37" ht="13.5" customHeight="1">
      <c r="I37" s="435"/>
    </row>
    <row r="38" ht="13.5" customHeight="1">
      <c r="I38" s="435"/>
    </row>
    <row r="39" ht="13.5" customHeight="1">
      <c r="I39" s="435"/>
    </row>
    <row r="40" ht="13.5" customHeight="1">
      <c r="I40" s="435"/>
    </row>
    <row r="41" ht="13.5" customHeight="1">
      <c r="I41" s="435"/>
    </row>
    <row r="42" ht="13.5" customHeight="1">
      <c r="I42" s="435"/>
    </row>
    <row r="43" ht="13.5" customHeight="1">
      <c r="I43" s="435"/>
    </row>
    <row r="44" ht="13.5" customHeight="1">
      <c r="I44" s="435"/>
    </row>
    <row r="45" ht="13.5" customHeight="1">
      <c r="I45" s="435"/>
    </row>
    <row r="46" ht="13.5" customHeight="1">
      <c r="I46" s="435"/>
    </row>
    <row r="47" ht="13.5" customHeight="1">
      <c r="I47" s="435"/>
    </row>
    <row r="48" ht="13.5" customHeight="1">
      <c r="I48" s="435"/>
    </row>
    <row r="49" ht="13.5" customHeight="1">
      <c r="I49" s="435"/>
    </row>
    <row r="50" ht="13.5" customHeight="1">
      <c r="I50" s="435"/>
    </row>
    <row r="51" ht="13.5" customHeight="1">
      <c r="I51" s="435"/>
    </row>
    <row r="52" ht="13.5" customHeight="1">
      <c r="I52" s="436"/>
    </row>
    <row r="53" ht="13.5" customHeight="1">
      <c r="I53" s="436"/>
    </row>
    <row r="54" ht="13.5" customHeight="1">
      <c r="I54" s="436"/>
    </row>
    <row r="55" ht="13.5" customHeight="1">
      <c r="I55" s="435"/>
    </row>
    <row r="56" ht="13.5" customHeight="1">
      <c r="I56" s="436"/>
    </row>
    <row r="57" ht="13.5" customHeight="1">
      <c r="I57" s="436"/>
    </row>
    <row r="58" ht="13.5" customHeight="1">
      <c r="I58" s="436"/>
    </row>
    <row r="59" ht="13.5" customHeight="1">
      <c r="I59" s="436"/>
    </row>
    <row r="60" ht="13.5" customHeight="1">
      <c r="I60" s="435"/>
    </row>
    <row r="61" ht="13.5" customHeight="1">
      <c r="I61" s="435"/>
    </row>
    <row r="62" ht="13.5" customHeight="1">
      <c r="I62" s="435"/>
    </row>
    <row r="63" ht="13.5" customHeight="1">
      <c r="I63" s="435"/>
    </row>
    <row r="64" ht="13.5" customHeight="1">
      <c r="I64" s="435"/>
    </row>
    <row r="65" ht="13.5" customHeight="1">
      <c r="I65" s="435"/>
    </row>
    <row r="66" ht="13.5" customHeight="1">
      <c r="I66" s="435"/>
    </row>
    <row r="67" ht="13.5" customHeight="1">
      <c r="I67" s="435"/>
    </row>
    <row r="68" ht="13.5" customHeight="1">
      <c r="I68" s="435"/>
    </row>
    <row r="69" ht="13.5" customHeight="1">
      <c r="I69" s="435"/>
    </row>
    <row r="70" ht="13.5" customHeight="1">
      <c r="I70" s="435"/>
    </row>
    <row r="71" ht="13.5" customHeight="1">
      <c r="I71" s="435"/>
    </row>
    <row r="72" ht="13.5" customHeight="1">
      <c r="I72" s="435"/>
    </row>
    <row r="73" ht="13.5" customHeight="1">
      <c r="I73" s="435"/>
    </row>
    <row r="74" ht="13.5" customHeight="1">
      <c r="I74" s="435"/>
    </row>
    <row r="75" ht="13.5" customHeight="1">
      <c r="I75" s="435"/>
    </row>
    <row r="76" ht="13.5" customHeight="1">
      <c r="I76" s="435"/>
    </row>
    <row r="77" ht="13.5" customHeight="1">
      <c r="I77" s="435"/>
    </row>
    <row r="78" ht="13.5" customHeight="1">
      <c r="I78" s="435"/>
    </row>
    <row r="79" ht="13.5" customHeight="1">
      <c r="I79" s="435"/>
    </row>
    <row r="80" ht="13.5" customHeight="1">
      <c r="I80" s="435"/>
    </row>
    <row r="81" ht="13.5" customHeight="1">
      <c r="I81" s="435"/>
    </row>
    <row r="82" ht="13.5" customHeight="1">
      <c r="I82" s="437"/>
    </row>
    <row r="83" ht="13.5" customHeight="1">
      <c r="I83" s="435"/>
    </row>
    <row r="84" ht="13.5" customHeight="1">
      <c r="I84" s="435"/>
    </row>
    <row r="85" ht="13.5" customHeight="1">
      <c r="I85" s="435"/>
    </row>
    <row r="86" ht="13.5" customHeight="1">
      <c r="I86" s="435"/>
    </row>
    <row r="87" ht="13.5" customHeight="1">
      <c r="I87" s="435"/>
    </row>
    <row r="88" ht="13.5" customHeight="1">
      <c r="I88" s="435"/>
    </row>
    <row r="89" ht="13.5" customHeight="1">
      <c r="I89" s="435"/>
    </row>
    <row r="90" ht="13.5" customHeight="1">
      <c r="I90" s="435"/>
    </row>
    <row r="91" ht="13.5" customHeight="1">
      <c r="I91" s="435"/>
    </row>
    <row r="92" ht="13.5" customHeight="1">
      <c r="I92" s="435"/>
    </row>
    <row r="93" ht="13.5" customHeight="1">
      <c r="I93" s="435"/>
    </row>
    <row r="94" ht="13.5" customHeight="1">
      <c r="I94" s="435"/>
    </row>
    <row r="95" ht="13.5" customHeight="1">
      <c r="I95" s="435"/>
    </row>
    <row r="96" ht="13.5" customHeight="1">
      <c r="I96" s="437"/>
    </row>
    <row r="97" ht="13.5" customHeight="1">
      <c r="I97" s="437"/>
    </row>
    <row r="98" ht="13.5" customHeight="1">
      <c r="I98" s="435"/>
    </row>
    <row r="99" ht="13.5" customHeight="1">
      <c r="I99" s="435"/>
    </row>
    <row r="100" ht="13.5" customHeight="1">
      <c r="I100" s="435"/>
    </row>
    <row r="101" ht="13.5" customHeight="1">
      <c r="I101" s="435"/>
    </row>
    <row r="102" ht="13.5" customHeight="1">
      <c r="I102" s="435"/>
    </row>
    <row r="103" ht="13.5" customHeight="1">
      <c r="I103" s="435"/>
    </row>
    <row r="104" ht="13.5" customHeight="1">
      <c r="I104" s="435"/>
    </row>
    <row r="105" ht="13.5" customHeight="1">
      <c r="I105" s="435"/>
    </row>
    <row r="106" ht="13.5" customHeight="1">
      <c r="I106" s="435"/>
    </row>
  </sheetData>
  <printOptions gridLines="1"/>
  <pageMargins left="0.44" right="0.49" top="1" bottom="1" header="0.5" footer="0.5"/>
  <pageSetup horizontalDpi="600" verticalDpi="600" orientation="landscape" paperSize="17" scale="95" r:id="rId1"/>
  <headerFooter alignWithMargins="0">
    <oddFooter>&amp;LFile: PNPI Kit, ME 4/1 - Oct., 2002
N. Chester&amp;CPage &amp;P of &amp;N&amp;RUpdated: 10/24/01
Printed: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B21">
      <selection activeCell="A55" sqref="A55:IV56"/>
    </sheetView>
  </sheetViews>
  <sheetFormatPr defaultColWidth="9.140625" defaultRowHeight="16.5" customHeight="1"/>
  <cols>
    <col min="1" max="1" width="4.00390625" style="0" customWidth="1"/>
    <col min="2" max="2" width="7.8515625" style="0" customWidth="1"/>
    <col min="3" max="3" width="3.57421875" style="0" customWidth="1"/>
    <col min="4" max="4" width="4.421875" style="11" customWidth="1"/>
    <col min="5" max="5" width="48.140625" style="42" customWidth="1"/>
    <col min="6" max="6" width="4.421875" style="155" customWidth="1"/>
    <col min="7" max="7" width="5.7109375" style="155" customWidth="1"/>
    <col min="8" max="8" width="3.57421875" style="155" customWidth="1"/>
    <col min="9" max="9" width="5.7109375" style="155" customWidth="1"/>
    <col min="10" max="10" width="3.57421875" style="155" customWidth="1"/>
    <col min="11" max="11" width="5.7109375" style="155" customWidth="1"/>
    <col min="12" max="12" width="6.57421875" style="13" customWidth="1"/>
    <col min="13" max="13" width="7.00390625" style="155" customWidth="1"/>
    <col min="14" max="14" width="7.00390625" style="13" customWidth="1"/>
  </cols>
  <sheetData>
    <row r="1" spans="1:14" s="16" customFormat="1" ht="32.25" customHeight="1">
      <c r="A1" s="538" t="str">
        <f>'[1]1.3, 3.1, 4.1 Cu Pts to Order'!A1</f>
        <v>N. Chester
Updated 8/7/01 </v>
      </c>
      <c r="B1" s="539"/>
      <c r="C1" s="539"/>
      <c r="D1" s="539"/>
      <c r="E1" s="46" t="s">
        <v>27</v>
      </c>
      <c r="F1" s="534" t="s">
        <v>74</v>
      </c>
      <c r="G1" s="519"/>
      <c r="H1" s="534" t="s">
        <v>74</v>
      </c>
      <c r="I1" s="519"/>
      <c r="J1" s="534" t="s">
        <v>74</v>
      </c>
      <c r="K1" s="519"/>
      <c r="L1" s="161" t="s">
        <v>28</v>
      </c>
      <c r="M1" s="161" t="s">
        <v>30</v>
      </c>
      <c r="N1" s="3" t="s">
        <v>182</v>
      </c>
    </row>
    <row r="2" spans="1:14" s="41" customFormat="1" ht="16.5" customHeight="1">
      <c r="A2" s="39" t="s">
        <v>71</v>
      </c>
      <c r="B2" s="39" t="s">
        <v>169</v>
      </c>
      <c r="C2" s="40" t="s">
        <v>72</v>
      </c>
      <c r="D2" s="24" t="s">
        <v>31</v>
      </c>
      <c r="E2" s="43" t="s">
        <v>73</v>
      </c>
      <c r="F2" s="535" t="s">
        <v>76</v>
      </c>
      <c r="G2" s="536"/>
      <c r="H2" s="540" t="s">
        <v>614</v>
      </c>
      <c r="I2" s="536"/>
      <c r="J2" s="535" t="s">
        <v>77</v>
      </c>
      <c r="K2" s="536"/>
      <c r="L2" s="44" t="s">
        <v>29</v>
      </c>
      <c r="M2" s="168" t="s">
        <v>75</v>
      </c>
      <c r="N2" s="44" t="s">
        <v>183</v>
      </c>
    </row>
    <row r="3" spans="1:14" s="16" customFormat="1" ht="18.75" customHeight="1">
      <c r="A3" s="13"/>
      <c r="B3" s="13"/>
      <c r="C3" s="14"/>
      <c r="D3" s="23"/>
      <c r="E3" s="47" t="s">
        <v>235</v>
      </c>
      <c r="F3" s="537">
        <v>37530</v>
      </c>
      <c r="G3" s="519"/>
      <c r="H3" s="537">
        <v>37196</v>
      </c>
      <c r="I3" s="519"/>
      <c r="J3" s="537">
        <v>37530</v>
      </c>
      <c r="K3" s="519"/>
      <c r="M3" s="3"/>
      <c r="N3" s="3"/>
    </row>
    <row r="4" spans="1:14" s="16" customFormat="1" ht="14.25" customHeight="1">
      <c r="A4" s="13"/>
      <c r="B4" s="13"/>
      <c r="C4" s="14"/>
      <c r="D4" s="23"/>
      <c r="E4" s="47" t="s">
        <v>52</v>
      </c>
      <c r="F4" s="27">
        <v>-1</v>
      </c>
      <c r="G4" s="28">
        <v>72</v>
      </c>
      <c r="H4" s="27">
        <v>-1</v>
      </c>
      <c r="I4" s="28">
        <v>36</v>
      </c>
      <c r="J4" s="27">
        <v>-1</v>
      </c>
      <c r="K4" s="28">
        <v>36</v>
      </c>
      <c r="L4" s="3" t="s">
        <v>88</v>
      </c>
      <c r="M4" s="3"/>
      <c r="N4" s="3"/>
    </row>
    <row r="5" spans="1:14" s="16" customFormat="1" ht="14.25" customHeight="1">
      <c r="A5" s="13"/>
      <c r="B5" s="13"/>
      <c r="C5" s="14"/>
      <c r="D5" s="23"/>
      <c r="E5" s="47" t="s">
        <v>53</v>
      </c>
      <c r="F5" s="27"/>
      <c r="G5" s="28">
        <v>2</v>
      </c>
      <c r="H5" s="27"/>
      <c r="I5" s="28">
        <v>2</v>
      </c>
      <c r="J5" s="27"/>
      <c r="K5" s="28">
        <v>2</v>
      </c>
      <c r="L5" s="3" t="s">
        <v>88</v>
      </c>
      <c r="M5" s="3"/>
      <c r="N5" s="3"/>
    </row>
    <row r="6" spans="1:14" s="16" customFormat="1" ht="14.25" customHeight="1">
      <c r="A6" s="13"/>
      <c r="B6" s="13"/>
      <c r="C6" s="14"/>
      <c r="D6" s="23"/>
      <c r="E6" s="47" t="s">
        <v>47</v>
      </c>
      <c r="F6" s="27"/>
      <c r="G6" s="28">
        <f>SUM(G4:G5)</f>
        <v>74</v>
      </c>
      <c r="H6" s="27"/>
      <c r="I6" s="28">
        <f>SUM(I4:I5)</f>
        <v>38</v>
      </c>
      <c r="J6" s="27"/>
      <c r="K6" s="28">
        <f>SUM(K4:K5)</f>
        <v>38</v>
      </c>
      <c r="L6" s="167">
        <v>2</v>
      </c>
      <c r="M6" s="3"/>
      <c r="N6" s="3"/>
    </row>
    <row r="7" spans="1:14" s="22" customFormat="1" ht="27.75" customHeight="1">
      <c r="A7" s="30"/>
      <c r="B7" s="30"/>
      <c r="C7" s="30"/>
      <c r="D7" s="29"/>
      <c r="E7" s="158" t="s">
        <v>6</v>
      </c>
      <c r="F7" s="48"/>
      <c r="G7" s="159"/>
      <c r="H7" s="34"/>
      <c r="I7" s="38"/>
      <c r="J7" s="34"/>
      <c r="K7" s="38"/>
      <c r="L7" s="162"/>
      <c r="M7" s="45"/>
      <c r="N7" s="168"/>
    </row>
    <row r="8" spans="1:14" s="22" customFormat="1" ht="14.25" customHeight="1">
      <c r="A8" s="458" t="str">
        <f>'[1]1.3, 3.1, 4.1 Cu Pts to Order'!A8</f>
        <v>A</v>
      </c>
      <c r="B8" s="462">
        <f>'[1]1.3, 3.1, 4.1 Cu Pts to Order'!B8</f>
        <v>368112</v>
      </c>
      <c r="C8" s="462" t="str">
        <f>'[1]1.3, 3.1, 4.1 Cu Pts to Order'!C8</f>
        <v>A</v>
      </c>
      <c r="D8" s="463" t="str">
        <f>'[1]1.3, 3.1, 4.1 Cu Pts to Order'!D8</f>
        <v>Cu</v>
      </c>
      <c r="E8" s="464" t="str">
        <f>'[1]1.3, 3.1, 4.1 Cu Pts to Order'!E8</f>
        <v>ME1/3 SS Gas Flow Tube, Upper</v>
      </c>
      <c r="F8" s="48" t="s">
        <v>126</v>
      </c>
      <c r="G8" s="159">
        <f aca="true" t="shared" si="0" ref="G8:G23">F8*G$6</f>
        <v>74</v>
      </c>
      <c r="H8" s="34"/>
      <c r="I8" s="38"/>
      <c r="J8" s="34"/>
      <c r="K8" s="38"/>
      <c r="L8" s="163">
        <f aca="true" t="shared" si="1" ref="L8:L23">2*F8</f>
        <v>2</v>
      </c>
      <c r="M8" s="163">
        <f aca="true" t="shared" si="2" ref="M8:M23">L8+G8</f>
        <v>76</v>
      </c>
      <c r="N8" s="168" t="s">
        <v>82</v>
      </c>
    </row>
    <row r="9" spans="1:14" s="22" customFormat="1" ht="14.25" customHeight="1">
      <c r="A9" s="458" t="str">
        <f>'[1]1.3, 3.1, 4.1 Cu Pts to Order'!A9</f>
        <v>B</v>
      </c>
      <c r="B9" s="462">
        <f>'[1]1.3, 3.1, 4.1 Cu Pts to Order'!B9</f>
        <v>368113</v>
      </c>
      <c r="C9" s="462" t="str">
        <f>'[1]1.3, 3.1, 4.1 Cu Pts to Order'!C9</f>
        <v>A</v>
      </c>
      <c r="D9" s="463" t="str">
        <f>'[1]1.3, 3.1, 4.1 Cu Pts to Order'!D9</f>
        <v>Cu</v>
      </c>
      <c r="E9" s="464" t="str">
        <f>'[1]1.3, 3.1, 4.1 Cu Pts to Order'!E9</f>
        <v>ME1/3 1/4 SS Gas Flow Tube, Lower</v>
      </c>
      <c r="F9" s="48" t="s">
        <v>126</v>
      </c>
      <c r="G9" s="159">
        <f t="shared" si="0"/>
        <v>74</v>
      </c>
      <c r="H9" s="34"/>
      <c r="I9" s="38"/>
      <c r="J9" s="34"/>
      <c r="K9" s="38"/>
      <c r="L9" s="163">
        <f t="shared" si="1"/>
        <v>2</v>
      </c>
      <c r="M9" s="163">
        <f t="shared" si="2"/>
        <v>76</v>
      </c>
      <c r="N9" s="168" t="s">
        <v>82</v>
      </c>
    </row>
    <row r="10" spans="1:14" ht="14.25" customHeight="1">
      <c r="A10" s="458" t="str">
        <f>'[1]1.3, 3.1, 4.1 Cu Pts to Order'!A10</f>
        <v>A</v>
      </c>
      <c r="B10" s="458">
        <f>'[1]1.3, 3.1, 4.1 Cu Pts to Order'!B10</f>
        <v>368429</v>
      </c>
      <c r="C10" s="458" t="str">
        <f>'[1]1.3, 3.1, 4.1 Cu Pts to Order'!C10</f>
        <v>A</v>
      </c>
      <c r="D10" s="460" t="str">
        <f>'[1]1.3, 3.1, 4.1 Cu Pts to Order'!D10</f>
        <v>Cu</v>
      </c>
      <c r="E10" s="459" t="str">
        <f>'[1]1.3, 3.1, 4.1 Cu Pts to Order'!E10</f>
        <v>ME1/3 Chamber Nameplate Label</v>
      </c>
      <c r="F10" s="13">
        <v>1</v>
      </c>
      <c r="G10" s="159">
        <f t="shared" si="0"/>
        <v>74</v>
      </c>
      <c r="H10" s="164"/>
      <c r="I10" s="165"/>
      <c r="J10" s="164"/>
      <c r="K10" s="165"/>
      <c r="L10" s="163">
        <f t="shared" si="1"/>
        <v>2</v>
      </c>
      <c r="M10" s="163">
        <f t="shared" si="2"/>
        <v>76</v>
      </c>
      <c r="N10" s="3" t="s">
        <v>88</v>
      </c>
    </row>
    <row r="11" spans="1:14" ht="14.25" customHeight="1">
      <c r="A11" s="461" t="str">
        <f>'[1]1.3, 3.1, 4.1 Cu Pts to Order'!A11</f>
        <v>C</v>
      </c>
      <c r="B11" s="461">
        <f>'[1]1.3, 3.1, 4.1 Cu Pts to Order'!B11</f>
        <v>368440</v>
      </c>
      <c r="C11" s="461" t="str">
        <f>'[1]1.3, 3.1, 4.1 Cu Pts to Order'!C11</f>
        <v>-</v>
      </c>
      <c r="D11" s="460" t="str">
        <f>'[1]1.3, 3.1, 4.1 Cu Pts to Order'!D11</f>
        <v>Cu</v>
      </c>
      <c r="E11" s="459" t="str">
        <f>'[1]1.3, 3.1, 4.1 Cu Pts to Order'!E11</f>
        <v>ME1/3 Gap Bar, Narrow End (ALL)</v>
      </c>
      <c r="F11" s="13">
        <v>6</v>
      </c>
      <c r="G11" s="159">
        <f t="shared" si="0"/>
        <v>444</v>
      </c>
      <c r="H11" s="164"/>
      <c r="I11" s="165"/>
      <c r="J11" s="164"/>
      <c r="K11" s="165"/>
      <c r="L11" s="163">
        <f t="shared" si="1"/>
        <v>12</v>
      </c>
      <c r="M11" s="163">
        <f t="shared" si="2"/>
        <v>456</v>
      </c>
      <c r="N11" s="3" t="s">
        <v>51</v>
      </c>
    </row>
    <row r="12" spans="1:14" ht="14.25" customHeight="1">
      <c r="A12" s="461" t="str">
        <f>'[1]1.3, 3.1, 4.1 Cu Pts to Order'!A12</f>
        <v>C</v>
      </c>
      <c r="B12" s="465">
        <f>'[1]1.3, 3.1, 4.1 Cu Pts to Order'!B12</f>
        <v>368441</v>
      </c>
      <c r="C12" s="465" t="str">
        <f>'[1]1.3, 3.1, 4.1 Cu Pts to Order'!C12</f>
        <v>-</v>
      </c>
      <c r="D12" s="466" t="str">
        <f>'[1]1.3, 3.1, 4.1 Cu Pts to Order'!D12</f>
        <v>Cu</v>
      </c>
      <c r="E12" s="464" t="str">
        <f>'[1]1.3, 3.1, 4.1 Cu Pts to Order'!E12</f>
        <v>ME1/3 Gap Bar, Wide End (OP)</v>
      </c>
      <c r="F12" s="13">
        <v>2</v>
      </c>
      <c r="G12" s="159">
        <f t="shared" si="0"/>
        <v>148</v>
      </c>
      <c r="H12" s="164"/>
      <c r="I12" s="165"/>
      <c r="J12" s="164"/>
      <c r="K12" s="165"/>
      <c r="L12" s="163">
        <f t="shared" si="1"/>
        <v>4</v>
      </c>
      <c r="M12" s="163">
        <f t="shared" si="2"/>
        <v>152</v>
      </c>
      <c r="N12" s="3" t="s">
        <v>51</v>
      </c>
    </row>
    <row r="13" spans="1:14" ht="14.25" customHeight="1">
      <c r="A13" s="33" t="s">
        <v>156</v>
      </c>
      <c r="B13" s="33">
        <v>368442</v>
      </c>
      <c r="C13" s="33" t="s">
        <v>79</v>
      </c>
      <c r="D13" s="49" t="s">
        <v>291</v>
      </c>
      <c r="E13" s="32" t="s">
        <v>254</v>
      </c>
      <c r="F13" s="13">
        <v>6</v>
      </c>
      <c r="G13" s="159">
        <f t="shared" si="0"/>
        <v>444</v>
      </c>
      <c r="H13" s="164"/>
      <c r="I13" s="165"/>
      <c r="J13" s="164"/>
      <c r="K13" s="165"/>
      <c r="L13" s="163">
        <f t="shared" si="1"/>
        <v>12</v>
      </c>
      <c r="M13" s="163">
        <f t="shared" si="2"/>
        <v>456</v>
      </c>
      <c r="N13" s="3" t="s">
        <v>51</v>
      </c>
    </row>
    <row r="14" spans="1:14" ht="14.25" customHeight="1">
      <c r="A14" s="33" t="s">
        <v>156</v>
      </c>
      <c r="B14" s="33">
        <v>368443</v>
      </c>
      <c r="C14" s="33" t="s">
        <v>79</v>
      </c>
      <c r="D14" s="49" t="s">
        <v>291</v>
      </c>
      <c r="E14" s="32" t="s">
        <v>255</v>
      </c>
      <c r="F14" s="13">
        <v>6</v>
      </c>
      <c r="G14" s="159">
        <f t="shared" si="0"/>
        <v>444</v>
      </c>
      <c r="H14" s="164"/>
      <c r="I14" s="165"/>
      <c r="J14" s="164"/>
      <c r="K14" s="165"/>
      <c r="L14" s="163">
        <f t="shared" si="1"/>
        <v>12</v>
      </c>
      <c r="M14" s="163">
        <f t="shared" si="2"/>
        <v>456</v>
      </c>
      <c r="N14" s="3" t="s">
        <v>51</v>
      </c>
    </row>
    <row r="15" spans="1:14" ht="14.25" customHeight="1">
      <c r="A15" s="33" t="s">
        <v>156</v>
      </c>
      <c r="B15" s="33">
        <v>368444</v>
      </c>
      <c r="C15" s="33" t="s">
        <v>88</v>
      </c>
      <c r="D15" s="49" t="s">
        <v>291</v>
      </c>
      <c r="E15" s="32" t="s">
        <v>256</v>
      </c>
      <c r="F15" s="13">
        <v>4</v>
      </c>
      <c r="G15" s="159">
        <f t="shared" si="0"/>
        <v>296</v>
      </c>
      <c r="H15" s="164"/>
      <c r="I15" s="165"/>
      <c r="J15" s="164"/>
      <c r="K15" s="165"/>
      <c r="L15" s="163">
        <f t="shared" si="1"/>
        <v>8</v>
      </c>
      <c r="M15" s="163">
        <f t="shared" si="2"/>
        <v>304</v>
      </c>
      <c r="N15" s="3" t="s">
        <v>51</v>
      </c>
    </row>
    <row r="16" spans="1:14" ht="14.25" customHeight="1">
      <c r="A16" s="33" t="s">
        <v>79</v>
      </c>
      <c r="B16" s="33">
        <v>368445</v>
      </c>
      <c r="C16" s="33" t="s">
        <v>88</v>
      </c>
      <c r="D16" s="49" t="s">
        <v>291</v>
      </c>
      <c r="E16" s="32" t="s">
        <v>257</v>
      </c>
      <c r="F16" s="13">
        <v>4</v>
      </c>
      <c r="G16" s="159">
        <f t="shared" si="0"/>
        <v>296</v>
      </c>
      <c r="H16" s="164"/>
      <c r="I16" s="165"/>
      <c r="J16" s="164"/>
      <c r="K16" s="165"/>
      <c r="L16" s="163">
        <f t="shared" si="1"/>
        <v>8</v>
      </c>
      <c r="M16" s="163">
        <f t="shared" si="2"/>
        <v>304</v>
      </c>
      <c r="N16" s="3" t="s">
        <v>51</v>
      </c>
    </row>
    <row r="17" spans="1:14" ht="14.25" customHeight="1">
      <c r="A17" s="33" t="s">
        <v>79</v>
      </c>
      <c r="B17" s="33">
        <v>368446</v>
      </c>
      <c r="C17" s="33" t="s">
        <v>88</v>
      </c>
      <c r="D17" s="49" t="s">
        <v>291</v>
      </c>
      <c r="E17" s="32" t="s">
        <v>258</v>
      </c>
      <c r="F17" s="13">
        <v>8</v>
      </c>
      <c r="G17" s="159">
        <f t="shared" si="0"/>
        <v>592</v>
      </c>
      <c r="H17" s="164"/>
      <c r="I17" s="165"/>
      <c r="J17" s="164"/>
      <c r="K17" s="165"/>
      <c r="L17" s="163">
        <f t="shared" si="1"/>
        <v>16</v>
      </c>
      <c r="M17" s="163">
        <f t="shared" si="2"/>
        <v>608</v>
      </c>
      <c r="N17" s="3" t="s">
        <v>51</v>
      </c>
    </row>
    <row r="18" spans="1:14" ht="14.25" customHeight="1">
      <c r="A18" s="33" t="s">
        <v>83</v>
      </c>
      <c r="B18" s="33">
        <v>368448</v>
      </c>
      <c r="C18" s="33" t="s">
        <v>88</v>
      </c>
      <c r="D18" s="50" t="s">
        <v>291</v>
      </c>
      <c r="E18" s="37" t="s">
        <v>15</v>
      </c>
      <c r="F18" s="13">
        <v>6</v>
      </c>
      <c r="G18" s="159">
        <f t="shared" si="0"/>
        <v>444</v>
      </c>
      <c r="H18" s="164"/>
      <c r="I18" s="165"/>
      <c r="J18" s="164"/>
      <c r="K18" s="165"/>
      <c r="L18" s="163">
        <f t="shared" si="1"/>
        <v>12</v>
      </c>
      <c r="M18" s="163">
        <f t="shared" si="2"/>
        <v>456</v>
      </c>
      <c r="N18" s="3" t="s">
        <v>129</v>
      </c>
    </row>
    <row r="19" spans="1:14" ht="14.25" customHeight="1">
      <c r="A19" s="33" t="s">
        <v>83</v>
      </c>
      <c r="B19" s="33">
        <v>368450</v>
      </c>
      <c r="C19" s="33" t="s">
        <v>88</v>
      </c>
      <c r="D19" s="50" t="s">
        <v>291</v>
      </c>
      <c r="E19" s="37" t="s">
        <v>16</v>
      </c>
      <c r="F19" s="13">
        <v>6</v>
      </c>
      <c r="G19" s="159">
        <f t="shared" si="0"/>
        <v>444</v>
      </c>
      <c r="H19" s="164"/>
      <c r="I19" s="165"/>
      <c r="J19" s="164"/>
      <c r="K19" s="165"/>
      <c r="L19" s="163">
        <f t="shared" si="1"/>
        <v>12</v>
      </c>
      <c r="M19" s="163">
        <f t="shared" si="2"/>
        <v>456</v>
      </c>
      <c r="N19" s="3" t="s">
        <v>129</v>
      </c>
    </row>
    <row r="20" spans="1:14" ht="14.25" customHeight="1">
      <c r="A20" s="33" t="s">
        <v>83</v>
      </c>
      <c r="B20" s="33">
        <v>368452</v>
      </c>
      <c r="C20" s="33" t="s">
        <v>88</v>
      </c>
      <c r="D20" s="50" t="s">
        <v>291</v>
      </c>
      <c r="E20" s="37" t="s">
        <v>17</v>
      </c>
      <c r="F20" s="13">
        <v>6</v>
      </c>
      <c r="G20" s="159">
        <f t="shared" si="0"/>
        <v>444</v>
      </c>
      <c r="H20" s="164"/>
      <c r="I20" s="165"/>
      <c r="J20" s="164"/>
      <c r="K20" s="165"/>
      <c r="L20" s="163">
        <f t="shared" si="1"/>
        <v>12</v>
      </c>
      <c r="M20" s="163">
        <f t="shared" si="2"/>
        <v>456</v>
      </c>
      <c r="N20" s="3" t="s">
        <v>129</v>
      </c>
    </row>
    <row r="21" spans="1:14" ht="14.25" customHeight="1">
      <c r="A21" s="33" t="s">
        <v>83</v>
      </c>
      <c r="B21" s="33">
        <v>368454</v>
      </c>
      <c r="C21" s="33" t="s">
        <v>88</v>
      </c>
      <c r="D21" s="49" t="s">
        <v>291</v>
      </c>
      <c r="E21" s="32" t="s">
        <v>18</v>
      </c>
      <c r="F21" s="13">
        <v>6</v>
      </c>
      <c r="G21" s="159">
        <f t="shared" si="0"/>
        <v>444</v>
      </c>
      <c r="H21" s="164"/>
      <c r="I21" s="165"/>
      <c r="J21" s="164"/>
      <c r="K21" s="165"/>
      <c r="L21" s="163">
        <f t="shared" si="1"/>
        <v>12</v>
      </c>
      <c r="M21" s="163">
        <f t="shared" si="2"/>
        <v>456</v>
      </c>
      <c r="N21" s="3" t="s">
        <v>129</v>
      </c>
    </row>
    <row r="22" spans="1:14" ht="14.25" customHeight="1">
      <c r="A22" s="33" t="s">
        <v>83</v>
      </c>
      <c r="B22" s="33">
        <v>368456</v>
      </c>
      <c r="C22" s="33" t="s">
        <v>88</v>
      </c>
      <c r="D22" s="49" t="s">
        <v>291</v>
      </c>
      <c r="E22" s="32" t="s">
        <v>19</v>
      </c>
      <c r="F22" s="13">
        <v>6</v>
      </c>
      <c r="G22" s="159">
        <f t="shared" si="0"/>
        <v>444</v>
      </c>
      <c r="H22" s="164"/>
      <c r="I22" s="165"/>
      <c r="J22" s="164"/>
      <c r="K22" s="165"/>
      <c r="L22" s="163">
        <f t="shared" si="1"/>
        <v>12</v>
      </c>
      <c r="M22" s="163">
        <f t="shared" si="2"/>
        <v>456</v>
      </c>
      <c r="N22" s="3" t="s">
        <v>129</v>
      </c>
    </row>
    <row r="23" spans="1:14" ht="14.25" customHeight="1">
      <c r="A23" s="33" t="s">
        <v>83</v>
      </c>
      <c r="B23" s="33">
        <v>368458</v>
      </c>
      <c r="C23" s="33" t="s">
        <v>88</v>
      </c>
      <c r="D23" s="49" t="s">
        <v>291</v>
      </c>
      <c r="E23" s="32" t="s">
        <v>20</v>
      </c>
      <c r="F23" s="13">
        <v>6</v>
      </c>
      <c r="G23" s="159">
        <f t="shared" si="0"/>
        <v>444</v>
      </c>
      <c r="H23" s="164"/>
      <c r="I23" s="165"/>
      <c r="J23" s="164"/>
      <c r="K23" s="165"/>
      <c r="L23" s="163">
        <f t="shared" si="1"/>
        <v>12</v>
      </c>
      <c r="M23" s="163">
        <f t="shared" si="2"/>
        <v>456</v>
      </c>
      <c r="N23" s="3" t="s">
        <v>129</v>
      </c>
    </row>
    <row r="24" spans="1:14" ht="27.75" customHeight="1">
      <c r="A24" s="33"/>
      <c r="B24" s="33"/>
      <c r="C24" s="33"/>
      <c r="D24" s="49"/>
      <c r="E24" s="157" t="s">
        <v>7</v>
      </c>
      <c r="G24" s="160"/>
      <c r="H24" s="164"/>
      <c r="I24" s="165"/>
      <c r="J24" s="164"/>
      <c r="K24" s="165"/>
      <c r="L24" s="163"/>
      <c r="M24" s="163"/>
      <c r="N24" s="3"/>
    </row>
    <row r="25" spans="1:14" s="22" customFormat="1" ht="14.25" customHeight="1">
      <c r="A25" s="30" t="s">
        <v>79</v>
      </c>
      <c r="B25" s="30">
        <v>368008</v>
      </c>
      <c r="C25" s="30" t="s">
        <v>156</v>
      </c>
      <c r="D25" s="8" t="s">
        <v>291</v>
      </c>
      <c r="E25" s="22" t="s">
        <v>4</v>
      </c>
      <c r="G25" s="31"/>
      <c r="H25" s="55" t="s">
        <v>126</v>
      </c>
      <c r="I25" s="166">
        <f aca="true" t="shared" si="3" ref="I25:I40">H25*I$6</f>
        <v>38</v>
      </c>
      <c r="J25" s="34"/>
      <c r="K25" s="38"/>
      <c r="L25" s="163">
        <f>2*H25</f>
        <v>2</v>
      </c>
      <c r="M25" s="163">
        <f>L25+I25</f>
        <v>40</v>
      </c>
      <c r="N25" s="168" t="s">
        <v>82</v>
      </c>
    </row>
    <row r="26" spans="1:14" s="22" customFormat="1" ht="14.25" customHeight="1">
      <c r="A26" s="30" t="s">
        <v>79</v>
      </c>
      <c r="B26" s="30">
        <v>368009</v>
      </c>
      <c r="C26" s="30" t="s">
        <v>83</v>
      </c>
      <c r="D26" s="8" t="s">
        <v>291</v>
      </c>
      <c r="E26" s="22" t="s">
        <v>3</v>
      </c>
      <c r="G26" s="31"/>
      <c r="H26" s="48" t="s">
        <v>126</v>
      </c>
      <c r="I26" s="159">
        <f t="shared" si="3"/>
        <v>38</v>
      </c>
      <c r="J26" s="26"/>
      <c r="K26" s="31"/>
      <c r="L26" s="163">
        <f aca="true" t="shared" si="4" ref="L26:L40">2*H26</f>
        <v>2</v>
      </c>
      <c r="M26" s="163">
        <f aca="true" t="shared" si="5" ref="M26:M40">L26+I26</f>
        <v>40</v>
      </c>
      <c r="N26" s="168" t="s">
        <v>82</v>
      </c>
    </row>
    <row r="27" spans="1:14" ht="14.25" customHeight="1">
      <c r="A27" s="35" t="s">
        <v>156</v>
      </c>
      <c r="B27" s="35">
        <v>368193</v>
      </c>
      <c r="C27" s="35" t="s">
        <v>83</v>
      </c>
      <c r="D27" s="53" t="s">
        <v>291</v>
      </c>
      <c r="E27" s="36" t="s">
        <v>2</v>
      </c>
      <c r="G27" s="160"/>
      <c r="H27" s="13">
        <v>2</v>
      </c>
      <c r="I27" s="159">
        <f t="shared" si="3"/>
        <v>76</v>
      </c>
      <c r="K27" s="160"/>
      <c r="L27" s="163">
        <f t="shared" si="4"/>
        <v>4</v>
      </c>
      <c r="M27" s="163">
        <f t="shared" si="5"/>
        <v>80</v>
      </c>
      <c r="N27" s="3" t="s">
        <v>51</v>
      </c>
    </row>
    <row r="28" spans="1:14" ht="14.25" customHeight="1">
      <c r="A28" s="35" t="s">
        <v>156</v>
      </c>
      <c r="B28" s="35">
        <v>368194</v>
      </c>
      <c r="C28" s="35" t="s">
        <v>83</v>
      </c>
      <c r="D28" s="53" t="s">
        <v>291</v>
      </c>
      <c r="E28" s="36" t="s">
        <v>1</v>
      </c>
      <c r="G28" s="160"/>
      <c r="H28" s="13">
        <v>4</v>
      </c>
      <c r="I28" s="159">
        <f t="shared" si="3"/>
        <v>152</v>
      </c>
      <c r="K28" s="160"/>
      <c r="L28" s="163">
        <f t="shared" si="4"/>
        <v>8</v>
      </c>
      <c r="M28" s="163">
        <f t="shared" si="5"/>
        <v>160</v>
      </c>
      <c r="N28" s="3" t="s">
        <v>51</v>
      </c>
    </row>
    <row r="29" spans="1:14" ht="14.25" customHeight="1">
      <c r="A29" s="30" t="s">
        <v>156</v>
      </c>
      <c r="B29" s="30">
        <v>368460</v>
      </c>
      <c r="C29" s="30" t="s">
        <v>83</v>
      </c>
      <c r="D29" s="49" t="s">
        <v>291</v>
      </c>
      <c r="E29" s="22" t="s">
        <v>259</v>
      </c>
      <c r="G29" s="160"/>
      <c r="H29" s="13">
        <v>6</v>
      </c>
      <c r="I29" s="159">
        <f t="shared" si="3"/>
        <v>228</v>
      </c>
      <c r="K29" s="160"/>
      <c r="L29" s="163">
        <f t="shared" si="4"/>
        <v>12</v>
      </c>
      <c r="M29" s="163">
        <f t="shared" si="5"/>
        <v>240</v>
      </c>
      <c r="N29" s="3" t="s">
        <v>51</v>
      </c>
    </row>
    <row r="30" spans="1:14" ht="14.25" customHeight="1">
      <c r="A30" s="30" t="s">
        <v>156</v>
      </c>
      <c r="B30" s="30">
        <v>368463</v>
      </c>
      <c r="C30" s="30" t="s">
        <v>79</v>
      </c>
      <c r="D30" s="49" t="s">
        <v>291</v>
      </c>
      <c r="E30" s="22" t="s">
        <v>260</v>
      </c>
      <c r="G30" s="160"/>
      <c r="H30" s="13">
        <v>6</v>
      </c>
      <c r="I30" s="159">
        <f t="shared" si="3"/>
        <v>228</v>
      </c>
      <c r="K30" s="160"/>
      <c r="L30" s="163">
        <f t="shared" si="4"/>
        <v>12</v>
      </c>
      <c r="M30" s="163">
        <f t="shared" si="5"/>
        <v>240</v>
      </c>
      <c r="N30" s="3" t="s">
        <v>51</v>
      </c>
    </row>
    <row r="31" spans="1:14" ht="14.25" customHeight="1">
      <c r="A31" s="30" t="s">
        <v>156</v>
      </c>
      <c r="B31" s="30">
        <v>368464</v>
      </c>
      <c r="C31" s="30" t="s">
        <v>79</v>
      </c>
      <c r="D31" s="49" t="s">
        <v>291</v>
      </c>
      <c r="E31" s="22" t="s">
        <v>261</v>
      </c>
      <c r="G31" s="160"/>
      <c r="H31" s="13">
        <v>6</v>
      </c>
      <c r="I31" s="159">
        <f t="shared" si="3"/>
        <v>228</v>
      </c>
      <c r="K31" s="160"/>
      <c r="L31" s="163">
        <f t="shared" si="4"/>
        <v>12</v>
      </c>
      <c r="M31" s="163">
        <f t="shared" si="5"/>
        <v>240</v>
      </c>
      <c r="N31" s="3" t="s">
        <v>51</v>
      </c>
    </row>
    <row r="32" spans="1:14" ht="14.25" customHeight="1">
      <c r="A32" s="30" t="s">
        <v>79</v>
      </c>
      <c r="B32" s="30">
        <v>368465</v>
      </c>
      <c r="C32" s="30" t="s">
        <v>88</v>
      </c>
      <c r="D32" s="51" t="s">
        <v>291</v>
      </c>
      <c r="E32" s="22" t="s">
        <v>262</v>
      </c>
      <c r="G32" s="160"/>
      <c r="H32" s="13">
        <v>4</v>
      </c>
      <c r="I32" s="159">
        <f t="shared" si="3"/>
        <v>152</v>
      </c>
      <c r="K32" s="160"/>
      <c r="L32" s="163">
        <f t="shared" si="4"/>
        <v>8</v>
      </c>
      <c r="M32" s="163">
        <f t="shared" si="5"/>
        <v>160</v>
      </c>
      <c r="N32" s="3" t="s">
        <v>51</v>
      </c>
    </row>
    <row r="33" spans="1:14" ht="14.25" customHeight="1">
      <c r="A33" s="30" t="s">
        <v>79</v>
      </c>
      <c r="B33" s="30">
        <v>368466</v>
      </c>
      <c r="C33" s="30" t="s">
        <v>88</v>
      </c>
      <c r="D33" s="51" t="s">
        <v>291</v>
      </c>
      <c r="E33" s="22" t="s">
        <v>263</v>
      </c>
      <c r="G33" s="160"/>
      <c r="H33" s="13">
        <v>8</v>
      </c>
      <c r="I33" s="159">
        <f t="shared" si="3"/>
        <v>304</v>
      </c>
      <c r="K33" s="160"/>
      <c r="L33" s="163">
        <f t="shared" si="4"/>
        <v>16</v>
      </c>
      <c r="M33" s="163">
        <f t="shared" si="5"/>
        <v>320</v>
      </c>
      <c r="N33" s="3" t="s">
        <v>51</v>
      </c>
    </row>
    <row r="34" spans="1:14" ht="14.25" customHeight="1">
      <c r="A34" s="30" t="s">
        <v>83</v>
      </c>
      <c r="B34" s="30">
        <v>368468</v>
      </c>
      <c r="C34" s="30" t="s">
        <v>79</v>
      </c>
      <c r="D34" s="51" t="s">
        <v>291</v>
      </c>
      <c r="E34" s="21" t="s">
        <v>21</v>
      </c>
      <c r="G34" s="160"/>
      <c r="H34" s="13">
        <v>6</v>
      </c>
      <c r="I34" s="159">
        <f t="shared" si="3"/>
        <v>228</v>
      </c>
      <c r="K34" s="160"/>
      <c r="L34" s="163">
        <f t="shared" si="4"/>
        <v>12</v>
      </c>
      <c r="M34" s="163">
        <f t="shared" si="5"/>
        <v>240</v>
      </c>
      <c r="N34" s="3" t="s">
        <v>129</v>
      </c>
    </row>
    <row r="35" spans="1:14" ht="14.25" customHeight="1">
      <c r="A35" s="30" t="s">
        <v>83</v>
      </c>
      <c r="B35" s="30">
        <v>368470</v>
      </c>
      <c r="C35" s="30" t="s">
        <v>79</v>
      </c>
      <c r="D35" s="51" t="s">
        <v>291</v>
      </c>
      <c r="E35" s="21" t="s">
        <v>22</v>
      </c>
      <c r="G35" s="160"/>
      <c r="H35" s="13">
        <v>6</v>
      </c>
      <c r="I35" s="159">
        <f t="shared" si="3"/>
        <v>228</v>
      </c>
      <c r="K35" s="160"/>
      <c r="L35" s="163">
        <f t="shared" si="4"/>
        <v>12</v>
      </c>
      <c r="M35" s="163">
        <f t="shared" si="5"/>
        <v>240</v>
      </c>
      <c r="N35" s="3" t="s">
        <v>129</v>
      </c>
    </row>
    <row r="36" spans="1:14" ht="14.25" customHeight="1">
      <c r="A36" s="30" t="s">
        <v>83</v>
      </c>
      <c r="B36" s="30">
        <v>368472</v>
      </c>
      <c r="C36" s="30" t="s">
        <v>79</v>
      </c>
      <c r="D36" s="51" t="s">
        <v>291</v>
      </c>
      <c r="E36" s="21" t="s">
        <v>23</v>
      </c>
      <c r="G36" s="160"/>
      <c r="H36" s="13">
        <v>6</v>
      </c>
      <c r="I36" s="159">
        <f t="shared" si="3"/>
        <v>228</v>
      </c>
      <c r="K36" s="160"/>
      <c r="L36" s="163">
        <f t="shared" si="4"/>
        <v>12</v>
      </c>
      <c r="M36" s="163">
        <f t="shared" si="5"/>
        <v>240</v>
      </c>
      <c r="N36" s="3" t="s">
        <v>129</v>
      </c>
    </row>
    <row r="37" spans="1:14" ht="14.25" customHeight="1">
      <c r="A37" s="30" t="s">
        <v>83</v>
      </c>
      <c r="B37" s="30">
        <v>368474</v>
      </c>
      <c r="C37" s="30" t="s">
        <v>79</v>
      </c>
      <c r="D37" s="51" t="s">
        <v>291</v>
      </c>
      <c r="E37" s="21" t="s">
        <v>24</v>
      </c>
      <c r="G37" s="160"/>
      <c r="H37" s="13">
        <v>6</v>
      </c>
      <c r="I37" s="159">
        <f t="shared" si="3"/>
        <v>228</v>
      </c>
      <c r="K37" s="160"/>
      <c r="L37" s="163">
        <f t="shared" si="4"/>
        <v>12</v>
      </c>
      <c r="M37" s="163">
        <f t="shared" si="5"/>
        <v>240</v>
      </c>
      <c r="N37" s="3" t="s">
        <v>129</v>
      </c>
    </row>
    <row r="38" spans="1:14" ht="14.25" customHeight="1">
      <c r="A38" s="30" t="s">
        <v>83</v>
      </c>
      <c r="B38" s="30">
        <v>368476</v>
      </c>
      <c r="C38" s="30" t="s">
        <v>79</v>
      </c>
      <c r="D38" s="51" t="s">
        <v>291</v>
      </c>
      <c r="E38" s="21" t="s">
        <v>25</v>
      </c>
      <c r="G38" s="160"/>
      <c r="H38" s="13">
        <v>6</v>
      </c>
      <c r="I38" s="159">
        <f t="shared" si="3"/>
        <v>228</v>
      </c>
      <c r="K38" s="160"/>
      <c r="L38" s="163">
        <f t="shared" si="4"/>
        <v>12</v>
      </c>
      <c r="M38" s="163">
        <f t="shared" si="5"/>
        <v>240</v>
      </c>
      <c r="N38" s="3" t="s">
        <v>129</v>
      </c>
    </row>
    <row r="39" spans="1:14" ht="14.25" customHeight="1">
      <c r="A39" s="30" t="s">
        <v>83</v>
      </c>
      <c r="B39" s="30">
        <v>368478</v>
      </c>
      <c r="C39" s="30" t="s">
        <v>79</v>
      </c>
      <c r="D39" s="51" t="s">
        <v>291</v>
      </c>
      <c r="E39" s="21" t="s">
        <v>26</v>
      </c>
      <c r="G39" s="160"/>
      <c r="H39" s="13">
        <v>6</v>
      </c>
      <c r="I39" s="159">
        <f t="shared" si="3"/>
        <v>228</v>
      </c>
      <c r="K39" s="160"/>
      <c r="L39" s="163">
        <f t="shared" si="4"/>
        <v>12</v>
      </c>
      <c r="M39" s="163">
        <f t="shared" si="5"/>
        <v>240</v>
      </c>
      <c r="N39" s="3" t="s">
        <v>129</v>
      </c>
    </row>
    <row r="40" spans="1:14" ht="14.25" customHeight="1">
      <c r="A40" s="30" t="s">
        <v>79</v>
      </c>
      <c r="B40" s="30">
        <v>368480</v>
      </c>
      <c r="C40" s="30" t="s">
        <v>88</v>
      </c>
      <c r="D40" s="51" t="s">
        <v>291</v>
      </c>
      <c r="E40" s="22" t="s">
        <v>0</v>
      </c>
      <c r="G40" s="160"/>
      <c r="H40" s="13">
        <v>1</v>
      </c>
      <c r="I40" s="159">
        <f t="shared" si="3"/>
        <v>38</v>
      </c>
      <c r="K40" s="160"/>
      <c r="L40" s="163">
        <f t="shared" si="4"/>
        <v>2</v>
      </c>
      <c r="M40" s="163">
        <f t="shared" si="5"/>
        <v>40</v>
      </c>
      <c r="N40" s="3" t="s">
        <v>88</v>
      </c>
    </row>
    <row r="41" spans="1:14" ht="27.75" customHeight="1">
      <c r="A41" s="30"/>
      <c r="B41" s="30"/>
      <c r="C41" s="30"/>
      <c r="D41" s="51"/>
      <c r="E41" s="156" t="s">
        <v>8</v>
      </c>
      <c r="H41" s="484"/>
      <c r="I41" s="160"/>
      <c r="K41" s="160"/>
      <c r="L41" s="163"/>
      <c r="M41" s="163"/>
      <c r="N41" s="3"/>
    </row>
    <row r="42" spans="1:14" s="22" customFormat="1" ht="14.25" customHeight="1">
      <c r="A42" s="30" t="s">
        <v>79</v>
      </c>
      <c r="B42" s="30">
        <v>368008</v>
      </c>
      <c r="C42" s="30" t="s">
        <v>156</v>
      </c>
      <c r="D42" s="8" t="s">
        <v>291</v>
      </c>
      <c r="E42" s="22" t="s">
        <v>4</v>
      </c>
      <c r="G42" s="26"/>
      <c r="H42" s="485" t="s">
        <v>126</v>
      </c>
      <c r="I42" s="159">
        <f aca="true" t="shared" si="6" ref="I42:I57">H42*K$6</f>
        <v>38</v>
      </c>
      <c r="L42" s="163">
        <f aca="true" t="shared" si="7" ref="L42:L57">2*H42</f>
        <v>2</v>
      </c>
      <c r="M42" s="163">
        <f aca="true" t="shared" si="8" ref="M42:M57">L42+I42</f>
        <v>40</v>
      </c>
      <c r="N42" s="168" t="s">
        <v>82</v>
      </c>
    </row>
    <row r="43" spans="1:14" s="22" customFormat="1" ht="14.25" customHeight="1">
      <c r="A43" s="30" t="s">
        <v>79</v>
      </c>
      <c r="B43" s="30">
        <v>368009</v>
      </c>
      <c r="C43" s="30" t="s">
        <v>83</v>
      </c>
      <c r="D43" s="8" t="s">
        <v>291</v>
      </c>
      <c r="E43" s="22" t="s">
        <v>3</v>
      </c>
      <c r="G43" s="26"/>
      <c r="H43" s="485" t="s">
        <v>126</v>
      </c>
      <c r="I43" s="159">
        <f t="shared" si="6"/>
        <v>38</v>
      </c>
      <c r="L43" s="163">
        <f t="shared" si="7"/>
        <v>2</v>
      </c>
      <c r="M43" s="163">
        <f t="shared" si="8"/>
        <v>40</v>
      </c>
      <c r="N43" s="168" t="s">
        <v>82</v>
      </c>
    </row>
    <row r="44" spans="1:14" ht="14.25" customHeight="1">
      <c r="A44" s="35" t="s">
        <v>83</v>
      </c>
      <c r="B44" s="33">
        <v>368486</v>
      </c>
      <c r="C44" s="33" t="s">
        <v>79</v>
      </c>
      <c r="D44" s="49" t="s">
        <v>291</v>
      </c>
      <c r="E44" s="21" t="s">
        <v>9</v>
      </c>
      <c r="H44" s="502">
        <v>6</v>
      </c>
      <c r="I44" s="159">
        <f t="shared" si="6"/>
        <v>228</v>
      </c>
      <c r="L44" s="163">
        <f t="shared" si="7"/>
        <v>12</v>
      </c>
      <c r="M44" s="163">
        <f t="shared" si="8"/>
        <v>240</v>
      </c>
      <c r="N44" s="3" t="s">
        <v>51</v>
      </c>
    </row>
    <row r="45" spans="1:14" ht="14.25" customHeight="1">
      <c r="A45" s="30" t="s">
        <v>83</v>
      </c>
      <c r="B45" s="35">
        <v>368488</v>
      </c>
      <c r="C45" s="35" t="s">
        <v>79</v>
      </c>
      <c r="D45" s="49" t="s">
        <v>291</v>
      </c>
      <c r="E45" s="21" t="s">
        <v>10</v>
      </c>
      <c r="H45" s="502">
        <v>6</v>
      </c>
      <c r="I45" s="159">
        <f t="shared" si="6"/>
        <v>228</v>
      </c>
      <c r="L45" s="163">
        <f t="shared" si="7"/>
        <v>12</v>
      </c>
      <c r="M45" s="163">
        <f t="shared" si="8"/>
        <v>240</v>
      </c>
      <c r="N45" s="3" t="s">
        <v>51</v>
      </c>
    </row>
    <row r="46" spans="1:14" ht="14.25" customHeight="1">
      <c r="A46" s="30" t="s">
        <v>83</v>
      </c>
      <c r="B46" s="35">
        <v>368490</v>
      </c>
      <c r="C46" s="35" t="s">
        <v>79</v>
      </c>
      <c r="D46" s="49" t="s">
        <v>291</v>
      </c>
      <c r="E46" s="21" t="s">
        <v>11</v>
      </c>
      <c r="H46" s="502">
        <v>6</v>
      </c>
      <c r="I46" s="159">
        <f t="shared" si="6"/>
        <v>228</v>
      </c>
      <c r="L46" s="163">
        <f t="shared" si="7"/>
        <v>12</v>
      </c>
      <c r="M46" s="163">
        <f t="shared" si="8"/>
        <v>240</v>
      </c>
      <c r="N46" s="3" t="s">
        <v>51</v>
      </c>
    </row>
    <row r="47" spans="1:14" ht="14.25" customHeight="1">
      <c r="A47" s="30" t="s">
        <v>83</v>
      </c>
      <c r="B47" s="35">
        <v>368492</v>
      </c>
      <c r="C47" s="35" t="s">
        <v>79</v>
      </c>
      <c r="D47" s="49" t="s">
        <v>291</v>
      </c>
      <c r="E47" s="21" t="s">
        <v>12</v>
      </c>
      <c r="H47" s="502">
        <v>6</v>
      </c>
      <c r="I47" s="159">
        <f t="shared" si="6"/>
        <v>228</v>
      </c>
      <c r="L47" s="163">
        <f t="shared" si="7"/>
        <v>12</v>
      </c>
      <c r="M47" s="163">
        <f t="shared" si="8"/>
        <v>240</v>
      </c>
      <c r="N47" s="3" t="s">
        <v>51</v>
      </c>
    </row>
    <row r="48" spans="1:14" ht="14.25" customHeight="1">
      <c r="A48" s="30" t="s">
        <v>83</v>
      </c>
      <c r="B48" s="35">
        <v>368494</v>
      </c>
      <c r="C48" s="35" t="s">
        <v>79</v>
      </c>
      <c r="D48" s="49" t="s">
        <v>291</v>
      </c>
      <c r="E48" s="21" t="s">
        <v>13</v>
      </c>
      <c r="H48" s="502">
        <v>6</v>
      </c>
      <c r="I48" s="159">
        <f t="shared" si="6"/>
        <v>228</v>
      </c>
      <c r="L48" s="163">
        <f t="shared" si="7"/>
        <v>12</v>
      </c>
      <c r="M48" s="163">
        <f t="shared" si="8"/>
        <v>240</v>
      </c>
      <c r="N48" s="3" t="s">
        <v>51</v>
      </c>
    </row>
    <row r="49" spans="1:14" ht="14.25" customHeight="1">
      <c r="A49" s="30" t="s">
        <v>83</v>
      </c>
      <c r="B49" s="35">
        <v>368496</v>
      </c>
      <c r="C49" s="35" t="s">
        <v>79</v>
      </c>
      <c r="D49" s="49" t="s">
        <v>291</v>
      </c>
      <c r="E49" s="21" t="s">
        <v>14</v>
      </c>
      <c r="H49" s="502">
        <v>6</v>
      </c>
      <c r="I49" s="159">
        <f t="shared" si="6"/>
        <v>228</v>
      </c>
      <c r="L49" s="163">
        <f t="shared" si="7"/>
        <v>12</v>
      </c>
      <c r="M49" s="163">
        <f t="shared" si="8"/>
        <v>240</v>
      </c>
      <c r="N49" s="3" t="s">
        <v>51</v>
      </c>
    </row>
    <row r="50" spans="1:14" ht="14.25" customHeight="1">
      <c r="A50" s="35" t="s">
        <v>156</v>
      </c>
      <c r="B50" s="35">
        <v>368193</v>
      </c>
      <c r="C50" s="35" t="s">
        <v>83</v>
      </c>
      <c r="D50" s="53" t="s">
        <v>291</v>
      </c>
      <c r="E50" s="36" t="s">
        <v>2</v>
      </c>
      <c r="H50" s="502">
        <v>2</v>
      </c>
      <c r="I50" s="159">
        <f t="shared" si="6"/>
        <v>76</v>
      </c>
      <c r="L50" s="163">
        <f t="shared" si="7"/>
        <v>4</v>
      </c>
      <c r="M50" s="163">
        <f t="shared" si="8"/>
        <v>80</v>
      </c>
      <c r="N50" s="3" t="s">
        <v>51</v>
      </c>
    </row>
    <row r="51" spans="1:14" s="19" customFormat="1" ht="14.25" customHeight="1">
      <c r="A51" s="35" t="s">
        <v>156</v>
      </c>
      <c r="B51" s="35">
        <v>368194</v>
      </c>
      <c r="C51" s="35" t="s">
        <v>83</v>
      </c>
      <c r="D51" s="53" t="s">
        <v>291</v>
      </c>
      <c r="E51" s="36" t="s">
        <v>1</v>
      </c>
      <c r="F51" s="8"/>
      <c r="G51" s="8"/>
      <c r="H51" s="502">
        <v>4</v>
      </c>
      <c r="I51" s="159">
        <f t="shared" si="6"/>
        <v>152</v>
      </c>
      <c r="L51" s="163">
        <f t="shared" si="7"/>
        <v>8</v>
      </c>
      <c r="M51" s="163">
        <f t="shared" si="8"/>
        <v>160</v>
      </c>
      <c r="N51" s="3" t="s">
        <v>129</v>
      </c>
    </row>
    <row r="52" spans="1:14" s="19" customFormat="1" ht="14.25" customHeight="1">
      <c r="A52" s="30" t="s">
        <v>156</v>
      </c>
      <c r="B52" s="35">
        <v>368498</v>
      </c>
      <c r="C52" s="35" t="s">
        <v>88</v>
      </c>
      <c r="D52" s="49" t="s">
        <v>291</v>
      </c>
      <c r="E52" s="21" t="s">
        <v>60</v>
      </c>
      <c r="F52" s="8"/>
      <c r="G52" s="8"/>
      <c r="H52" s="502">
        <v>6</v>
      </c>
      <c r="I52" s="159">
        <f t="shared" si="6"/>
        <v>228</v>
      </c>
      <c r="L52" s="163">
        <f t="shared" si="7"/>
        <v>12</v>
      </c>
      <c r="M52" s="163">
        <f t="shared" si="8"/>
        <v>240</v>
      </c>
      <c r="N52" s="3" t="s">
        <v>129</v>
      </c>
    </row>
    <row r="53" spans="1:14" s="19" customFormat="1" ht="14.25" customHeight="1">
      <c r="A53" s="30" t="s">
        <v>156</v>
      </c>
      <c r="B53" s="35">
        <v>368499</v>
      </c>
      <c r="C53" s="35" t="s">
        <v>88</v>
      </c>
      <c r="D53" s="49" t="s">
        <v>291</v>
      </c>
      <c r="E53" s="21" t="s">
        <v>61</v>
      </c>
      <c r="F53" s="8"/>
      <c r="G53" s="8"/>
      <c r="H53" s="502">
        <v>6</v>
      </c>
      <c r="I53" s="159">
        <f t="shared" si="6"/>
        <v>228</v>
      </c>
      <c r="L53" s="163">
        <f t="shared" si="7"/>
        <v>12</v>
      </c>
      <c r="M53" s="163">
        <f t="shared" si="8"/>
        <v>240</v>
      </c>
      <c r="N53" s="3" t="s">
        <v>129</v>
      </c>
    </row>
    <row r="54" spans="1:14" s="19" customFormat="1" ht="14.25" customHeight="1">
      <c r="A54" s="30" t="s">
        <v>156</v>
      </c>
      <c r="B54" s="35">
        <v>368500</v>
      </c>
      <c r="C54" s="35" t="s">
        <v>88</v>
      </c>
      <c r="D54" s="49" t="s">
        <v>291</v>
      </c>
      <c r="E54" s="21" t="s">
        <v>62</v>
      </c>
      <c r="F54" s="8"/>
      <c r="G54" s="8"/>
      <c r="H54" s="502">
        <v>6</v>
      </c>
      <c r="I54" s="159">
        <f t="shared" si="6"/>
        <v>228</v>
      </c>
      <c r="L54" s="163">
        <f t="shared" si="7"/>
        <v>12</v>
      </c>
      <c r="M54" s="163">
        <f t="shared" si="8"/>
        <v>240</v>
      </c>
      <c r="N54" s="3" t="s">
        <v>129</v>
      </c>
    </row>
    <row r="55" spans="1:14" s="19" customFormat="1" ht="14.25" customHeight="1">
      <c r="A55" s="30" t="s">
        <v>79</v>
      </c>
      <c r="B55" s="35">
        <v>368501</v>
      </c>
      <c r="C55" s="35" t="s">
        <v>88</v>
      </c>
      <c r="D55" s="49" t="s">
        <v>291</v>
      </c>
      <c r="E55" s="21" t="s">
        <v>63</v>
      </c>
      <c r="F55" s="8"/>
      <c r="G55" s="8"/>
      <c r="H55" s="502">
        <v>4</v>
      </c>
      <c r="I55" s="159">
        <f t="shared" si="6"/>
        <v>152</v>
      </c>
      <c r="L55" s="163">
        <f t="shared" si="7"/>
        <v>8</v>
      </c>
      <c r="M55" s="163">
        <f t="shared" si="8"/>
        <v>160</v>
      </c>
      <c r="N55" s="3" t="s">
        <v>129</v>
      </c>
    </row>
    <row r="56" spans="1:14" s="19" customFormat="1" ht="14.25" customHeight="1">
      <c r="A56" s="30" t="s">
        <v>79</v>
      </c>
      <c r="B56" s="35">
        <v>368502</v>
      </c>
      <c r="C56" s="35" t="s">
        <v>88</v>
      </c>
      <c r="D56" s="49" t="s">
        <v>291</v>
      </c>
      <c r="E56" s="22" t="s">
        <v>64</v>
      </c>
      <c r="F56" s="8"/>
      <c r="G56" s="8"/>
      <c r="H56" s="502">
        <v>8</v>
      </c>
      <c r="I56" s="159">
        <f t="shared" si="6"/>
        <v>304</v>
      </c>
      <c r="L56" s="163">
        <f t="shared" si="7"/>
        <v>16</v>
      </c>
      <c r="M56" s="163">
        <f t="shared" si="8"/>
        <v>320</v>
      </c>
      <c r="N56" s="3" t="s">
        <v>129</v>
      </c>
    </row>
    <row r="57" spans="1:14" s="19" customFormat="1" ht="14.25" customHeight="1">
      <c r="A57" s="30" t="s">
        <v>79</v>
      </c>
      <c r="B57" s="35">
        <v>368503</v>
      </c>
      <c r="C57" s="35" t="s">
        <v>88</v>
      </c>
      <c r="D57" s="49" t="s">
        <v>291</v>
      </c>
      <c r="E57" s="21" t="s">
        <v>39</v>
      </c>
      <c r="F57" s="8"/>
      <c r="G57" s="8"/>
      <c r="H57" s="502">
        <v>1</v>
      </c>
      <c r="I57" s="159">
        <f t="shared" si="6"/>
        <v>38</v>
      </c>
      <c r="L57" s="163">
        <f t="shared" si="7"/>
        <v>2</v>
      </c>
      <c r="M57" s="163">
        <f t="shared" si="8"/>
        <v>40</v>
      </c>
      <c r="N57" s="3" t="s">
        <v>88</v>
      </c>
    </row>
  </sheetData>
  <mergeCells count="10">
    <mergeCell ref="A1:D1"/>
    <mergeCell ref="F1:G1"/>
    <mergeCell ref="H1:I1"/>
    <mergeCell ref="F2:G2"/>
    <mergeCell ref="H2:I2"/>
    <mergeCell ref="J1:K1"/>
    <mergeCell ref="J2:K2"/>
    <mergeCell ref="F3:G3"/>
    <mergeCell ref="H3:I3"/>
    <mergeCell ref="J3:K3"/>
  </mergeCells>
  <printOptions gridLines="1"/>
  <pageMargins left="0.76" right="0.47" top="0.67" bottom="0.64" header="0.5" footer="0.3"/>
  <pageSetup horizontalDpi="600" verticalDpi="600" orientation="portrait" scale="80" r:id="rId1"/>
  <headerFooter alignWithMargins="0">
    <oddFooter>&amp;LFile: ChamberBasicBOM/Cu Parts for
ME 1/3, 3/1, &amp; ME 4/1&amp;Cpage &amp;P of &amp;N&amp;RUpdated: 10/24/01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Nelson Chester</cp:lastModifiedBy>
  <cp:lastPrinted>2001-06-15T21:03:15Z</cp:lastPrinted>
  <dcterms:created xsi:type="dcterms:W3CDTF">2000-06-05T22:42:52Z</dcterms:created>
  <dcterms:modified xsi:type="dcterms:W3CDTF">2001-12-05T23:56:38Z</dcterms:modified>
  <cp:category/>
  <cp:version/>
  <cp:contentType/>
  <cp:contentStatus/>
</cp:coreProperties>
</file>