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50" activeTab="0"/>
  </bookViews>
  <sheets>
    <sheet name="fltcov" sheetId="1" r:id="rId1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Mark Cox</author>
    <author>mark.cox</author>
  </authors>
  <commentList>
    <comment ref="J11" authorId="0">
      <text>
        <r>
          <rPr>
            <sz val="8"/>
            <rFont val="Tahoma"/>
            <family val="0"/>
          </rPr>
          <t xml:space="preserve">Enter </t>
        </r>
        <r>
          <rPr>
            <b/>
            <sz val="8"/>
            <rFont val="Tahoma"/>
            <family val="2"/>
          </rPr>
          <t>optimum sidelap</t>
        </r>
        <r>
          <rPr>
            <sz val="8"/>
            <rFont val="Tahoma"/>
            <family val="0"/>
          </rPr>
          <t xml:space="preserve"> here (requires a "0" in cell I11 to activate).</t>
        </r>
      </text>
    </comment>
    <comment ref="K11" authorId="0">
      <text>
        <r>
          <rPr>
            <sz val="8"/>
            <rFont val="Tahoma"/>
            <family val="0"/>
          </rPr>
          <t xml:space="preserve">Enter </t>
        </r>
        <r>
          <rPr>
            <b/>
            <sz val="8"/>
            <rFont val="Tahoma"/>
            <family val="2"/>
          </rPr>
          <t>minimum sidelap</t>
        </r>
        <r>
          <rPr>
            <sz val="8"/>
            <rFont val="Tahoma"/>
            <family val="0"/>
          </rPr>
          <t xml:space="preserve"> here.</t>
        </r>
      </text>
    </comment>
    <comment ref="L11" authorId="0">
      <text>
        <r>
          <rPr>
            <sz val="8"/>
            <rFont val="Tahoma"/>
            <family val="2"/>
          </rPr>
          <t xml:space="preserve">Enter </t>
        </r>
        <r>
          <rPr>
            <b/>
            <sz val="8"/>
            <rFont val="Tahoma"/>
            <family val="2"/>
          </rPr>
          <t>maximum sidelap</t>
        </r>
        <r>
          <rPr>
            <sz val="8"/>
            <rFont val="Tahoma"/>
            <family val="2"/>
          </rPr>
          <t xml:space="preserve"> here.</t>
        </r>
      </text>
    </comment>
    <comment ref="J13" authorId="0">
      <text>
        <r>
          <rPr>
            <sz val="8"/>
            <rFont val="Tahoma"/>
            <family val="2"/>
          </rPr>
          <t xml:space="preserve">Enter </t>
        </r>
        <r>
          <rPr>
            <b/>
            <sz val="8"/>
            <rFont val="Tahoma"/>
            <family val="2"/>
          </rPr>
          <t>optimum endlap</t>
        </r>
        <r>
          <rPr>
            <sz val="8"/>
            <rFont val="Tahoma"/>
            <family val="2"/>
          </rPr>
          <t xml:space="preserve"> here (requires a "0" in cell J15 to activate).</t>
        </r>
      </text>
    </comment>
    <comment ref="L13" authorId="0">
      <text>
        <r>
          <rPr>
            <sz val="8"/>
            <rFont val="Tahoma"/>
            <family val="2"/>
          </rPr>
          <t xml:space="preserve">Enter </t>
        </r>
        <r>
          <rPr>
            <b/>
            <sz val="8"/>
            <rFont val="Tahoma"/>
            <family val="2"/>
          </rPr>
          <t>maximum endlap</t>
        </r>
        <r>
          <rPr>
            <sz val="8"/>
            <rFont val="Tahoma"/>
            <family val="2"/>
          </rPr>
          <t xml:space="preserve"> here.</t>
        </r>
      </text>
    </comment>
    <comment ref="H15" authorId="0">
      <text>
        <r>
          <rPr>
            <sz val="8"/>
            <rFont val="Tahoma"/>
            <family val="2"/>
          </rPr>
          <t xml:space="preserve">Enter latitude in </t>
        </r>
        <r>
          <rPr>
            <b/>
            <sz val="8"/>
            <rFont val="Tahoma"/>
            <family val="2"/>
          </rPr>
          <t>degrees dot minutes</t>
        </r>
        <r>
          <rPr>
            <sz val="8"/>
            <rFont val="Tahoma"/>
            <family val="2"/>
          </rPr>
          <t xml:space="preserve"> here.</t>
        </r>
      </text>
    </comment>
    <comment ref="K13" authorId="0">
      <text>
        <r>
          <rPr>
            <sz val="8"/>
            <rFont val="Tahoma"/>
            <family val="0"/>
          </rPr>
          <t xml:space="preserve">Enter </t>
        </r>
        <r>
          <rPr>
            <b/>
            <sz val="8"/>
            <rFont val="Tahoma"/>
            <family val="2"/>
          </rPr>
          <t>minimum endlap</t>
        </r>
        <r>
          <rPr>
            <sz val="8"/>
            <rFont val="Tahoma"/>
            <family val="0"/>
          </rPr>
          <t xml:space="preserve"> here.
</t>
        </r>
      </text>
    </comment>
    <comment ref="I11" authorId="0">
      <text>
        <r>
          <rPr>
            <sz val="8"/>
            <rFont val="Tahoma"/>
            <family val="0"/>
          </rPr>
          <t>Enter a "0" for percent footprint spacing or a "1" for coordinate oriented spacing here.</t>
        </r>
      </text>
    </comment>
    <comment ref="I17" authorId="0">
      <text>
        <r>
          <rPr>
            <sz val="8"/>
            <rFont val="Tahoma"/>
            <family val="0"/>
          </rPr>
          <t xml:space="preserve">Enter number of </t>
        </r>
        <r>
          <rPr>
            <b/>
            <sz val="8"/>
            <rFont val="Tahoma"/>
            <family val="2"/>
          </rPr>
          <t>flights per 1 degree coordinate</t>
        </r>
        <r>
          <rPr>
            <sz val="8"/>
            <rFont val="Tahoma"/>
            <family val="0"/>
          </rPr>
          <t xml:space="preserve"> here (requires a "1" in cell I11 to activate).</t>
        </r>
      </text>
    </comment>
    <comment ref="J15" authorId="0">
      <text>
        <r>
          <rPr>
            <sz val="8"/>
            <rFont val="Tahoma"/>
            <family val="2"/>
          </rPr>
          <t>Enter a "0" for entered optimum endlap or a "1" for minimum compensated optimum endlap.</t>
        </r>
      </text>
    </comment>
    <comment ref="D38" authorId="0">
      <text>
        <r>
          <rPr>
            <sz val="8"/>
            <rFont val="Tahoma"/>
            <family val="2"/>
          </rPr>
          <t xml:space="preserve">Enter </t>
        </r>
        <r>
          <rPr>
            <b/>
            <sz val="8"/>
            <rFont val="Tahoma"/>
            <family val="2"/>
          </rPr>
          <t>maximum photographic scale</t>
        </r>
        <r>
          <rPr>
            <sz val="8"/>
            <rFont val="Tahoma"/>
            <family val="2"/>
          </rPr>
          <t xml:space="preserve"> here (requires a "2" in cell B40 to activate).</t>
        </r>
      </text>
    </comment>
    <comment ref="J44" authorId="0">
      <text>
        <r>
          <rPr>
            <sz val="8"/>
            <rFont val="Tahoma"/>
            <family val="2"/>
          </rPr>
          <t xml:space="preserve">Enter </t>
        </r>
        <r>
          <rPr>
            <b/>
            <sz val="8"/>
            <rFont val="Tahoma"/>
            <family val="2"/>
          </rPr>
          <t>minimum photographic scale</t>
        </r>
        <r>
          <rPr>
            <sz val="8"/>
            <rFont val="Tahoma"/>
            <family val="2"/>
          </rPr>
          <t xml:space="preserve"> here (requires a "2" in cell H46 to activate).</t>
        </r>
      </text>
    </comment>
    <comment ref="B40" authorId="0">
      <text>
        <r>
          <rPr>
            <sz val="8"/>
            <rFont val="Tahoma"/>
            <family val="2"/>
          </rPr>
          <t>Enter a "0" for minimum sidelap reading, a "1" for minimum endlap reading, or a "2" for maximum scale reading.</t>
        </r>
      </text>
    </comment>
    <comment ref="H46" authorId="0">
      <text>
        <r>
          <rPr>
            <sz val="8"/>
            <rFont val="Tahoma"/>
            <family val="0"/>
          </rPr>
          <t>Enter a "0" for maximum sidelap reading, a "1" for maximum endlap reading, or a "2" for minimum scale reading.</t>
        </r>
      </text>
    </comment>
    <comment ref="F7" authorId="0">
      <text>
        <r>
          <rPr>
            <sz val="8"/>
            <rFont val="Tahoma"/>
            <family val="2"/>
          </rPr>
          <t xml:space="preserve">Enter </t>
        </r>
        <r>
          <rPr>
            <b/>
            <sz val="8"/>
            <rFont val="Tahoma"/>
            <family val="2"/>
          </rPr>
          <t>photographic scale</t>
        </r>
        <r>
          <rPr>
            <sz val="8"/>
            <rFont val="Tahoma"/>
            <family val="2"/>
          </rPr>
          <t xml:space="preserve"> here.</t>
        </r>
      </text>
    </comment>
    <comment ref="I10" authorId="0">
      <text>
        <r>
          <rPr>
            <sz val="8"/>
            <rFont val="Tahoma"/>
            <family val="0"/>
          </rPr>
          <t xml:space="preserve">Enter </t>
        </r>
        <r>
          <rPr>
            <b/>
            <sz val="8"/>
            <rFont val="Tahoma"/>
            <family val="2"/>
          </rPr>
          <t>odd focal length</t>
        </r>
        <r>
          <rPr>
            <sz val="8"/>
            <rFont val="Tahoma"/>
            <family val="0"/>
          </rPr>
          <t xml:space="preserve"> (1 to 50 inches) here (requires a "=I10" selection in cell F10 to activate).</t>
        </r>
      </text>
    </comment>
    <comment ref="F10" authorId="1">
      <text>
        <r>
          <rPr>
            <sz val="8"/>
            <rFont val="Tahoma"/>
            <family val="2"/>
          </rPr>
          <t xml:space="preserve">Select </t>
        </r>
        <r>
          <rPr>
            <b/>
            <sz val="8"/>
            <rFont val="Tahoma"/>
            <family val="2"/>
          </rPr>
          <t>focal length</t>
        </r>
        <r>
          <rPr>
            <sz val="8"/>
            <rFont val="Tahoma"/>
            <family val="2"/>
          </rPr>
          <t xml:space="preserve"> in inches here.</t>
        </r>
      </text>
    </comment>
    <comment ref="H19" authorId="1">
      <text>
        <r>
          <rPr>
            <sz val="8"/>
            <rFont val="Tahoma"/>
            <family val="2"/>
          </rPr>
          <t xml:space="preserve">Select "N-S" or "E-W" </t>
        </r>
        <r>
          <rPr>
            <b/>
            <sz val="8"/>
            <rFont val="Tahoma"/>
            <family val="2"/>
          </rPr>
          <t>flight direction</t>
        </r>
        <r>
          <rPr>
            <sz val="8"/>
            <rFont val="Tahoma"/>
            <family val="2"/>
          </rPr>
          <t xml:space="preserve"> here.</t>
        </r>
      </text>
    </comment>
  </commentList>
</comments>
</file>

<file path=xl/sharedStrings.xml><?xml version="1.0" encoding="utf-8"?>
<sst xmlns="http://schemas.openxmlformats.org/spreadsheetml/2006/main" count="70" uniqueCount="33">
  <si>
    <t>Scale:  1:</t>
  </si>
  <si>
    <t xml:space="preserve">    Percentage  Overlap</t>
  </si>
  <si>
    <t>Flying Height:</t>
  </si>
  <si>
    <t>Feet</t>
  </si>
  <si>
    <t>Focal Length:</t>
  </si>
  <si>
    <t>Inch</t>
  </si>
  <si>
    <t>Opt.</t>
  </si>
  <si>
    <t>Min.</t>
  </si>
  <si>
    <t>Max.</t>
  </si>
  <si>
    <t>Flight Line Spacing:</t>
  </si>
  <si>
    <t>Forward Gain:</t>
  </si>
  <si>
    <t>Sidelap:</t>
  </si>
  <si>
    <t>Exps.</t>
  </si>
  <si>
    <t>Endlap:</t>
  </si>
  <si>
    <t>Degrees</t>
  </si>
  <si>
    <t>Coordinate Spacing between Flights:</t>
  </si>
  <si>
    <t>Direction of Flight:</t>
  </si>
  <si>
    <t xml:space="preserve">  High  Elevation</t>
  </si>
  <si>
    <t xml:space="preserve">   Low  Elevation</t>
  </si>
  <si>
    <t>Datum</t>
  </si>
  <si>
    <t>Scale</t>
  </si>
  <si>
    <t>Sidelap</t>
  </si>
  <si>
    <t>Endlap</t>
  </si>
  <si>
    <t>1:</t>
  </si>
  <si>
    <t>Formulas:</t>
  </si>
  <si>
    <t>Project:</t>
  </si>
  <si>
    <t>State:</t>
  </si>
  <si>
    <t>--US--</t>
  </si>
  <si>
    <t>--Type Project Name Here--</t>
  </si>
  <si>
    <t>Optimum Footprint:</t>
  </si>
  <si>
    <t>Tolerance Range:</t>
  </si>
  <si>
    <t>Elevation</t>
  </si>
  <si>
    <t>N-S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</si>
</sst>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_)"/>
    <numFmt numFmtId="166" formatCode=";;;"/>
    <numFmt numFmtId="167" formatCode="0.0%"/>
    <numFmt numFmtId="168" formatCode="0.0000_)"/>
    <numFmt numFmtId="169" formatCode="0.0000"/>
    <numFmt numFmtId="170" formatCode="0_);\(0\)"/>
  </numFmts>
  <fonts count="10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color indexed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12"/>
      <color indexed="12"/>
      <name val="Arial"/>
      <family val="0"/>
    </font>
    <font>
      <b/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166" fontId="4" fillId="0" borderId="0" xfId="0" applyNumberFormat="1" applyFont="1" applyAlignment="1" applyProtection="1">
      <alignment/>
      <protection locked="0"/>
    </xf>
    <xf numFmtId="166" fontId="4" fillId="0" borderId="0" xfId="0" applyNumberFormat="1" applyFont="1" applyAlignment="1" applyProtection="1">
      <alignment vertical="center"/>
      <protection locked="0"/>
    </xf>
    <xf numFmtId="166" fontId="4" fillId="0" borderId="1" xfId="0" applyNumberFormat="1" applyFont="1" applyBorder="1" applyAlignment="1" applyProtection="1">
      <alignment vertical="center"/>
      <protection locked="0"/>
    </xf>
    <xf numFmtId="166" fontId="4" fillId="0" borderId="2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3" fontId="0" fillId="0" borderId="0" xfId="0" applyNumberFormat="1" applyAlignment="1" applyProtection="1">
      <alignment vertical="center"/>
      <protection/>
    </xf>
    <xf numFmtId="3" fontId="0" fillId="0" borderId="4" xfId="0" applyNumberFormat="1" applyBorder="1" applyAlignment="1" applyProtection="1">
      <alignment vertical="center"/>
      <protection/>
    </xf>
    <xf numFmtId="166" fontId="0" fillId="0" borderId="0" xfId="0" applyNumberFormat="1" applyAlignment="1" applyProtection="1">
      <alignment/>
      <protection hidden="1"/>
    </xf>
    <xf numFmtId="166" fontId="0" fillId="0" borderId="0" xfId="0" applyNumberFormat="1" applyAlignment="1" applyProtection="1">
      <alignment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169" fontId="0" fillId="0" borderId="0" xfId="0" applyNumberFormat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3" fontId="0" fillId="0" borderId="4" xfId="0" applyNumberFormat="1" applyBorder="1" applyAlignment="1" applyProtection="1">
      <alignment vertical="center"/>
      <protection hidden="1"/>
    </xf>
    <xf numFmtId="37" fontId="2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37" fontId="0" fillId="0" borderId="0" xfId="0" applyNumberFormat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168" fontId="0" fillId="0" borderId="0" xfId="0" applyNumberFormat="1" applyAlignment="1" applyProtection="1">
      <alignment vertical="center"/>
      <protection hidden="1"/>
    </xf>
    <xf numFmtId="167" fontId="0" fillId="0" borderId="5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37" fontId="0" fillId="0" borderId="0" xfId="0" applyNumberFormat="1" applyAlignment="1" applyProtection="1">
      <alignment horizontal="left" vertical="center"/>
      <protection hidden="1"/>
    </xf>
    <xf numFmtId="167" fontId="0" fillId="0" borderId="0" xfId="0" applyNumberFormat="1" applyAlignment="1" applyProtection="1">
      <alignment horizontal="center" vertical="center"/>
      <protection hidden="1"/>
    </xf>
    <xf numFmtId="16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7" fillId="0" borderId="6" xfId="0" applyFont="1" applyBorder="1" applyAlignment="1" applyProtection="1" quotePrefix="1">
      <alignment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3" fontId="0" fillId="0" borderId="0" xfId="0" applyNumberForma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6" fontId="0" fillId="0" borderId="0" xfId="0" applyNumberFormat="1" applyFont="1" applyAlignment="1" applyProtection="1">
      <alignment/>
      <protection hidden="1"/>
    </xf>
    <xf numFmtId="0" fontId="7" fillId="0" borderId="6" xfId="0" applyFont="1" applyBorder="1" applyAlignment="1" applyProtection="1" quotePrefix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55"/>
  <sheetViews>
    <sheetView tabSelected="1"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1.77734375" style="0" customWidth="1"/>
    <col min="2" max="2" width="7.77734375" style="0" customWidth="1"/>
    <col min="3" max="3" width="3.77734375" style="0" customWidth="1"/>
    <col min="4" max="4" width="8.3359375" style="0" customWidth="1"/>
    <col min="5" max="5" width="7.77734375" style="0" customWidth="1"/>
    <col min="6" max="6" width="8.77734375" style="0" customWidth="1"/>
    <col min="7" max="7" width="2.77734375" style="0" customWidth="1"/>
    <col min="8" max="8" width="8.77734375" style="0" customWidth="1"/>
    <col min="9" max="9" width="3.77734375" style="0" customWidth="1"/>
    <col min="10" max="10" width="8.3359375" style="0" customWidth="1"/>
    <col min="11" max="11" width="7.77734375" style="0" customWidth="1"/>
    <col min="12" max="12" width="8.77734375" style="0" customWidth="1"/>
  </cols>
  <sheetData>
    <row r="1" ht="12" customHeight="1"/>
    <row r="2" spans="1:13" ht="15" customHeight="1">
      <c r="A2" s="2"/>
      <c r="B2" s="6" t="s">
        <v>25</v>
      </c>
      <c r="C2" s="45" t="s">
        <v>28</v>
      </c>
      <c r="D2" s="46"/>
      <c r="E2" s="46"/>
      <c r="F2" s="46"/>
      <c r="G2" s="46"/>
      <c r="H2" s="46"/>
      <c r="I2" s="46"/>
      <c r="J2" s="46"/>
      <c r="K2" s="6" t="s">
        <v>26</v>
      </c>
      <c r="L2" s="38" t="s">
        <v>27</v>
      </c>
      <c r="M2" s="2"/>
    </row>
    <row r="3" spans="1:13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6.5" customHeight="1">
      <c r="A4" s="2"/>
      <c r="B4" s="2"/>
      <c r="C4" s="3"/>
      <c r="D4" s="26" t="str">
        <f>"   1:"&amp;FIXED(F8,0,FALSE)&amp;"  Scale  Flight  Coverage  Planning  Chart"</f>
        <v>   1:15,840  Scale  Flight  Coverage  Planning  Chart</v>
      </c>
      <c r="E4" s="4"/>
      <c r="F4" s="5"/>
      <c r="G4" s="5"/>
      <c r="H4" s="5"/>
      <c r="I4" s="5"/>
      <c r="J4" s="5"/>
      <c r="K4" s="2"/>
      <c r="L4" s="2"/>
      <c r="M4" s="2"/>
    </row>
    <row r="5" spans="1:13" ht="13.5" customHeight="1">
      <c r="A5" s="2"/>
      <c r="B5" s="2"/>
      <c r="C5" s="2"/>
      <c r="D5" s="2"/>
      <c r="E5" s="2"/>
      <c r="F5" s="27" t="str">
        <f>IF(LEN(TRIM(G9))&gt;5,"  (Metric Measurements)","   (Feet Measurements)")</f>
        <v>   (Feet Measurements)</v>
      </c>
      <c r="G5" s="2"/>
      <c r="H5" s="2"/>
      <c r="I5" s="2"/>
      <c r="J5" s="2"/>
      <c r="K5" s="2"/>
      <c r="L5" s="2"/>
      <c r="M5" s="2"/>
    </row>
    <row r="6" spans="1:13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customHeight="1">
      <c r="A7" s="2"/>
      <c r="B7" s="2"/>
      <c r="C7" s="2"/>
      <c r="D7" s="2"/>
      <c r="E7" s="2"/>
      <c r="F7" s="9">
        <v>15840</v>
      </c>
      <c r="G7" s="2"/>
      <c r="H7" s="2"/>
      <c r="I7" s="2"/>
      <c r="J7" s="2"/>
      <c r="K7" s="2"/>
      <c r="L7" s="2"/>
      <c r="M7" s="2"/>
    </row>
    <row r="8" spans="1:13" ht="13.5" customHeight="1">
      <c r="A8" s="2"/>
      <c r="B8" s="2"/>
      <c r="C8" s="2"/>
      <c r="D8" s="2"/>
      <c r="E8" s="6" t="s">
        <v>0</v>
      </c>
      <c r="F8" s="28">
        <f>IF(F7&gt;1000,IF(F7&gt;100000,100000,INT(F7)),1000)</f>
        <v>15840</v>
      </c>
      <c r="G8" s="2"/>
      <c r="I8" s="2"/>
      <c r="J8" s="5" t="s">
        <v>1</v>
      </c>
      <c r="K8" s="2"/>
      <c r="L8" s="2"/>
      <c r="M8" s="2"/>
    </row>
    <row r="9" spans="1:13" ht="13.5" customHeight="1">
      <c r="A9" s="2"/>
      <c r="B9" s="2"/>
      <c r="C9" s="2"/>
      <c r="D9" s="2"/>
      <c r="E9" s="6" t="s">
        <v>2</v>
      </c>
      <c r="F9" s="29">
        <f>F8*I15/G15</f>
        <v>7920</v>
      </c>
      <c r="G9" s="47" t="s">
        <v>3</v>
      </c>
      <c r="H9" s="47"/>
      <c r="I9" s="2"/>
      <c r="J9" s="2"/>
      <c r="K9" s="2"/>
      <c r="L9" s="2"/>
      <c r="M9" s="2"/>
    </row>
    <row r="10" spans="1:13" ht="13.5" customHeight="1">
      <c r="A10" s="2"/>
      <c r="B10" s="2"/>
      <c r="C10" s="2"/>
      <c r="D10" s="2"/>
      <c r="E10" s="6" t="s">
        <v>4</v>
      </c>
      <c r="F10" s="42">
        <v>6</v>
      </c>
      <c r="G10" s="2" t="s">
        <v>5</v>
      </c>
      <c r="I10" s="9">
        <v>10</v>
      </c>
      <c r="J10" s="7" t="s">
        <v>6</v>
      </c>
      <c r="K10" s="7" t="s">
        <v>7</v>
      </c>
      <c r="L10" s="7" t="s">
        <v>8</v>
      </c>
      <c r="M10" s="2"/>
    </row>
    <row r="11" spans="1:14" ht="13.5" customHeight="1">
      <c r="A11" s="2"/>
      <c r="B11" s="2"/>
      <c r="C11" s="2"/>
      <c r="D11" s="2"/>
      <c r="E11" s="6" t="s">
        <v>9</v>
      </c>
      <c r="F11" s="29">
        <f>IF(I11&gt;0,IF(I17&lt;1,IF(1-F20/F13&lt;0,(1-(1-F20/F13))*F13,(1-J12)*F13),IF(I17&lt;999,IF(1-F20/F13/I17&lt;0,(1-(1-F20/F13/I17))*F13,(1-J12)*F13),(1-(1-F20/F13/999))*F13)),(1-J12)*F13)</f>
        <v>8316</v>
      </c>
      <c r="G11" s="27" t="str">
        <f>G9</f>
        <v>Feet</v>
      </c>
      <c r="H11" s="2"/>
      <c r="I11" s="9">
        <v>0</v>
      </c>
      <c r="J11" s="10">
        <v>30</v>
      </c>
      <c r="K11" s="11">
        <v>15</v>
      </c>
      <c r="L11" s="11">
        <v>45</v>
      </c>
      <c r="M11" s="2"/>
      <c r="N11" s="17"/>
    </row>
    <row r="12" spans="1:13" ht="13.5" customHeight="1">
      <c r="A12" s="2"/>
      <c r="B12" s="2"/>
      <c r="C12" s="2"/>
      <c r="D12" s="2"/>
      <c r="E12" s="6" t="s">
        <v>10</v>
      </c>
      <c r="F12" s="29">
        <f>(1-J14)*F13</f>
        <v>4455</v>
      </c>
      <c r="G12" s="27" t="str">
        <f>G9</f>
        <v>Feet</v>
      </c>
      <c r="H12" s="2"/>
      <c r="I12" s="6" t="s">
        <v>11</v>
      </c>
      <c r="J12" s="31">
        <f>IF(I11&gt;0,IF(I17&lt;1,IF(1-F20/F13&lt;0,"Gap",1-F20/F13),IF(I17&lt;999,IF(1-F20/F13/I17&lt;0,"Gap",1-F20/F13/I17),1-F20/F13/999)),IF(J11&lt;10,0.1,IF(J11&lt;75,J11/100,0.75)))</f>
        <v>0.3</v>
      </c>
      <c r="K12" s="31">
        <f>IF(K11&lt;0,0,IF(I11&gt;0,IF(K11&lt;74,K11/100,0.74),IF(K11/100&gt;J12-0.01,J12-0.01,K11/100)))</f>
        <v>0.15</v>
      </c>
      <c r="L12" s="31">
        <f>IF(L11&gt;80,0.8,IF(I11&gt;0,IF(L11&lt;11,0.11,L11/100),IF(L11/100&lt;J12+0.01,J12+0.01,L11/100)))</f>
        <v>0.45</v>
      </c>
      <c r="M12" s="2"/>
    </row>
    <row r="13" spans="1:13" ht="13.5" customHeight="1">
      <c r="A13" s="2"/>
      <c r="B13" s="2"/>
      <c r="C13" s="2"/>
      <c r="D13" s="2"/>
      <c r="E13" s="6" t="s">
        <v>29</v>
      </c>
      <c r="F13" s="29">
        <f>F8*F15/G15</f>
        <v>11880</v>
      </c>
      <c r="G13" s="27" t="str">
        <f>G9</f>
        <v>Feet</v>
      </c>
      <c r="H13" s="2"/>
      <c r="I13" s="2"/>
      <c r="J13" s="11">
        <v>62.5</v>
      </c>
      <c r="K13" s="11">
        <v>55</v>
      </c>
      <c r="L13" s="11">
        <v>70</v>
      </c>
      <c r="M13" s="2"/>
    </row>
    <row r="14" spans="1:13" ht="13.5" customHeight="1">
      <c r="A14" s="2"/>
      <c r="B14" s="18"/>
      <c r="C14" s="2"/>
      <c r="D14" s="2"/>
      <c r="E14" s="32" t="str">
        <f>IF(LEN(TRIM(G9))&gt;5,"Exposures per Kilometer:","Exposures per Mile:")</f>
        <v>Exposures per Mile:</v>
      </c>
      <c r="F14" s="30">
        <f>IF(LEN(TRIM(G9))&gt;5,1000/F12,5280/F12)</f>
        <v>1.1851851851851851</v>
      </c>
      <c r="G14" s="2" t="s">
        <v>12</v>
      </c>
      <c r="H14" s="2"/>
      <c r="I14" s="6" t="s">
        <v>13</v>
      </c>
      <c r="J14" s="31">
        <f>IF(J15&gt;0,1-F11/(1-K12)*(1-K14)/F13,IF(J13&lt;10,0.1,IF(J13&lt;85,J13/100,0.85)))</f>
        <v>0.625</v>
      </c>
      <c r="K14" s="31">
        <f>IF(K13&lt;0,0,IF(J15&gt;0,IF(K13&lt;84,K13/100,0.84),IF(K13/100&gt;J14-0.01,J14-0.01,K13/100)))</f>
        <v>0.55</v>
      </c>
      <c r="L14" s="31">
        <f>IF(L13&gt;90,0.9,IF(J15&gt;0,IF(L13&lt;11,0.11,L13/100),IF(L13/100&lt;J14+0.01,J14+0.01,L13/100)))</f>
        <v>0.7</v>
      </c>
      <c r="M14" s="2"/>
    </row>
    <row r="15" spans="1:13" ht="12.75" customHeight="1">
      <c r="A15" s="2"/>
      <c r="B15" s="2"/>
      <c r="C15" s="12"/>
      <c r="D15" s="2"/>
      <c r="E15" s="2"/>
      <c r="F15" s="21">
        <v>9</v>
      </c>
      <c r="G15" s="21">
        <f>IF(LEN(TRIM(G9))&gt;5,1/0.0254,12)</f>
        <v>12</v>
      </c>
      <c r="H15" s="9">
        <v>40</v>
      </c>
      <c r="I15" s="20">
        <f>IF(F10&gt;1,IF(F10&gt;50,50,F10),1)</f>
        <v>6</v>
      </c>
      <c r="J15" s="9">
        <v>0</v>
      </c>
      <c r="K15" s="2"/>
      <c r="L15" s="2"/>
      <c r="M15" s="2"/>
    </row>
    <row r="16" spans="1:9" ht="13.5" customHeight="1">
      <c r="A16" s="1"/>
      <c r="B16" s="1"/>
      <c r="C16" s="1"/>
      <c r="D16" s="1"/>
      <c r="E16" s="1"/>
      <c r="F16" s="1"/>
      <c r="G16" s="32" t="str">
        <f>IF(H16&lt;0,"Latitude (North End):","Latitude (South End):")</f>
        <v>Latitude (South End):</v>
      </c>
      <c r="H16" s="22">
        <f>IF(H15&gt;-89,IF(H15&gt;89,89,TRUNC(H15)+(H15-TRUNC(H15))*5/3),-89)</f>
        <v>40</v>
      </c>
      <c r="I16" s="2" t="s">
        <v>14</v>
      </c>
    </row>
    <row r="17" spans="1:13" ht="13.5" customHeight="1">
      <c r="A17" s="2"/>
      <c r="B17" s="2"/>
      <c r="C17" s="2"/>
      <c r="D17" s="2"/>
      <c r="E17" s="1"/>
      <c r="F17" s="1"/>
      <c r="G17" s="32" t="str">
        <f>IF(I19&gt;0,"Flights per 1 Degree Latitude:","Flights per 1 Degree Longitude:")</f>
        <v>Flights per 1 Degree Longitude:</v>
      </c>
      <c r="H17" s="23">
        <f>IF(I11&gt;0,IF(I17&lt;1,1,IF(I17&lt;999,I17,999)),F20/F11)</f>
        <v>33.68983828945848</v>
      </c>
      <c r="I17" s="8">
        <v>34</v>
      </c>
      <c r="J17" s="1"/>
      <c r="K17" s="1"/>
      <c r="L17" s="1"/>
      <c r="M17" s="2"/>
    </row>
    <row r="18" spans="1:13" ht="13.5" customHeight="1">
      <c r="A18" s="2"/>
      <c r="B18" s="2"/>
      <c r="C18" s="2"/>
      <c r="D18" s="1"/>
      <c r="E18" s="1"/>
      <c r="F18" s="1"/>
      <c r="G18" s="6" t="s">
        <v>15</v>
      </c>
      <c r="H18" s="36">
        <f>60/H17</f>
        <v>1.7809524487617963</v>
      </c>
      <c r="I18" s="37" t="str">
        <f>IF(I19&gt;0,"Minutes Latitude","Minutes Longitude")</f>
        <v>Minutes Longitude</v>
      </c>
      <c r="J18" s="1"/>
      <c r="K18" s="1"/>
      <c r="L18" s="1"/>
      <c r="M18" s="2"/>
    </row>
    <row r="19" spans="1:13" ht="13.5" customHeight="1">
      <c r="A19" s="2"/>
      <c r="B19" s="2"/>
      <c r="C19" s="2"/>
      <c r="D19" s="1"/>
      <c r="E19" s="1"/>
      <c r="F19" s="1"/>
      <c r="G19" s="6" t="s">
        <v>16</v>
      </c>
      <c r="H19" s="43" t="s">
        <v>32</v>
      </c>
      <c r="I19" s="44">
        <f>IF(H19="E-W",1,0)</f>
        <v>0</v>
      </c>
      <c r="J19" s="2"/>
      <c r="K19" s="2"/>
      <c r="L19" s="2"/>
      <c r="M19" s="2"/>
    </row>
    <row r="20" spans="1:13" ht="12.75" customHeight="1">
      <c r="A20" s="2"/>
      <c r="B20" s="2"/>
      <c r="C20" s="2"/>
      <c r="D20" s="21">
        <f>IF(LEN(TRIM(G9))&gt;5,3963.2*1.609344,3963.2)</f>
        <v>3963.2</v>
      </c>
      <c r="E20" s="20">
        <f>1/298.2</f>
        <v>0.00335345405767941</v>
      </c>
      <c r="F20" s="20">
        <f>IF(I19&gt;0,D20*PI()*(1-E20)^2/(180*(1-E20*SIN(RADIANS(H16))^2)^3)*IF(LEN(TRIM(G9))&gt;5,1000,5280),D20*PI()*COS(RADIANS(H16))/(180*(1-E20*POWER(SIN(RADIANS(H16)),2)))*IF(LEN(TRIM(G9))&gt;5,1000,5280))</f>
        <v>280164.6952151367</v>
      </c>
      <c r="G20" s="2"/>
      <c r="H20" s="2"/>
      <c r="I20" s="2"/>
      <c r="J20" s="2"/>
      <c r="K20" s="2"/>
      <c r="L20" s="2"/>
      <c r="M20" s="2"/>
    </row>
    <row r="21" spans="1:13" ht="13.5" customHeight="1">
      <c r="A21" s="2"/>
      <c r="B21" s="2"/>
      <c r="C21" s="2"/>
      <c r="D21" s="5" t="s">
        <v>17</v>
      </c>
      <c r="E21" s="2"/>
      <c r="F21" s="2"/>
      <c r="G21" s="13"/>
      <c r="H21" s="14"/>
      <c r="I21" s="2"/>
      <c r="J21" s="5" t="s">
        <v>18</v>
      </c>
      <c r="K21" s="2"/>
      <c r="L21" s="2"/>
      <c r="M21" s="2"/>
    </row>
    <row r="22" spans="1:13" ht="12.75" customHeight="1">
      <c r="A22" s="2"/>
      <c r="B22" s="2"/>
      <c r="C22" s="2"/>
      <c r="D22" s="2"/>
      <c r="E22" s="2"/>
      <c r="F22" s="2"/>
      <c r="G22" s="13"/>
      <c r="H22" s="14"/>
      <c r="I22" s="2"/>
      <c r="J22" s="2"/>
      <c r="K22" s="2"/>
      <c r="L22" s="2"/>
      <c r="M22" s="2"/>
    </row>
    <row r="23" spans="1:13" ht="13.5" customHeight="1">
      <c r="A23" s="2"/>
      <c r="B23" s="6" t="s">
        <v>19</v>
      </c>
      <c r="C23" s="21">
        <f>LOG(ABS(B39))*10-14</f>
        <v>17.453975149308818</v>
      </c>
      <c r="D23" s="2" t="s">
        <v>20</v>
      </c>
      <c r="E23" s="7" t="s">
        <v>21</v>
      </c>
      <c r="F23" s="7" t="s">
        <v>22</v>
      </c>
      <c r="G23" s="13"/>
      <c r="H23" s="15" t="s">
        <v>19</v>
      </c>
      <c r="I23" s="2"/>
      <c r="J23" s="2" t="s">
        <v>20</v>
      </c>
      <c r="K23" s="7" t="s">
        <v>21</v>
      </c>
      <c r="L23" s="7" t="s">
        <v>22</v>
      </c>
      <c r="M23" s="2"/>
    </row>
    <row r="24" spans="1:13" ht="13.5" customHeight="1">
      <c r="A24" s="2"/>
      <c r="B24" s="32" t="str">
        <f>IF(LEN(TRIM(G9))&gt;5,"(m.)","(ft.)")</f>
        <v>(ft.)</v>
      </c>
      <c r="C24" s="21">
        <f>IF(C23&lt;1,4,IF(C23&lt;28,CHOOSE(C23,4,5,6,8,10,12,15,20,25,30,40,50,60,80,100,120,150,200,250,300,400,500,600,800,1000,1200,1500),1500))</f>
        <v>150</v>
      </c>
      <c r="D24" s="2"/>
      <c r="E24" s="2"/>
      <c r="F24" s="2"/>
      <c r="G24" s="13"/>
      <c r="H24" s="33" t="str">
        <f>IF(LEN(TRIM(G9))&gt;5,"(m.)","(ft.)")</f>
        <v>(ft.)</v>
      </c>
      <c r="I24" s="21">
        <f>C24</f>
        <v>150</v>
      </c>
      <c r="J24" s="2"/>
      <c r="K24" s="2"/>
      <c r="L24" s="2"/>
      <c r="M24" s="2"/>
    </row>
    <row r="25" spans="1:13" ht="12.75" customHeight="1">
      <c r="A25" s="2"/>
      <c r="B25" s="24">
        <v>0</v>
      </c>
      <c r="C25" s="6" t="s">
        <v>23</v>
      </c>
      <c r="D25" s="34">
        <f>(F9+B25)*G15/I15</f>
        <v>15840</v>
      </c>
      <c r="E25" s="35">
        <f>IF(((F9+B25)*F15/I15-F11)/((F9+B25)*F15/I15)&lt;0,"Gap",((F9+B25)*F15/I15-F11)/((F9+B25)*F15/I15))</f>
        <v>0.3</v>
      </c>
      <c r="F25" s="35">
        <f>IF(((F9+B25)*F15/I15-F12)/((F9+B25)*F15/I15)&lt;0,"Gap",((F9+B25)*F15/I15-F12)/((F9+B25)*F15/I15))</f>
        <v>0.625</v>
      </c>
      <c r="G25" s="13"/>
      <c r="H25" s="25">
        <v>0</v>
      </c>
      <c r="I25" s="6" t="s">
        <v>23</v>
      </c>
      <c r="J25" s="34">
        <f>(F9+H25)*G15/I15</f>
        <v>15840</v>
      </c>
      <c r="K25" s="35">
        <f>IF(((F9+H25)*F15/I15-F11)/((F9+H25)*F15/I15)&lt;0,"Gap",((F9+H25)*F15/I15-F11)/((F9+H25)*F15/I15))</f>
        <v>0.3</v>
      </c>
      <c r="L25" s="35">
        <f>IF(((F9+H25)*F15/I15-F12)/((F9+H25)*F15/I15)&lt;0,"Gap",((F9+H25)*F15/I15-F12)/((F9+H25)*F15/I15))</f>
        <v>0.625</v>
      </c>
      <c r="M25" s="2"/>
    </row>
    <row r="26" spans="1:13" ht="12.75" customHeight="1">
      <c r="A26" s="2"/>
      <c r="B26" s="24">
        <f>B25-C24</f>
        <v>-150</v>
      </c>
      <c r="C26" s="6" t="s">
        <v>23</v>
      </c>
      <c r="D26" s="34">
        <f>(F9+B26)*G15/I15</f>
        <v>15540</v>
      </c>
      <c r="E26" s="35">
        <f>IF(((F9+B26)*F15/I15-F11)/((F9+B26)*F15/I15)&lt;0,"Gap",((F9+B26)*F15/I15-F11)/((F9+B26)*F15/I15))</f>
        <v>0.2864864864864865</v>
      </c>
      <c r="F26" s="35">
        <f>IF(((F9+B26)*F15/I15-F12)/((F9+B26)*F15/I15)&lt;0,"Gap",((F9+B26)*F15/I15-F12)/((F9+B26)*F15/I15))</f>
        <v>0.6177606177606177</v>
      </c>
      <c r="G26" s="13"/>
      <c r="H26" s="25">
        <f>H25+I24</f>
        <v>150</v>
      </c>
      <c r="I26" s="6" t="s">
        <v>23</v>
      </c>
      <c r="J26" s="34">
        <f>(F9+H26)*G15/I15</f>
        <v>16140</v>
      </c>
      <c r="K26" s="35">
        <f>IF(((F9+H26)*F15/I15-F11)/((F9+H26)*F15/I15)&lt;0,"Gap",((F9+H26)*F15/I15-F11)/((F9+H26)*F15/I15))</f>
        <v>0.31301115241635685</v>
      </c>
      <c r="L26" s="35">
        <f>IF(((F9+H26)*F15/I15-F12)/((F9+H26)*F15/I15)&lt;0,"Gap",((F9+H26)*F15/I15-F12)/((F9+H26)*F15/I15))</f>
        <v>0.6319702602230484</v>
      </c>
      <c r="M26" s="2"/>
    </row>
    <row r="27" spans="1:13" ht="12.75" customHeight="1">
      <c r="A27" s="2"/>
      <c r="B27" s="24">
        <f>B26-C24</f>
        <v>-300</v>
      </c>
      <c r="C27" s="6" t="s">
        <v>23</v>
      </c>
      <c r="D27" s="34">
        <f>(F9+B27)*G15/I15</f>
        <v>15240</v>
      </c>
      <c r="E27" s="35">
        <f>IF(((F9+B27)*F15/I15-F11)/((F9+B27)*F15/I15)&lt;0,"Gap",((F9+B27)*F15/I15-F11)/((F9+B27)*F15/I15))</f>
        <v>0.27244094488188975</v>
      </c>
      <c r="F27" s="35">
        <f>IF(((F9+B27)*F15/I15-F12)/((F9+B27)*F15/I15)&lt;0,"Gap",((F9+B27)*F15/I15-F12)/((F9+B27)*F15/I15))</f>
        <v>0.610236220472441</v>
      </c>
      <c r="G27" s="13"/>
      <c r="H27" s="25">
        <f>H26+I24</f>
        <v>300</v>
      </c>
      <c r="I27" s="6" t="s">
        <v>23</v>
      </c>
      <c r="J27" s="34">
        <f>(F9+H27)*G15/I15</f>
        <v>16440</v>
      </c>
      <c r="K27" s="35">
        <f>IF(((F9+H27)*F15/I15-F11)/((F9+H27)*F15/I15)&lt;0,"Gap",((F9+H27)*F15/I15-F11)/((F9+H27)*F15/I15))</f>
        <v>0.32554744525547447</v>
      </c>
      <c r="L27" s="35">
        <f>IF(((F9+H27)*F15/I15-F12)/((F9+H27)*F15/I15)&lt;0,"Gap",((F9+H27)*F15/I15-F12)/((F9+H27)*F15/I15))</f>
        <v>0.6386861313868614</v>
      </c>
      <c r="M27" s="2"/>
    </row>
    <row r="28" spans="1:13" ht="12.75" customHeight="1">
      <c r="A28" s="2"/>
      <c r="B28" s="24">
        <f>B27-C24</f>
        <v>-450</v>
      </c>
      <c r="C28" s="6" t="s">
        <v>23</v>
      </c>
      <c r="D28" s="34">
        <f>(F9+B28)*G15/I15</f>
        <v>14940</v>
      </c>
      <c r="E28" s="35">
        <f>IF(((F9+B28)*F15/I15-F11)/((F9+B28)*F15/I15)&lt;0,"Gap",((F9+B28)*F15/I15-F11)/((F9+B28)*F15/I15))</f>
        <v>0.25783132530120484</v>
      </c>
      <c r="F28" s="35">
        <f>IF(((F9+B28)*F15/I15-F12)/((F9+B28)*F15/I15)&lt;0,"Gap",((F9+B28)*F15/I15-F12)/((F9+B28)*F15/I15))</f>
        <v>0.6024096385542169</v>
      </c>
      <c r="G28" s="13"/>
      <c r="H28" s="25">
        <f>H27+I24</f>
        <v>450</v>
      </c>
      <c r="I28" s="6" t="s">
        <v>23</v>
      </c>
      <c r="J28" s="34">
        <f>(F9+H28)*G15/I15</f>
        <v>16740</v>
      </c>
      <c r="K28" s="35">
        <f>IF(((F9+H28)*F15/I15-F11)/((F9+H28)*F15/I15)&lt;0,"Gap",((F9+H28)*F15/I15-F11)/((F9+H28)*F15/I15))</f>
        <v>0.33763440860215055</v>
      </c>
      <c r="L28" s="35">
        <f>IF(((F9+H28)*F15/I15-F12)/((F9+H28)*F15/I15)&lt;0,"Gap",((F9+H28)*F15/I15-F12)/((F9+H28)*F15/I15))</f>
        <v>0.6451612903225806</v>
      </c>
      <c r="M28" s="2"/>
    </row>
    <row r="29" spans="1:13" ht="12.75" customHeight="1">
      <c r="A29" s="2"/>
      <c r="B29" s="24">
        <f>B28-C24</f>
        <v>-600</v>
      </c>
      <c r="C29" s="6" t="s">
        <v>23</v>
      </c>
      <c r="D29" s="34">
        <f>(F9+B29)*G15/I15</f>
        <v>14640</v>
      </c>
      <c r="E29" s="35">
        <f>IF(((F9+B29)*F15/I15-F11)/((F9+B29)*F15/I15)&lt;0,"Gap",((F9+B29)*F15/I15-F11)/((F9+B29)*F15/I15))</f>
        <v>0.24262295081967214</v>
      </c>
      <c r="F29" s="35">
        <f>IF(((F9+B29)*F15/I15-F12)/((F9+B29)*F15/I15)&lt;0,"Gap",((F9+B29)*F15/I15-F12)/((F9+B29)*F15/I15))</f>
        <v>0.5942622950819673</v>
      </c>
      <c r="G29" s="13"/>
      <c r="H29" s="25">
        <f>H28+I24</f>
        <v>600</v>
      </c>
      <c r="I29" s="6" t="s">
        <v>23</v>
      </c>
      <c r="J29" s="34">
        <f>(F9+H29)*G15/I15</f>
        <v>17040</v>
      </c>
      <c r="K29" s="35">
        <f>IF(((F9+H29)*F15/I15-F11)/((F9+H29)*F15/I15)&lt;0,"Gap",((F9+H29)*F15/I15-F11)/((F9+H29)*F15/I15))</f>
        <v>0.3492957746478873</v>
      </c>
      <c r="L29" s="35">
        <f>IF(((F9+H29)*F15/I15-F12)/((F9+H29)*F15/I15)&lt;0,"Gap",((F9+H29)*F15/I15-F12)/((F9+H29)*F15/I15))</f>
        <v>0.6514084507042254</v>
      </c>
      <c r="M29" s="2"/>
    </row>
    <row r="30" spans="1:13" ht="12.75" customHeight="1">
      <c r="A30" s="2"/>
      <c r="B30" s="24">
        <f>B29-C24</f>
        <v>-750</v>
      </c>
      <c r="C30" s="6" t="s">
        <v>23</v>
      </c>
      <c r="D30" s="34">
        <f>(F9+B30)*G15/I15</f>
        <v>14340</v>
      </c>
      <c r="E30" s="35">
        <f>IF(((F9+B30)*F15/I15-F11)/((F9+B30)*F15/I15)&lt;0,"Gap",((F9+B30)*F15/I15-F11)/((F9+B30)*F15/I15))</f>
        <v>0.22677824267782426</v>
      </c>
      <c r="F30" s="35">
        <f>IF(((F9+B30)*F15/I15-F12)/((F9+B30)*F15/I15)&lt;0,"Gap",((F9+B30)*F15/I15-F12)/((F9+B30)*F15/I15))</f>
        <v>0.5857740585774058</v>
      </c>
      <c r="G30" s="13"/>
      <c r="H30" s="25">
        <f>H29+I24</f>
        <v>750</v>
      </c>
      <c r="I30" s="6" t="s">
        <v>23</v>
      </c>
      <c r="J30" s="34">
        <f>(F9+H30)*G15/I15</f>
        <v>17340</v>
      </c>
      <c r="K30" s="35">
        <f>IF(((F9+H30)*F15/I15-F11)/((F9+H30)*F15/I15)&lt;0,"Gap",((F9+H30)*F15/I15-F11)/((F9+H30)*F15/I15))</f>
        <v>0.36055363321799305</v>
      </c>
      <c r="L30" s="35">
        <f>IF(((F9+H30)*F15/I15-F12)/((F9+H30)*F15/I15)&lt;0,"Gap",((F9+H30)*F15/I15-F12)/((F9+H30)*F15/I15))</f>
        <v>0.657439446366782</v>
      </c>
      <c r="M30" s="2"/>
    </row>
    <row r="31" spans="1:13" ht="12.75" customHeight="1">
      <c r="A31" s="2"/>
      <c r="B31" s="24">
        <f>B30-C24</f>
        <v>-900</v>
      </c>
      <c r="C31" s="6" t="s">
        <v>23</v>
      </c>
      <c r="D31" s="34">
        <f>(F9+B31)*G15/I15</f>
        <v>14040</v>
      </c>
      <c r="E31" s="35">
        <f>IF(((F9+B31)*F15/I15-F11)/((F9+B31)*F15/I15)&lt;0,"Gap",((F9+B31)*F15/I15-F11)/((F9+B31)*F15/I15))</f>
        <v>0.21025641025641026</v>
      </c>
      <c r="F31" s="35">
        <f>IF(((F9+B31)*F15/I15-F12)/((F9+B31)*F15/I15)&lt;0,"Gap",((F9+B31)*F15/I15-F12)/((F9+B31)*F15/I15))</f>
        <v>0.5769230769230769</v>
      </c>
      <c r="G31" s="13"/>
      <c r="H31" s="25">
        <f>H30+I24</f>
        <v>900</v>
      </c>
      <c r="I31" s="6" t="s">
        <v>23</v>
      </c>
      <c r="J31" s="34">
        <f>(F9+H31)*G15/I15</f>
        <v>17640</v>
      </c>
      <c r="K31" s="35">
        <f>IF(((F9+H31)*F15/I15-F11)/((F9+H31)*F15/I15)&lt;0,"Gap",((F9+H31)*F15/I15-F11)/((F9+H31)*F15/I15))</f>
        <v>0.37142857142857144</v>
      </c>
      <c r="L31" s="35">
        <f>IF(((F9+H31)*F15/I15-F12)/((F9+H31)*F15/I15)&lt;0,"Gap",((F9+H31)*F15/I15-F12)/((F9+H31)*F15/I15))</f>
        <v>0.6632653061224489</v>
      </c>
      <c r="M31" s="2"/>
    </row>
    <row r="32" spans="1:13" ht="12.75" customHeight="1">
      <c r="A32" s="2"/>
      <c r="B32" s="24">
        <f>B31-C24</f>
        <v>-1050</v>
      </c>
      <c r="C32" s="6" t="s">
        <v>23</v>
      </c>
      <c r="D32" s="34">
        <f>(F9+B32)*G15/I15</f>
        <v>13740</v>
      </c>
      <c r="E32" s="35">
        <f>IF(((F9+B32)*F15/I15-F11)/((F9+B32)*F15/I15)&lt;0,"Gap",((F9+B32)*F15/I15-F11)/((F9+B32)*F15/I15))</f>
        <v>0.1930131004366812</v>
      </c>
      <c r="F32" s="35">
        <f>IF(((F9+B32)*F15/I15-F12)/((F9+B32)*F15/I15)&lt;0,"Gap",((F9+B32)*F15/I15-F12)/((F9+B32)*F15/I15))</f>
        <v>0.5676855895196506</v>
      </c>
      <c r="G32" s="13"/>
      <c r="H32" s="25">
        <f>H31+I24</f>
        <v>1050</v>
      </c>
      <c r="I32" s="6" t="s">
        <v>23</v>
      </c>
      <c r="J32" s="34">
        <f>(F9+H32)*G15/I15</f>
        <v>17940</v>
      </c>
      <c r="K32" s="35">
        <f>IF(((F9+H32)*F15/I15-F11)/((F9+H32)*F15/I15)&lt;0,"Gap",((F9+H32)*F15/I15-F11)/((F9+H32)*F15/I15))</f>
        <v>0.38193979933110367</v>
      </c>
      <c r="L32" s="35">
        <f>IF(((F9+H32)*F15/I15-F12)/((F9+H32)*F15/I15)&lt;0,"Gap",((F9+H32)*F15/I15-F12)/((F9+H32)*F15/I15))</f>
        <v>0.6688963210702341</v>
      </c>
      <c r="M32" s="2"/>
    </row>
    <row r="33" spans="1:13" ht="12.75" customHeight="1">
      <c r="A33" s="2"/>
      <c r="B33" s="24">
        <f>B32-C24</f>
        <v>-1200</v>
      </c>
      <c r="C33" s="6" t="s">
        <v>23</v>
      </c>
      <c r="D33" s="34">
        <f>(F9+B33)*G15/I15</f>
        <v>13440</v>
      </c>
      <c r="E33" s="35">
        <f>IF(((F9+B33)*F15/I15-F11)/((F9+B33)*F15/I15)&lt;0,"Gap",((F9+B33)*F15/I15-F11)/((F9+B33)*F15/I15))</f>
        <v>0.175</v>
      </c>
      <c r="F33" s="35">
        <f>IF(((F9+B33)*F15/I15-F12)/((F9+B33)*F15/I15)&lt;0,"Gap",((F9+B33)*F15/I15-F12)/((F9+B33)*F15/I15))</f>
        <v>0.5580357142857143</v>
      </c>
      <c r="G33" s="13"/>
      <c r="H33" s="25">
        <f>H32+I24</f>
        <v>1200</v>
      </c>
      <c r="I33" s="6" t="s">
        <v>23</v>
      </c>
      <c r="J33" s="34">
        <f>(F9+H33)*G15/I15</f>
        <v>18240</v>
      </c>
      <c r="K33" s="35">
        <f>IF(((F9+H33)*F15/I15-F11)/((F9+H33)*F15/I15)&lt;0,"Gap",((F9+H33)*F15/I15-F11)/((F9+H33)*F15/I15))</f>
        <v>0.39210526315789473</v>
      </c>
      <c r="L33" s="35">
        <f>IF(((F9+H33)*F15/I15-F12)/((F9+H33)*F15/I15)&lt;0,"Gap",((F9+H33)*F15/I15-F12)/((F9+H33)*F15/I15))</f>
        <v>0.6743421052631579</v>
      </c>
      <c r="M33" s="2"/>
    </row>
    <row r="34" spans="1:13" ht="12.75" customHeight="1">
      <c r="A34" s="2"/>
      <c r="B34" s="24">
        <f>B33-C24</f>
        <v>-1350</v>
      </c>
      <c r="C34" s="6" t="s">
        <v>23</v>
      </c>
      <c r="D34" s="34">
        <f>(F9+B34)*G15/I15</f>
        <v>13140</v>
      </c>
      <c r="E34" s="35">
        <f>IF(((F9+B34)*F15/I15-F11)/((F9+B34)*F15/I15)&lt;0,"Gap",((F9+B34)*F15/I15-F11)/((F9+B34)*F15/I15))</f>
        <v>0.15616438356164383</v>
      </c>
      <c r="F34" s="35">
        <f>IF(((F9+B34)*F15/I15-F12)/((F9+B34)*F15/I15)&lt;0,"Gap",((F9+B34)*F15/I15-F12)/((F9+B34)*F15/I15))</f>
        <v>0.547945205479452</v>
      </c>
      <c r="G34" s="13"/>
      <c r="H34" s="25">
        <f>H33+I24</f>
        <v>1350</v>
      </c>
      <c r="I34" s="6" t="s">
        <v>23</v>
      </c>
      <c r="J34" s="34">
        <f>(F9+H34)*G15/I15</f>
        <v>18540</v>
      </c>
      <c r="K34" s="35">
        <f>IF(((F9+H34)*F15/I15-F11)/((F9+H34)*F15/I15)&lt;0,"Gap",((F9+H34)*F15/I15-F11)/((F9+H34)*F15/I15))</f>
        <v>0.40194174757281553</v>
      </c>
      <c r="L34" s="35">
        <f>IF(((F9+H34)*F15/I15-F12)/((F9+H34)*F15/I15)&lt;0,"Gap",((F9+H34)*F15/I15-F12)/((F9+H34)*F15/I15))</f>
        <v>0.6796116504854369</v>
      </c>
      <c r="M34" s="2"/>
    </row>
    <row r="35" spans="1:13" ht="12.75" customHeight="1">
      <c r="A35" s="2"/>
      <c r="B35" s="24">
        <f>B34-C24</f>
        <v>-1500</v>
      </c>
      <c r="C35" s="6" t="s">
        <v>23</v>
      </c>
      <c r="D35" s="34">
        <f>(F9+B35)*G15/I15</f>
        <v>12840</v>
      </c>
      <c r="E35" s="35">
        <f>IF(((F9+B35)*F15/I15-F11)/((F9+B35)*F15/I15)&lt;0,"Gap",((F9+B35)*F15/I15-F11)/((F9+B35)*F15/I15))</f>
        <v>0.13644859813084112</v>
      </c>
      <c r="F35" s="35">
        <f>IF(((F9+B35)*F15/I15-F12)/((F9+B35)*F15/I15)&lt;0,"Gap",((F9+B35)*F15/I15-F12)/((F9+B35)*F15/I15))</f>
        <v>0.5373831775700935</v>
      </c>
      <c r="G35" s="13"/>
      <c r="H35" s="25">
        <f>H34+I24</f>
        <v>1500</v>
      </c>
      <c r="I35" s="6" t="s">
        <v>23</v>
      </c>
      <c r="J35" s="34">
        <f>(F9+H35)*G15/I15</f>
        <v>18840</v>
      </c>
      <c r="K35" s="35">
        <f>IF(((F9+H35)*F15/I15-F11)/((F9+H35)*F15/I15)&lt;0,"Gap",((F9+H35)*F15/I15-F11)/((F9+H35)*F15/I15))</f>
        <v>0.41146496815286626</v>
      </c>
      <c r="L35" s="35">
        <f>IF(((F9+H35)*F15/I15-F12)/((F9+H35)*F15/I15)&lt;0,"Gap",((F9+H35)*F15/I15-F12)/((F9+H35)*F15/I15))</f>
        <v>0.6847133757961783</v>
      </c>
      <c r="M35" s="2"/>
    </row>
    <row r="36" spans="1:13" ht="12.75" customHeight="1">
      <c r="A36" s="2"/>
      <c r="B36" s="24">
        <f>B35-C24</f>
        <v>-1650</v>
      </c>
      <c r="C36" s="6" t="s">
        <v>23</v>
      </c>
      <c r="D36" s="34">
        <f>(F9+B36)*G15/I15</f>
        <v>12540</v>
      </c>
      <c r="E36" s="35">
        <f>IF(((F9+B36)*F15/I15-F11)/((F9+B36)*F15/I15)&lt;0,"Gap",((F9+B36)*F15/I15-F11)/((F9+B36)*F15/I15))</f>
        <v>0.11578947368421053</v>
      </c>
      <c r="F36" s="35">
        <f>IF(((F9+B36)*F15/I15-F12)/((F9+B36)*F15/I15)&lt;0,"Gap",((F9+B36)*F15/I15-F12)/((F9+B36)*F15/I15))</f>
        <v>0.5263157894736842</v>
      </c>
      <c r="G36" s="13"/>
      <c r="H36" s="25">
        <f>H35+I24</f>
        <v>1650</v>
      </c>
      <c r="I36" s="6" t="s">
        <v>23</v>
      </c>
      <c r="J36" s="34">
        <f>(F9+H36)*G15/I15</f>
        <v>19140</v>
      </c>
      <c r="K36" s="35">
        <f>IF(((F9+H36)*F15/I15-F11)/((F9+H36)*F15/I15)&lt;0,"Gap",((F9+H36)*F15/I15-F11)/((F9+H36)*F15/I15))</f>
        <v>0.4206896551724138</v>
      </c>
      <c r="L36" s="35">
        <f>IF(((F9+H36)*F15/I15-F12)/((F9+H36)*F15/I15)&lt;0,"Gap",((F9+H36)*F15/I15-F12)/((F9+H36)*F15/I15))</f>
        <v>0.6896551724137931</v>
      </c>
      <c r="M36" s="2"/>
    </row>
    <row r="37" spans="1:13" ht="12.75" customHeight="1">
      <c r="A37" s="2"/>
      <c r="B37" s="24">
        <f>B36-C24</f>
        <v>-1800</v>
      </c>
      <c r="C37" s="6" t="s">
        <v>23</v>
      </c>
      <c r="D37" s="34">
        <f>(F9+B37)*G15/I15</f>
        <v>12240</v>
      </c>
      <c r="E37" s="35">
        <f>IF(((F9+B37)*F15/I15-F11)/((F9+B37)*F15/I15)&lt;0,"Gap",((F9+B37)*F15/I15-F11)/((F9+B37)*F15/I15))</f>
        <v>0.09411764705882353</v>
      </c>
      <c r="F37" s="35">
        <f>IF(((F9+B37)*F15/I15-F12)/((F9+B37)*F15/I15)&lt;0,"Gap",((F9+B37)*F15/I15-F12)/((F9+B37)*F15/I15))</f>
        <v>0.5147058823529411</v>
      </c>
      <c r="G37" s="13"/>
      <c r="H37" s="25">
        <f>H36+I24</f>
        <v>1800</v>
      </c>
      <c r="I37" s="6" t="s">
        <v>23</v>
      </c>
      <c r="J37" s="34">
        <f>(F9+H37)*G15/I15</f>
        <v>19440</v>
      </c>
      <c r="K37" s="35">
        <f>IF(((F9+H37)*F15/I15-F11)/((F9+H37)*F15/I15)&lt;0,"Gap",((F9+H37)*F15/I15-F11)/((F9+H37)*F15/I15))</f>
        <v>0.42962962962962964</v>
      </c>
      <c r="L37" s="35">
        <f>IF(((F9+H37)*F15/I15-F12)/((F9+H37)*F15/I15)&lt;0,"Gap",((F9+H37)*F15/I15-F12)/((F9+H37)*F15/I15))</f>
        <v>0.6944444444444444</v>
      </c>
      <c r="M37" s="2"/>
    </row>
    <row r="38" spans="1:13" ht="12.75" customHeight="1">
      <c r="A38" s="2"/>
      <c r="B38" s="18"/>
      <c r="C38" s="2"/>
      <c r="D38" s="9">
        <v>13000</v>
      </c>
      <c r="E38" s="2"/>
      <c r="F38" s="2"/>
      <c r="G38" s="13"/>
      <c r="H38" s="25">
        <f>H37+I24</f>
        <v>1950</v>
      </c>
      <c r="I38" s="6" t="s">
        <v>23</v>
      </c>
      <c r="J38" s="34">
        <f>(F9+H38)*G15/I15</f>
        <v>19740</v>
      </c>
      <c r="K38" s="35">
        <f>IF(((F9+H38)*F15/I15-F11)/((F9+H38)*F15/I15)&lt;0,"Gap",((F9+H38)*F15/I15-F11)/((F9+H38)*F15/I15))</f>
        <v>0.43829787234042555</v>
      </c>
      <c r="L38" s="35">
        <f>IF(((F9+H38)*F15/I15-F12)/((F9+H38)*F15/I15)&lt;0,"Gap",((F9+H38)*F15/I15-F12)/((F9+H38)*F15/I15))</f>
        <v>0.6990881458966566</v>
      </c>
      <c r="M38" s="2"/>
    </row>
    <row r="39" spans="1:13" ht="12.75" customHeight="1">
      <c r="A39" s="2"/>
      <c r="B39" s="24">
        <f>IF(B40&gt;0,IF(B40&gt;1,IF(D38&lt;800,800*I15/G15-F9,IF(D38&lt;90000,D38*I15/G15-F9,90000*I15/G15-F9)),F12/(1-K14)*I15/F15-F9),F11/(1-K12)*I15/F15-F9)</f>
        <v>-1397.6470588235288</v>
      </c>
      <c r="C39" s="6" t="s">
        <v>23</v>
      </c>
      <c r="D39" s="34">
        <f>(F9+B39)*G15/I15</f>
        <v>13044.705882352942</v>
      </c>
      <c r="E39" s="35">
        <f>IF(((F9+B39)*F15/I15-F11)/((F9+B39)*F15/I15)&lt;0,"Gap",((F9+B39)*F15/I15-F11)/((F9+B39)*F15/I15))</f>
        <v>0.15000000000000005</v>
      </c>
      <c r="F39" s="35">
        <f>IF(((F9+B39)*F15/I15-F12)/((F9+B39)*F15/I15)&lt;0,"Gap",((F9+B39)*F15/I15-F12)/((F9+B39)*F15/I15))</f>
        <v>0.5446428571428572</v>
      </c>
      <c r="G39" s="13"/>
      <c r="H39" s="25">
        <f>H38+I24</f>
        <v>2100</v>
      </c>
      <c r="I39" s="6" t="s">
        <v>23</v>
      </c>
      <c r="J39" s="34">
        <f>(F9+H39)*G15/I15</f>
        <v>20040</v>
      </c>
      <c r="K39" s="35">
        <f>IF(((F9+H39)*F15/I15-F11)/((F9+H39)*F15/I15)&lt;0,"Gap",((F9+H39)*F15/I15-F11)/((F9+H39)*F15/I15))</f>
        <v>0.4467065868263473</v>
      </c>
      <c r="L39" s="35">
        <f>IF(((F9+H39)*F15/I15-F12)/((F9+H39)*F15/I15)&lt;0,"Gap",((F9+H39)*F15/I15-F12)/((F9+H39)*F15/I15))</f>
        <v>0.7035928143712575</v>
      </c>
      <c r="M39" s="2"/>
    </row>
    <row r="40" spans="1:13" ht="12.75" customHeight="1">
      <c r="A40" s="2"/>
      <c r="B40" s="9">
        <v>0</v>
      </c>
      <c r="C40" s="2"/>
      <c r="D40" s="2"/>
      <c r="E40" s="2"/>
      <c r="F40" s="2"/>
      <c r="G40" s="13"/>
      <c r="H40" s="25">
        <f>H39+I24</f>
        <v>2250</v>
      </c>
      <c r="I40" s="6" t="s">
        <v>23</v>
      </c>
      <c r="J40" s="34">
        <f>(F9+H40)*G15/I15</f>
        <v>20340</v>
      </c>
      <c r="K40" s="35">
        <f>IF(((F9+H40)*F15/I15-F11)/((F9+H40)*F15/I15)&lt;0,"Gap",((F9+H40)*F15/I15-F11)/((F9+H40)*F15/I15))</f>
        <v>0.45486725663716815</v>
      </c>
      <c r="L40" s="35">
        <f>IF(((F9+H40)*F15/I15-F12)/((F9+H40)*F15/I15)&lt;0,"Gap",((F9+H40)*F15/I15-F12)/((F9+H40)*F15/I15))</f>
        <v>0.7079646017699115</v>
      </c>
      <c r="M40" s="2"/>
    </row>
    <row r="41" spans="1:13" ht="12.75" customHeight="1">
      <c r="A41" s="2"/>
      <c r="B41" s="2"/>
      <c r="C41" s="2"/>
      <c r="D41" s="2"/>
      <c r="E41" s="2"/>
      <c r="F41" s="2"/>
      <c r="G41" s="13"/>
      <c r="H41" s="25">
        <f>H40+I24</f>
        <v>2400</v>
      </c>
      <c r="I41" s="6" t="s">
        <v>23</v>
      </c>
      <c r="J41" s="34">
        <f>(F9+H41)*G15/I15</f>
        <v>20640</v>
      </c>
      <c r="K41" s="35">
        <f>IF(((F9+H41)*F15/I15-F11)/((F9+H41)*F15/I15)&lt;0,"Gap",((F9+H41)*F15/I15-F11)/((F9+H41)*F15/I15))</f>
        <v>0.4627906976744186</v>
      </c>
      <c r="L41" s="35">
        <f>IF(((F9+H41)*F15/I15-F12)/((F9+H41)*F15/I15)&lt;0,"Gap",((F9+H41)*F15/I15-F12)/((F9+H41)*F15/I15))</f>
        <v>0.7122093023255814</v>
      </c>
      <c r="M41" s="2"/>
    </row>
    <row r="42" spans="1:13" ht="12.75" customHeight="1">
      <c r="A42" s="2"/>
      <c r="B42" s="2"/>
      <c r="C42" s="2"/>
      <c r="D42" s="2"/>
      <c r="E42" s="2"/>
      <c r="F42" s="2"/>
      <c r="G42" s="13"/>
      <c r="H42" s="25">
        <f>H41+I24</f>
        <v>2550</v>
      </c>
      <c r="I42" s="6" t="s">
        <v>23</v>
      </c>
      <c r="J42" s="34">
        <f>(F9+H42)*G15/I15</f>
        <v>20940</v>
      </c>
      <c r="K42" s="35">
        <f>IF(((F9+H42)*F15/I15-F11)/((F9+H42)*F15/I15)&lt;0,"Gap",((F9+H42)*F15/I15-F11)/((F9+H42)*F15/I15))</f>
        <v>0.47048710601719196</v>
      </c>
      <c r="L42" s="35">
        <f>IF(((F9+H42)*F15/I15-F12)/((F9+H42)*F15/I15)&lt;0,"Gap",((F9+H42)*F15/I15-F12)/((F9+H42)*F15/I15))</f>
        <v>0.7163323782234957</v>
      </c>
      <c r="M42" s="2"/>
    </row>
    <row r="43" spans="1:13" ht="12.75" customHeight="1">
      <c r="A43" s="2"/>
      <c r="B43" s="2"/>
      <c r="C43" s="41" t="s">
        <v>31</v>
      </c>
      <c r="D43" s="2"/>
      <c r="E43" s="2"/>
      <c r="F43" s="2"/>
      <c r="G43" s="13"/>
      <c r="H43" s="25">
        <f>H42+I24</f>
        <v>2700</v>
      </c>
      <c r="I43" s="6" t="s">
        <v>23</v>
      </c>
      <c r="J43" s="34">
        <f>(F9+H43)*G15/I15</f>
        <v>21240</v>
      </c>
      <c r="K43" s="35">
        <f>IF(((F9+H43)*F15/I15-F11)/((F9+H43)*F15/I15)&lt;0,"Gap",((F9+H43)*F15/I15-F11)/((F9+H43)*F15/I15))</f>
        <v>0.47796610169491527</v>
      </c>
      <c r="L43" s="35">
        <f>IF(((F9+H43)*F15/I15-F12)/((F9+H43)*F15/I15)&lt;0,"Gap",((F9+H43)*F15/I15-F12)/((F9+H43)*F15/I15))</f>
        <v>0.7203389830508474</v>
      </c>
      <c r="M43" s="2"/>
    </row>
    <row r="44" spans="1:13" ht="13.5" customHeight="1">
      <c r="A44" s="2"/>
      <c r="B44" s="2"/>
      <c r="C44" s="2"/>
      <c r="D44" s="39" t="s">
        <v>30</v>
      </c>
      <c r="E44" s="40">
        <f>ROUND(H45,0)-ROUND(B39,0)</f>
        <v>3558</v>
      </c>
      <c r="F44" s="27" t="str">
        <f>G9</f>
        <v>Feet</v>
      </c>
      <c r="G44" s="13"/>
      <c r="H44" s="19"/>
      <c r="I44" s="2"/>
      <c r="J44" s="9">
        <v>20000</v>
      </c>
      <c r="K44" s="2"/>
      <c r="L44" s="2"/>
      <c r="M44" s="2"/>
    </row>
    <row r="45" spans="1:13" ht="12.75" customHeight="1">
      <c r="A45" s="2"/>
      <c r="B45" s="2"/>
      <c r="C45" s="2"/>
      <c r="D45" s="2"/>
      <c r="E45" s="2"/>
      <c r="F45" s="2"/>
      <c r="G45" s="13"/>
      <c r="H45" s="25">
        <f>IF(H46&gt;0,IF(H46&gt;1,IF(J44&lt;1200,1200*I15/G15-F9,IF(J44&lt;140000,J44*I15/G15-F9,140000*I15/G15-F9)),F12/(1-L14)*I15/F15-F9),F11/(1-L12)*I15/F15-F9)</f>
        <v>2159.999999999998</v>
      </c>
      <c r="I45" s="6" t="s">
        <v>23</v>
      </c>
      <c r="J45" s="34">
        <f>(F9+H45)*G15/I15</f>
        <v>20159.999999999996</v>
      </c>
      <c r="K45" s="35">
        <f>IF(((F9+H45)*F15/I15-F11)/((F9+H45)*F15/I15)&lt;0,"Gap",((F9+H45)*F15/I15-F11)/((F9+H45)*F15/I15))</f>
        <v>0.44999999999999996</v>
      </c>
      <c r="L45" s="35">
        <f>IF(((F9+H45)*F15/I15-F12)/((F9+H45)*F15/I15)&lt;0,"Gap",((F9+H45)*F15/I15-F12)/((F9+H45)*F15/I15))</f>
        <v>0.7053571428571428</v>
      </c>
      <c r="M45" s="2"/>
    </row>
    <row r="46" spans="1:13" ht="12.75" customHeight="1">
      <c r="A46" s="2"/>
      <c r="B46" s="2"/>
      <c r="C46" s="2"/>
      <c r="D46" s="2"/>
      <c r="E46" s="2"/>
      <c r="F46" s="2"/>
      <c r="G46" s="2"/>
      <c r="H46" s="9">
        <v>0</v>
      </c>
      <c r="I46" s="2"/>
      <c r="J46" s="2"/>
      <c r="K46" s="2"/>
      <c r="L46" s="2"/>
      <c r="M46" s="2"/>
    </row>
    <row r="47" spans="1:13" ht="13.5" customHeight="1">
      <c r="A47" s="2"/>
      <c r="B47" s="2"/>
      <c r="C47" s="2"/>
      <c r="D47" s="16" t="s">
        <v>24</v>
      </c>
      <c r="E47" s="2"/>
      <c r="F47" s="2"/>
      <c r="G47" s="2"/>
      <c r="H47" s="2"/>
      <c r="I47" s="2"/>
      <c r="J47" s="2"/>
      <c r="K47" s="2"/>
      <c r="L47" s="2"/>
      <c r="M47" s="2"/>
    </row>
    <row r="48" spans="1:13" ht="13.5" customHeight="1">
      <c r="A48" s="2"/>
      <c r="B48" s="2"/>
      <c r="C48" s="2"/>
      <c r="D48" s="2"/>
      <c r="E48" s="27" t="str">
        <f>"Footprint = ( "&amp;FIXED(F9,1,FALSE)&amp;" + [Datum]) / "&amp;FIXED(I15,2,TRUE)&amp;" x "&amp;FIXED(F15,2,TRUE)</f>
        <v>Footprint = ( 7,920.0 + [Datum]) / 6.00 x 9.00</v>
      </c>
      <c r="F48" s="2"/>
      <c r="G48" s="2"/>
      <c r="H48" s="2"/>
      <c r="I48" s="2"/>
      <c r="J48" s="2"/>
      <c r="K48" s="2"/>
      <c r="L48" s="2"/>
      <c r="M48" s="2"/>
    </row>
    <row r="49" spans="1:13" ht="13.5" customHeight="1">
      <c r="A49" s="2"/>
      <c r="B49" s="2"/>
      <c r="C49" s="2"/>
      <c r="D49" s="2"/>
      <c r="E49" s="27" t="str">
        <f>"  Sidelap = ([Footprint] - "&amp;FIXED(F11,1,FALSE)&amp;" ) / [Footprint] x 100"</f>
        <v>  Sidelap = ([Footprint] - 8,316.0 ) / [Footprint] x 100</v>
      </c>
      <c r="F49" s="2"/>
      <c r="G49" s="2"/>
      <c r="H49" s="2"/>
      <c r="I49" s="2"/>
      <c r="J49" s="2"/>
      <c r="K49" s="2"/>
      <c r="L49" s="2"/>
      <c r="M49" s="2"/>
    </row>
    <row r="50" spans="1:13" ht="13.5" customHeight="1">
      <c r="A50" s="2"/>
      <c r="B50" s="2"/>
      <c r="C50" s="2"/>
      <c r="D50" s="2"/>
      <c r="E50" s="27" t="str">
        <f>"   Endlap = ([Footprint] - "&amp;FIXED(F12,1,FALSE)&amp;" ) / [Footprint] x 100"</f>
        <v>   Endlap = ([Footprint] - 4,455.0 ) / [Footprint] x 100</v>
      </c>
      <c r="F50" s="2"/>
      <c r="G50" s="2"/>
      <c r="H50" s="2"/>
      <c r="I50" s="2"/>
      <c r="J50" s="2"/>
      <c r="K50" s="2"/>
      <c r="L50" s="2"/>
      <c r="M50" s="2"/>
    </row>
    <row r="51" spans="1:13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3.5" customHeight="1">
      <c r="A52" s="2"/>
      <c r="B52" s="2"/>
      <c r="C52" s="2"/>
      <c r="D52" s="2"/>
      <c r="E52" s="2"/>
      <c r="F52" s="2" t="str">
        <f>"Meters to Feet = [Value] x 3.2808"</f>
        <v>Meters to Feet = [Value] x 3.2808</v>
      </c>
      <c r="G52" s="2"/>
      <c r="H52" s="2"/>
      <c r="I52" s="2"/>
      <c r="J52" s="2"/>
      <c r="K52" s="2"/>
      <c r="L52" s="2"/>
      <c r="M52" s="2"/>
    </row>
    <row r="53" spans="1:13" ht="13.5" customHeight="1">
      <c r="A53" s="2"/>
      <c r="B53" s="2"/>
      <c r="C53" s="2"/>
      <c r="D53" s="2"/>
      <c r="E53" s="2"/>
      <c r="F53" s="2" t="str">
        <f>"Feet to Meters = [Value] x 0.3048"</f>
        <v>Feet to Meters = [Value] x 0.3048</v>
      </c>
      <c r="G53" s="2"/>
      <c r="H53" s="2"/>
      <c r="I53" s="2"/>
      <c r="J53" s="2"/>
      <c r="K53" s="2"/>
      <c r="L53" s="2"/>
      <c r="M53" s="2"/>
    </row>
    <row r="54" spans="1:13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</sheetData>
  <sheetProtection password="CB68" sheet="1" objects="1" scenarios="1"/>
  <mergeCells count="2">
    <mergeCell ref="C2:J2"/>
    <mergeCell ref="G9:H9"/>
  </mergeCells>
  <conditionalFormatting sqref="F39">
    <cfRule type="expression" priority="1" dxfId="0" stopIfTrue="1">
      <formula>OR(ROUND(F39,3)&lt;K14,ROUND(F39,3)&gt;L14)</formula>
    </cfRule>
  </conditionalFormatting>
  <conditionalFormatting sqref="F25">
    <cfRule type="expression" priority="2" dxfId="0" stopIfTrue="1">
      <formula>OR(ROUND(F25,3)&lt;K14,ROUND(F25,3)&gt;L14)</formula>
    </cfRule>
  </conditionalFormatting>
  <conditionalFormatting sqref="F26">
    <cfRule type="expression" priority="3" dxfId="0" stopIfTrue="1">
      <formula>OR(ROUND(F26,3)&lt;K14,ROUND(F26,3)&gt;L14)</formula>
    </cfRule>
  </conditionalFormatting>
  <conditionalFormatting sqref="F27">
    <cfRule type="expression" priority="4" dxfId="0" stopIfTrue="1">
      <formula>OR(ROUND(F27,3)&lt;K14,ROUND(F27,3)&gt;L14)</formula>
    </cfRule>
  </conditionalFormatting>
  <conditionalFormatting sqref="F28">
    <cfRule type="expression" priority="5" dxfId="0" stopIfTrue="1">
      <formula>OR(ROUND(F28,3)&lt;K14,ROUND(F28,3)&gt;L14)</formula>
    </cfRule>
  </conditionalFormatting>
  <conditionalFormatting sqref="F29">
    <cfRule type="expression" priority="6" dxfId="0" stopIfTrue="1">
      <formula>OR(ROUND(F29,3)&lt;K14,ROUND(F29,3)&gt;L14)</formula>
    </cfRule>
  </conditionalFormatting>
  <conditionalFormatting sqref="F30">
    <cfRule type="expression" priority="7" dxfId="0" stopIfTrue="1">
      <formula>OR(ROUND(F30,3)&lt;K14,ROUND(F30,3)&gt;L14)</formula>
    </cfRule>
  </conditionalFormatting>
  <conditionalFormatting sqref="F31">
    <cfRule type="expression" priority="8" dxfId="0" stopIfTrue="1">
      <formula>OR(ROUND(F31,3)&lt;K14,ROUND(F31,3)&gt;L14)</formula>
    </cfRule>
  </conditionalFormatting>
  <conditionalFormatting sqref="F32">
    <cfRule type="expression" priority="9" dxfId="0" stopIfTrue="1">
      <formula>OR(ROUND(F32,3)&lt;K14,ROUND(F32,3)&gt;L14)</formula>
    </cfRule>
  </conditionalFormatting>
  <conditionalFormatting sqref="F33">
    <cfRule type="expression" priority="10" dxfId="0" stopIfTrue="1">
      <formula>OR(ROUND(F33,3)&lt;K14,ROUND(F33,3)&gt;L14)</formula>
    </cfRule>
  </conditionalFormatting>
  <conditionalFormatting sqref="F34">
    <cfRule type="expression" priority="11" dxfId="0" stopIfTrue="1">
      <formula>OR(ROUND(F34,3)&lt;K14,ROUND(F34,3)&gt;L14)</formula>
    </cfRule>
  </conditionalFormatting>
  <conditionalFormatting sqref="F35">
    <cfRule type="expression" priority="12" dxfId="0" stopIfTrue="1">
      <formula>OR(ROUND(F35,3)&lt;K14,ROUND(F35,3)&gt;L14)</formula>
    </cfRule>
  </conditionalFormatting>
  <conditionalFormatting sqref="F36">
    <cfRule type="expression" priority="13" dxfId="0" stopIfTrue="1">
      <formula>OR(ROUND(F36,3)&lt;K14,ROUND(F36,3)&gt;L14)</formula>
    </cfRule>
  </conditionalFormatting>
  <conditionalFormatting sqref="F37">
    <cfRule type="expression" priority="14" dxfId="0" stopIfTrue="1">
      <formula>OR(ROUND(F37,3)&lt;K14,ROUND(F37,3)&gt;L14)</formula>
    </cfRule>
  </conditionalFormatting>
  <conditionalFormatting sqref="L25">
    <cfRule type="expression" priority="15" dxfId="0" stopIfTrue="1">
      <formula>OR(ROUND(L25,3)&lt;K14,ROUND(L25,3)&gt;L14)</formula>
    </cfRule>
  </conditionalFormatting>
  <conditionalFormatting sqref="L26">
    <cfRule type="expression" priority="16" dxfId="0" stopIfTrue="1">
      <formula>OR(ROUND(L26,3)&lt;K14,ROUND(L26,3)&gt;L14)</formula>
    </cfRule>
  </conditionalFormatting>
  <conditionalFormatting sqref="L27">
    <cfRule type="expression" priority="17" dxfId="0" stopIfTrue="1">
      <formula>OR(ROUND(L27,3)&lt;K14,ROUND(L27,3)&gt;L14)</formula>
    </cfRule>
  </conditionalFormatting>
  <conditionalFormatting sqref="L28">
    <cfRule type="expression" priority="18" dxfId="0" stopIfTrue="1">
      <formula>OR(ROUND(L28,3)&lt;K14,ROUND(L28,3)&gt;L14)</formula>
    </cfRule>
  </conditionalFormatting>
  <conditionalFormatting sqref="L29">
    <cfRule type="expression" priority="19" dxfId="0" stopIfTrue="1">
      <formula>OR(ROUND(L29,3)&lt;K14,ROUND(L29,3)&gt;L14)</formula>
    </cfRule>
  </conditionalFormatting>
  <conditionalFormatting sqref="L30">
    <cfRule type="expression" priority="20" dxfId="0" stopIfTrue="1">
      <formula>OR(ROUND(L30,3)&lt;K14,ROUND(L30,3)&gt;L14)</formula>
    </cfRule>
  </conditionalFormatting>
  <conditionalFormatting sqref="L31">
    <cfRule type="expression" priority="21" dxfId="0" stopIfTrue="1">
      <formula>OR(ROUND(L31,3)&lt;K14,ROUND(L31,3)&gt;L14)</formula>
    </cfRule>
  </conditionalFormatting>
  <conditionalFormatting sqref="L32">
    <cfRule type="expression" priority="22" dxfId="0" stopIfTrue="1">
      <formula>OR(ROUND(L32,3)&lt;K14,ROUND(L32,3)&gt;L14)</formula>
    </cfRule>
  </conditionalFormatting>
  <conditionalFormatting sqref="L33">
    <cfRule type="expression" priority="23" dxfId="0" stopIfTrue="1">
      <formula>OR(ROUND(L33,3)&lt;K14,ROUND(L33,3)&gt;L14)</formula>
    </cfRule>
  </conditionalFormatting>
  <conditionalFormatting sqref="L34">
    <cfRule type="expression" priority="24" dxfId="0" stopIfTrue="1">
      <formula>OR(ROUND(L34,3)&lt;K14,ROUND(L34,3)&gt;L14)</formula>
    </cfRule>
  </conditionalFormatting>
  <conditionalFormatting sqref="L35">
    <cfRule type="expression" priority="25" dxfId="0" stopIfTrue="1">
      <formula>OR(ROUND(L35,3)&lt;K14,ROUND(L35,3)&gt;L14)</formula>
    </cfRule>
  </conditionalFormatting>
  <conditionalFormatting sqref="L36">
    <cfRule type="expression" priority="26" dxfId="0" stopIfTrue="1">
      <formula>OR(ROUND(L36,3)&lt;K14,ROUND(L36,3)&gt;L14)</formula>
    </cfRule>
  </conditionalFormatting>
  <conditionalFormatting sqref="L37">
    <cfRule type="expression" priority="27" dxfId="0" stopIfTrue="1">
      <formula>OR(ROUND(L37,3)&lt;K14,ROUND(L37,3)&gt;L14)</formula>
    </cfRule>
  </conditionalFormatting>
  <conditionalFormatting sqref="L38">
    <cfRule type="expression" priority="28" dxfId="0" stopIfTrue="1">
      <formula>OR(ROUND(L38,3)&lt;K14,ROUND(L38,3)&gt;L14)</formula>
    </cfRule>
  </conditionalFormatting>
  <conditionalFormatting sqref="L39">
    <cfRule type="expression" priority="29" dxfId="0" stopIfTrue="1">
      <formula>OR(ROUND(L39,3)&lt;K14,ROUND(L39,3)&gt;L14)</formula>
    </cfRule>
  </conditionalFormatting>
  <conditionalFormatting sqref="L40">
    <cfRule type="expression" priority="30" dxfId="0" stopIfTrue="1">
      <formula>OR(ROUND(L40,3)&lt;K14,ROUND(L40,3)&gt;L14)</formula>
    </cfRule>
  </conditionalFormatting>
  <conditionalFormatting sqref="L41">
    <cfRule type="expression" priority="31" dxfId="0" stopIfTrue="1">
      <formula>OR(ROUND(L41,3)&lt;K14,ROUND(L41,3)&gt;L14)</formula>
    </cfRule>
  </conditionalFormatting>
  <conditionalFormatting sqref="L42">
    <cfRule type="expression" priority="32" dxfId="0" stopIfTrue="1">
      <formula>OR(ROUND(L42,3)&lt;K14,ROUND(L42,3)&gt;L14)</formula>
    </cfRule>
  </conditionalFormatting>
  <conditionalFormatting sqref="L43">
    <cfRule type="expression" priority="33" dxfId="0" stopIfTrue="1">
      <formula>OR(ROUND(L43,3)&lt;K14,ROUND(L43,3)&gt;L14)</formula>
    </cfRule>
  </conditionalFormatting>
  <conditionalFormatting sqref="L45">
    <cfRule type="expression" priority="34" dxfId="0" stopIfTrue="1">
      <formula>OR(ROUND(L45,3)&lt;K14,ROUND(L45,3)&gt;L14)</formula>
    </cfRule>
  </conditionalFormatting>
  <conditionalFormatting sqref="E25">
    <cfRule type="expression" priority="35" dxfId="0" stopIfTrue="1">
      <formula>OR(ROUND(E25,3)&lt;K12,ROUND(E25,3)&gt;L12)</formula>
    </cfRule>
  </conditionalFormatting>
  <conditionalFormatting sqref="E26">
    <cfRule type="expression" priority="36" dxfId="0" stopIfTrue="1">
      <formula>OR(ROUND(E26,3)&lt;K12,ROUND(E26,3)&gt;L12)</formula>
    </cfRule>
  </conditionalFormatting>
  <conditionalFormatting sqref="E27">
    <cfRule type="expression" priority="37" dxfId="0" stopIfTrue="1">
      <formula>OR(ROUND(E27,3)&lt;K12,ROUND(E27,3)&gt;L12)</formula>
    </cfRule>
  </conditionalFormatting>
  <conditionalFormatting sqref="E28">
    <cfRule type="expression" priority="38" dxfId="0" stopIfTrue="1">
      <formula>OR(ROUND(E28,3)&lt;K12,ROUND(E28,3)&gt;L12)</formula>
    </cfRule>
  </conditionalFormatting>
  <conditionalFormatting sqref="E29">
    <cfRule type="expression" priority="39" dxfId="0" stopIfTrue="1">
      <formula>OR(ROUND(E29,3)&lt;K12,ROUND(E29,3)&gt;L12)</formula>
    </cfRule>
  </conditionalFormatting>
  <conditionalFormatting sqref="E30">
    <cfRule type="expression" priority="40" dxfId="0" stopIfTrue="1">
      <formula>OR(ROUND(E30,3)&lt;K12,ROUND(E30,3)&gt;L12)</formula>
    </cfRule>
  </conditionalFormatting>
  <conditionalFormatting sqref="E31">
    <cfRule type="expression" priority="41" dxfId="0" stopIfTrue="1">
      <formula>OR(ROUND(E31,3)&lt;K12,ROUND(E31,3)&gt;L12)</formula>
    </cfRule>
  </conditionalFormatting>
  <conditionalFormatting sqref="E32">
    <cfRule type="expression" priority="42" dxfId="0" stopIfTrue="1">
      <formula>OR(ROUND(E32,3)&lt;K12,ROUND(E32,3)&gt;L12)</formula>
    </cfRule>
  </conditionalFormatting>
  <conditionalFormatting sqref="E33">
    <cfRule type="expression" priority="43" dxfId="0" stopIfTrue="1">
      <formula>OR(ROUND(E33,3)&lt;K12,ROUND(E33,3)&gt;L12)</formula>
    </cfRule>
  </conditionalFormatting>
  <conditionalFormatting sqref="E34">
    <cfRule type="expression" priority="44" dxfId="0" stopIfTrue="1">
      <formula>OR(ROUND(E34,3)&lt;K12,ROUND(E34,3)&gt;L12)</formula>
    </cfRule>
  </conditionalFormatting>
  <conditionalFormatting sqref="E35">
    <cfRule type="expression" priority="45" dxfId="0" stopIfTrue="1">
      <formula>OR(ROUND(E35,3)&lt;K12,ROUND(E35,3)&gt;L12)</formula>
    </cfRule>
  </conditionalFormatting>
  <conditionalFormatting sqref="E36">
    <cfRule type="expression" priority="46" dxfId="0" stopIfTrue="1">
      <formula>OR(ROUND(E36,3)&lt;K12,ROUND(E36,3)&gt;L12)</formula>
    </cfRule>
  </conditionalFormatting>
  <conditionalFormatting sqref="E37">
    <cfRule type="expression" priority="47" dxfId="0" stopIfTrue="1">
      <formula>OR(ROUND(E37,3)&lt;K12,ROUND(E37,3)&gt;L12)</formula>
    </cfRule>
  </conditionalFormatting>
  <conditionalFormatting sqref="E39">
    <cfRule type="expression" priority="48" dxfId="0" stopIfTrue="1">
      <formula>OR(ROUND(E39,3)&lt;K12,ROUND(E39,3)&gt;L12)</formula>
    </cfRule>
  </conditionalFormatting>
  <conditionalFormatting sqref="K25">
    <cfRule type="expression" priority="49" dxfId="0" stopIfTrue="1">
      <formula>OR(ROUND(K25,3)&lt;K12,ROUND(K25,3)&gt;L12)</formula>
    </cfRule>
  </conditionalFormatting>
  <conditionalFormatting sqref="K26">
    <cfRule type="expression" priority="50" dxfId="0" stopIfTrue="1">
      <formula>OR(ROUND(K26,3)&lt;K12,ROUND(K26,3)&gt;L12)</formula>
    </cfRule>
  </conditionalFormatting>
  <conditionalFormatting sqref="K27">
    <cfRule type="expression" priority="51" dxfId="0" stopIfTrue="1">
      <formula>OR(ROUND(K27,3)&lt;K12,ROUND(K27,3)&gt;L12)</formula>
    </cfRule>
  </conditionalFormatting>
  <conditionalFormatting sqref="K28">
    <cfRule type="expression" priority="52" dxfId="0" stopIfTrue="1">
      <formula>OR(ROUND(K28,3)&lt;K12,ROUND(K28,3)&gt;L12)</formula>
    </cfRule>
  </conditionalFormatting>
  <conditionalFormatting sqref="K29">
    <cfRule type="expression" priority="53" dxfId="0" stopIfTrue="1">
      <formula>OR(ROUND(K29,3)&lt;K12,ROUND(K29,3)&gt;L12)</formula>
    </cfRule>
  </conditionalFormatting>
  <conditionalFormatting sqref="K30">
    <cfRule type="expression" priority="54" dxfId="0" stopIfTrue="1">
      <formula>OR(ROUND(K30,3)&lt;K12,ROUND(K30,3)&gt;L12)</formula>
    </cfRule>
  </conditionalFormatting>
  <conditionalFormatting sqref="K31">
    <cfRule type="expression" priority="55" dxfId="0" stopIfTrue="1">
      <formula>OR(ROUND(K31,3)&lt;K12,ROUND(K31,3)&gt;L12)</formula>
    </cfRule>
  </conditionalFormatting>
  <conditionalFormatting sqref="K32">
    <cfRule type="expression" priority="56" dxfId="0" stopIfTrue="1">
      <formula>OR(ROUND(K32,3)&lt;K12,ROUND(K32,3)&gt;L12)</formula>
    </cfRule>
  </conditionalFormatting>
  <conditionalFormatting sqref="K33">
    <cfRule type="expression" priority="57" dxfId="0" stopIfTrue="1">
      <formula>OR(ROUND(K33,3)&lt;K12,ROUND(K33,3)&gt;L12)</formula>
    </cfRule>
  </conditionalFormatting>
  <conditionalFormatting sqref="K34">
    <cfRule type="expression" priority="58" dxfId="0" stopIfTrue="1">
      <formula>OR(ROUND(K34,3)&lt;K12,ROUND(K34,3)&gt;L12)</formula>
    </cfRule>
  </conditionalFormatting>
  <conditionalFormatting sqref="K35">
    <cfRule type="expression" priority="59" dxfId="0" stopIfTrue="1">
      <formula>OR(ROUND(K35,3)&lt;K12,ROUND(K35,3)&gt;L12)</formula>
    </cfRule>
  </conditionalFormatting>
  <conditionalFormatting sqref="K36">
    <cfRule type="expression" priority="60" dxfId="0" stopIfTrue="1">
      <formula>OR(ROUND(K36,3)&lt;K12,ROUND(K36,3)&gt;L12)</formula>
    </cfRule>
  </conditionalFormatting>
  <conditionalFormatting sqref="K37">
    <cfRule type="expression" priority="61" dxfId="0" stopIfTrue="1">
      <formula>OR(ROUND(K37,3)&lt;K12,ROUND(K37,3)&gt;L12)</formula>
    </cfRule>
  </conditionalFormatting>
  <conditionalFormatting sqref="K38">
    <cfRule type="expression" priority="62" dxfId="0" stopIfTrue="1">
      <formula>OR(ROUND(K38,3)&lt;K12,ROUND(K38,3)&gt;L12)</formula>
    </cfRule>
  </conditionalFormatting>
  <conditionalFormatting sqref="K39">
    <cfRule type="expression" priority="63" dxfId="0" stopIfTrue="1">
      <formula>OR(ROUND(K39,3)&lt;K12,ROUND(K39,3)&gt;L12)</formula>
    </cfRule>
  </conditionalFormatting>
  <conditionalFormatting sqref="K40">
    <cfRule type="expression" priority="64" dxfId="0" stopIfTrue="1">
      <formula>OR(ROUND(K40,3)&lt;K12,ROUND(K40,3)&gt;L12)</formula>
    </cfRule>
  </conditionalFormatting>
  <conditionalFormatting sqref="K41">
    <cfRule type="expression" priority="65" dxfId="0" stopIfTrue="1">
      <formula>OR(ROUND(K41,3)&lt;K12,ROUND(K41,3)&gt;L12)</formula>
    </cfRule>
  </conditionalFormatting>
  <conditionalFormatting sqref="K42">
    <cfRule type="expression" priority="66" dxfId="0" stopIfTrue="1">
      <formula>OR(ROUND(K42,3)&lt;K12,ROUND(K42,3)&gt;L12)</formula>
    </cfRule>
  </conditionalFormatting>
  <conditionalFormatting sqref="K43">
    <cfRule type="expression" priority="67" dxfId="0" stopIfTrue="1">
      <formula>OR(ROUND(K43,3)&lt;K12,ROUND(K43,3)&gt;L12)</formula>
    </cfRule>
  </conditionalFormatting>
  <conditionalFormatting sqref="K45">
    <cfRule type="expression" priority="68" dxfId="0" stopIfTrue="1">
      <formula>OR(ROUND(K45,3)&lt;K12,ROUND(K45,3)&gt;L12)</formula>
    </cfRule>
  </conditionalFormatting>
  <conditionalFormatting sqref="J12">
    <cfRule type="expression" priority="69" dxfId="0" stopIfTrue="1">
      <formula>OR(ROUND(J12,3)&lt;K12,ROUND(J12,3)&gt;L12)</formula>
    </cfRule>
  </conditionalFormatting>
  <conditionalFormatting sqref="J11">
    <cfRule type="expression" priority="70" dxfId="0" stopIfTrue="1">
      <formula>OR(ROUND(J12,3)&lt;K12,ROUND(J12,3)&gt;L12)</formula>
    </cfRule>
  </conditionalFormatting>
  <conditionalFormatting sqref="J14">
    <cfRule type="expression" priority="71" dxfId="0" stopIfTrue="1">
      <formula>OR(ROUND(J14,3)&lt;K14,ROUND(J14,3)&gt;L14)</formula>
    </cfRule>
  </conditionalFormatting>
  <conditionalFormatting sqref="J13">
    <cfRule type="expression" priority="72" dxfId="0" stopIfTrue="1">
      <formula>OR(ROUND(J14,3)&lt;K14,ROUND(J14,3)&gt;L14)</formula>
    </cfRule>
  </conditionalFormatting>
  <dataValidations count="4">
    <dataValidation type="list" allowBlank="1" showInputMessage="1" showErrorMessage="1" sqref="G9">
      <formula1>"Feet,Meters"</formula1>
    </dataValidation>
    <dataValidation type="decimal" allowBlank="1" showInputMessage="1" showErrorMessage="1" sqref="I10">
      <formula1>1</formula1>
      <formula2>50</formula2>
    </dataValidation>
    <dataValidation type="list" allowBlank="1" showInputMessage="1" showErrorMessage="1" sqref="F10">
      <formula1>"3.50,6.00,8.25,12.00,=I10"</formula1>
    </dataValidation>
    <dataValidation type="list" allowBlank="1" showInputMessage="1" showErrorMessage="1" sqref="H19">
      <formula1>"N-S,E-W"</formula1>
    </dataValidation>
  </dataValidations>
  <printOptions/>
  <pageMargins left="0.5" right="0.5" top="0.5" bottom="0.5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USDA/FSA/APFO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Cox</dc:creator>
  <cp:keywords/>
  <dc:description/>
  <cp:lastModifiedBy>mark.cox</cp:lastModifiedBy>
  <cp:lastPrinted>2005-07-25T19:20:13Z</cp:lastPrinted>
  <dcterms:modified xsi:type="dcterms:W3CDTF">2009-01-12T18:25:45Z</dcterms:modified>
  <cp:category/>
  <cp:version/>
  <cp:contentType/>
  <cp:contentStatus/>
</cp:coreProperties>
</file>