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6540" windowHeight="11640" tabRatio="849" activeTab="1"/>
  </bookViews>
  <sheets>
    <sheet name="User's Guide" sheetId="1" r:id="rId1"/>
    <sheet name="Activity Description" sheetId="2" r:id="rId2"/>
    <sheet name="ERR &amp; Sensitivity Analysis" sheetId="3" r:id="rId3"/>
    <sheet name="ERR Pipeline" sheetId="4" r:id="rId4"/>
    <sheet name="Cost Assumptions" sheetId="5" r:id="rId5"/>
    <sheet name="Demand" sheetId="6" r:id="rId6"/>
    <sheet name="Transit" sheetId="7" r:id="rId7"/>
    <sheet name="IRR-high" sheetId="8" r:id="rId8"/>
    <sheet name="IRR-medium" sheetId="9" r:id="rId9"/>
    <sheet name="IRR-low" sheetId="10" r:id="rId10"/>
    <sheet name="IRR-low (2)" sheetId="11" r:id="rId11"/>
    <sheet name="IRR-sensitivities" sheetId="12" r:id="rId12"/>
    <sheet name="Financial Impact" sheetId="13" r:id="rId13"/>
  </sheets>
  <definedNames>
    <definedName name="Cost">'Cost Assumptions'!$C$22:$E$22</definedName>
    <definedName name="Inv06">'Cost Assumptions'!$H$32</definedName>
    <definedName name="Inv07">'Cost Assumptions'!$I$32</definedName>
    <definedName name="Maint08">'Cost Assumptions'!$G$40:$N$40</definedName>
  </definedNames>
  <calcPr fullCalcOnLoad="1"/>
</workbook>
</file>

<file path=xl/comments11.xml><?xml version="1.0" encoding="utf-8"?>
<comments xmlns="http://schemas.openxmlformats.org/spreadsheetml/2006/main">
  <authors>
    <author>saigerjs</author>
  </authors>
  <commentList>
    <comment ref="K25" authorId="0">
      <text>
        <r>
          <rPr>
            <b/>
            <sz val="8"/>
            <rFont val="Tahoma"/>
            <family val="0"/>
          </rPr>
          <t>saigerjs:</t>
        </r>
        <r>
          <rPr>
            <sz val="8"/>
            <rFont val="Tahoma"/>
            <family val="0"/>
          </rPr>
          <t xml:space="preserve">
assumes no increase in losses unlike column F;</t>
        </r>
      </text>
    </comment>
  </commentList>
</comments>
</file>

<file path=xl/comments5.xml><?xml version="1.0" encoding="utf-8"?>
<comments xmlns="http://schemas.openxmlformats.org/spreadsheetml/2006/main">
  <authors>
    <author>saigerjs</author>
  </authors>
  <commentList>
    <comment ref="D8" authorId="0">
      <text>
        <r>
          <rPr>
            <b/>
            <sz val="8"/>
            <rFont val="Tahoma"/>
            <family val="0"/>
          </rPr>
          <t>saigerjs:</t>
        </r>
        <r>
          <rPr>
            <sz val="8"/>
            <rFont val="Tahoma"/>
            <family val="0"/>
          </rPr>
          <t xml:space="preserve">
RS report dated 062305
plus $500k for environ</t>
        </r>
      </text>
    </comment>
  </commentList>
</comments>
</file>

<file path=xl/sharedStrings.xml><?xml version="1.0" encoding="utf-8"?>
<sst xmlns="http://schemas.openxmlformats.org/spreadsheetml/2006/main" count="613" uniqueCount="202">
  <si>
    <t>Power</t>
  </si>
  <si>
    <t>Tbilgazi</t>
  </si>
  <si>
    <t>Saktsementi</t>
  </si>
  <si>
    <t>Itera</t>
  </si>
  <si>
    <t>West Georgia</t>
  </si>
  <si>
    <t>Year</t>
  </si>
  <si>
    <t>Transit Armenia</t>
  </si>
  <si>
    <t>Chemical Plant</t>
  </si>
  <si>
    <t>Price
in US$</t>
  </si>
  <si>
    <t>Transit Gas
in bcm</t>
  </si>
  <si>
    <t>Transit Revenue
in US$</t>
  </si>
  <si>
    <t>Transit Revenue
in kind [mcm]</t>
  </si>
  <si>
    <t>Price
in US$ *</t>
  </si>
  <si>
    <t>* Price escalates 2% per year</t>
  </si>
  <si>
    <t>East-West Transit</t>
  </si>
  <si>
    <t>North-South Transit</t>
  </si>
  <si>
    <t>Transit Revenue
without
Rehabilitation
in US$</t>
  </si>
  <si>
    <t>Transit Revenue
with
Rehabilitation
in US$</t>
  </si>
  <si>
    <t>Transit Gas
in bcm *</t>
  </si>
  <si>
    <t>* Transit Volume increase 5% per year</t>
  </si>
  <si>
    <t>Losses
on
Transit
Volume
in mcm</t>
  </si>
  <si>
    <t>Agregate
Gain compared
to no Rehabiliation
in US$</t>
  </si>
  <si>
    <t>Period</t>
  </si>
  <si>
    <t>Total</t>
  </si>
  <si>
    <t>Carbon Credits</t>
  </si>
  <si>
    <t>$/ton</t>
  </si>
  <si>
    <t>Investment</t>
  </si>
  <si>
    <t>Gas Savings</t>
  </si>
  <si>
    <t>Total for High Growth
in bcm</t>
  </si>
  <si>
    <t>Total for High Medium
in bcm</t>
  </si>
  <si>
    <t>Total for Low Growth
in bcm</t>
  </si>
  <si>
    <t>Losses without Rehabilitation
[in mcm]</t>
  </si>
  <si>
    <t>Total Gas Flow Volumes
[in bcm]</t>
  </si>
  <si>
    <t>Losses after Rehabilitation
[in mcm]</t>
  </si>
  <si>
    <t>Average
Technical Losses
without
Rehabilitation
in %</t>
  </si>
  <si>
    <t>Average
Technical Losses
with
Rehabilitation
in %</t>
  </si>
  <si>
    <t>High Growth</t>
  </si>
  <si>
    <t>Medium Growth</t>
  </si>
  <si>
    <t>Low Growth</t>
  </si>
  <si>
    <t>5% Growth</t>
  </si>
  <si>
    <t>3% Growth</t>
  </si>
  <si>
    <t>1.5% Growth</t>
  </si>
  <si>
    <t>Gas Price
[in US$/mcm]
escalation of 2%</t>
  </si>
  <si>
    <t>IRR (10 years)</t>
  </si>
  <si>
    <t>IRR (5 years)</t>
  </si>
  <si>
    <t>IRR (7 years)</t>
  </si>
  <si>
    <t>IRR (6 years)</t>
  </si>
  <si>
    <t>IRR (9 years)</t>
  </si>
  <si>
    <t>IRR (8 years)</t>
  </si>
  <si>
    <t>Demand Scenario</t>
  </si>
  <si>
    <t>Value of 
Reduced Emission
[in US$]</t>
  </si>
  <si>
    <t>NPV (10 years)</t>
  </si>
  <si>
    <t>Value of
Saved Gas
[in US$]</t>
  </si>
  <si>
    <t>Differences
of Losses
[in mcm]</t>
  </si>
  <si>
    <t>Actual
Payment
for C. Credits
[US$]</t>
  </si>
  <si>
    <t>Cash Flow for a price in US$/ton of:</t>
  </si>
  <si>
    <t>Price
US$/Ton CO2e</t>
  </si>
  <si>
    <t>Project IRR
(10 years)</t>
  </si>
  <si>
    <t>High Growth Project IRR (10 years)</t>
  </si>
  <si>
    <t>Medium Growth Project IRR (10 years)</t>
  </si>
  <si>
    <t>Low Growth Project IRR (10 years)</t>
  </si>
  <si>
    <r>
      <t>1 M</t>
    </r>
    <r>
      <rPr>
        <vertAlign val="superscript"/>
        <sz val="8"/>
        <rFont val="Times New Roman"/>
        <family val="1"/>
      </rPr>
      <t>3</t>
    </r>
  </si>
  <si>
    <r>
      <t>kgCO</t>
    </r>
    <r>
      <rPr>
        <vertAlign val="subscript"/>
        <sz val="8"/>
        <rFont val="Times New Roman"/>
        <family val="1"/>
      </rPr>
      <t>2</t>
    </r>
    <r>
      <rPr>
        <sz val="8"/>
        <rFont val="Times New Roman"/>
        <family val="1"/>
      </rPr>
      <t>e</t>
    </r>
  </si>
  <si>
    <r>
      <t>tonsCO</t>
    </r>
    <r>
      <rPr>
        <vertAlign val="subscript"/>
        <sz val="8"/>
        <rFont val="Times New Roman"/>
        <family val="1"/>
      </rPr>
      <t>2</t>
    </r>
    <r>
      <rPr>
        <sz val="8"/>
        <rFont val="Times New Roman"/>
        <family val="1"/>
      </rPr>
      <t>e</t>
    </r>
  </si>
  <si>
    <r>
      <t>Saved Volumes
[in M</t>
    </r>
    <r>
      <rPr>
        <vertAlign val="superscript"/>
        <sz val="8"/>
        <rFont val="Times New Roman"/>
        <family val="1"/>
      </rPr>
      <t>3]</t>
    </r>
  </si>
  <si>
    <r>
      <t>CO</t>
    </r>
    <r>
      <rPr>
        <vertAlign val="subscript"/>
        <sz val="8"/>
        <rFont val="Times New Roman"/>
        <family val="1"/>
      </rPr>
      <t>2</t>
    </r>
    <r>
      <rPr>
        <sz val="8"/>
        <rFont val="Times New Roman"/>
        <family val="1"/>
      </rPr>
      <t xml:space="preserve"> equivalent
[in Tons]</t>
    </r>
  </si>
  <si>
    <t>High
Demand
Growth</t>
  </si>
  <si>
    <t>Medium
Demand
Growth</t>
  </si>
  <si>
    <t>Low
Demand
Growth</t>
  </si>
  <si>
    <t>Calculation of Emission Reduction Volumes</t>
  </si>
  <si>
    <t>North South Pipeline Rehabilitation Budget</t>
  </si>
  <si>
    <t>Percentage Factor</t>
  </si>
  <si>
    <t>Annual Amt</t>
  </si>
  <si>
    <t>1st Year</t>
  </si>
  <si>
    <t>2nd Year</t>
  </si>
  <si>
    <t>Low</t>
  </si>
  <si>
    <t>Budgeted Amount</t>
  </si>
  <si>
    <t>High</t>
  </si>
  <si>
    <t>Route Survey, GIS Mapping and Land Cadastre</t>
  </si>
  <si>
    <t>Inspection, Engineering and Project Management</t>
  </si>
  <si>
    <t>Rehabilitation of Land Slide Areas</t>
  </si>
  <si>
    <t>Rehabilitation River Crossings &amp; Riverbank Protection</t>
  </si>
  <si>
    <t>Pipeline Replacement (4 km 48" + 8 km 40")</t>
  </si>
  <si>
    <t>Repair and Replacements of Valves</t>
  </si>
  <si>
    <t>Repair Cathodic Protection, Coating, Tunnels &amp; Metering</t>
  </si>
  <si>
    <t>Subtotal</t>
  </si>
  <si>
    <t>Contingency 30%</t>
  </si>
  <si>
    <t>Budget with Contingency Distributed over Descriptions</t>
  </si>
  <si>
    <t>Annual GGIC Maintenance Expenditures (using emission reduction funding)</t>
  </si>
  <si>
    <t>Escalation rate</t>
  </si>
  <si>
    <t>Annual Escalation Rate</t>
  </si>
  <si>
    <t>Annual expenditure (05 $)</t>
  </si>
  <si>
    <t>Nominal Annual GGIC Maintenance Expenditure</t>
  </si>
  <si>
    <t>M&amp;E CO2e Metric</t>
  </si>
  <si>
    <t>% Diff in Losses</t>
  </si>
  <si>
    <t>Losses Saved</t>
  </si>
  <si>
    <t>CO2e Expected</t>
  </si>
  <si>
    <t>m3/yr</t>
  </si>
  <si>
    <t>tonsCO2e/yr</t>
  </si>
  <si>
    <t>NPV (10 yrs, 10%)</t>
  </si>
  <si>
    <t xml:space="preserve"> </t>
  </si>
  <si>
    <t>Above is the Base Case for $1 Carbon, low growth</t>
  </si>
  <si>
    <t>Changing D46 to 0 gives $0 Carbon, low growth</t>
  </si>
  <si>
    <t>ERR and sensitivity analysis</t>
  </si>
  <si>
    <t>Description of key parameters</t>
  </si>
  <si>
    <t>Parameter values</t>
  </si>
  <si>
    <t>Values used in ERR computation</t>
  </si>
  <si>
    <t>Economic rate of return (ERR):</t>
  </si>
  <si>
    <t>Cost Assumptions</t>
  </si>
  <si>
    <t>Georgia: Energy Rehabilitation</t>
  </si>
  <si>
    <t>Cost</t>
  </si>
  <si>
    <t>Medium</t>
  </si>
  <si>
    <t>Project name</t>
  </si>
  <si>
    <t>Amount of MCC funds</t>
  </si>
  <si>
    <t>$49.5 million</t>
  </si>
  <si>
    <t>Estimated ERR and time horizon</t>
  </si>
  <si>
    <t>Benefit streams included in ERR</t>
  </si>
  <si>
    <t>Costs included in ERR (other than costs borne by MCC)</t>
  </si>
  <si>
    <t>Project description</t>
  </si>
  <si>
    <t>Reduction in gas losses</t>
  </si>
  <si>
    <t>Monetized carbon credits</t>
  </si>
  <si>
    <t>None</t>
  </si>
  <si>
    <t>Spreadsheet version</t>
  </si>
  <si>
    <t>Date</t>
  </si>
  <si>
    <t>Investment memo, final</t>
  </si>
  <si>
    <t>Worksheets in this file</t>
  </si>
  <si>
    <t>ERR &amp; Sensitivity Analysis</t>
  </si>
  <si>
    <t>Demand</t>
  </si>
  <si>
    <t>Transit</t>
  </si>
  <si>
    <t>IRR-high</t>
  </si>
  <si>
    <t>IRR-medium</t>
  </si>
  <si>
    <t>IRR-low</t>
  </si>
  <si>
    <t>IRR-low (2)</t>
  </si>
  <si>
    <t>Financial Impact</t>
  </si>
  <si>
    <t>IRR-sensitivities</t>
  </si>
  <si>
    <t>Growth in demand</t>
  </si>
  <si>
    <r>
      <t>Price of CO</t>
    </r>
    <r>
      <rPr>
        <vertAlign val="subscript"/>
        <sz val="8"/>
        <rFont val="Arial"/>
        <family val="2"/>
      </rPr>
      <t>2</t>
    </r>
    <r>
      <rPr>
        <sz val="10"/>
        <rFont val="Arial"/>
        <family val="2"/>
      </rPr>
      <t xml:space="preserve"> emissions (USD/ton)</t>
    </r>
  </si>
  <si>
    <t>Sample Demand Scenarios</t>
  </si>
  <si>
    <t>Current Demand Projection</t>
  </si>
  <si>
    <t>1 - 5%</t>
  </si>
  <si>
    <t>Total for Current Demand Scenario</t>
  </si>
  <si>
    <t>$0 - $5</t>
  </si>
  <si>
    <t>annual increase in gas price</t>
  </si>
  <si>
    <t>Annual increase in maintenance costs</t>
  </si>
  <si>
    <t>Annual increase in gas price</t>
  </si>
  <si>
    <t>0 - 5%</t>
  </si>
  <si>
    <t>Current Demand Growth</t>
  </si>
  <si>
    <t>annual increase in volume of transit gas</t>
  </si>
  <si>
    <t>Annual increase in volume of transit gas</t>
  </si>
  <si>
    <t>0 - 10%</t>
  </si>
  <si>
    <t>11.7% over 10 years</t>
  </si>
  <si>
    <t>A brief summary of the project's key parameters and ERR calculations.</t>
  </si>
  <si>
    <t>ERR Pipeline</t>
  </si>
  <si>
    <t>This sheet conducts a cost-benefit analysis using the parameters specified by the user.  Benefits in terms of carbon credits and the reduction in gas losses are compared against the rehabilitation and maintainance costs for the pipeline.  The resulting ERR is computed over a 10-year time period.</t>
  </si>
  <si>
    <t>Base Case</t>
  </si>
  <si>
    <t>10 - 20</t>
  </si>
  <si>
    <t>-</t>
  </si>
  <si>
    <t>1.5 - 5%</t>
  </si>
  <si>
    <t>Contains tables that calculate the demand for gas in various geographic regions of Georgia, taking into consideration multiple growth scenarios.</t>
  </si>
  <si>
    <t>Calculates the volume and cost of gas transiting through the pipeline each year.  These figures are used to estimate the amount of gas lost in transit and the related benefit from upgrading the pipeline.</t>
  </si>
  <si>
    <t>A sample ERR for a scenario in which there is a high demand for gas, as shown in the "Demand" spreadsheet.</t>
  </si>
  <si>
    <t>A sample ERR for a scenario in which there is a medium demand for gas, as shown in the "Demand" spreadsheet.</t>
  </si>
  <si>
    <t>A sample ERR for a scenario in which there is a low demand for gas, as shown in the "Demand" spreadsheet.</t>
  </si>
  <si>
    <t>Illustrates the financial impact of gas losses on the gas industry.</t>
  </si>
  <si>
    <r>
      <t>Tables and charts illustrating the sensitivity of the ERR to demand and the price of CO</t>
    </r>
    <r>
      <rPr>
        <vertAlign val="subscript"/>
        <sz val="8"/>
        <rFont val="Arial"/>
        <family val="2"/>
      </rPr>
      <t>2</t>
    </r>
    <r>
      <rPr>
        <sz val="10"/>
        <rFont val="Arial"/>
        <family val="0"/>
      </rPr>
      <t xml:space="preserve"> emissions.</t>
    </r>
  </si>
  <si>
    <t>Last updated:  7/7/2005</t>
  </si>
  <si>
    <t>Parameter type</t>
  </si>
  <si>
    <t>User Input</t>
  </si>
  <si>
    <t>MCC Estimate</t>
  </si>
  <si>
    <t>Plausible Range</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</si>
  <si>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</si>
  <si>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Summary</t>
  </si>
  <si>
    <t>Actual costs as a percentage of estimated costs</t>
  </si>
  <si>
    <t>80 - 120%</t>
  </si>
  <si>
    <t>Actual benefits as a percentage of estimated benefits</t>
  </si>
  <si>
    <t>Specific</t>
  </si>
  <si>
    <t>All summary parameters set to initial values?</t>
  </si>
  <si>
    <t xml:space="preserve">   More Info</t>
  </si>
  <si>
    <r>
      <t xml:space="preserve">   </t>
    </r>
    <r>
      <rPr>
        <u val="single"/>
        <sz val="10"/>
        <color indexed="12"/>
        <rFont val="Arial"/>
        <family val="0"/>
      </rPr>
      <t>User's Guide</t>
    </r>
  </si>
  <si>
    <r>
      <t xml:space="preserve">MCC Estimated ERR </t>
    </r>
    <r>
      <rPr>
        <b/>
        <sz val="8"/>
        <rFont val="Arial"/>
        <family val="2"/>
      </rPr>
      <t>(as of 7/7/2005)</t>
    </r>
    <r>
      <rPr>
        <b/>
        <sz val="10"/>
        <rFont val="Arial"/>
        <family val="2"/>
      </rPr>
      <t>:</t>
    </r>
  </si>
  <si>
    <t>Infrstructure cost estimation scenario</t>
  </si>
  <si>
    <t>Components</t>
  </si>
  <si>
    <t>Economic Rationale</t>
  </si>
  <si>
    <t xml:space="preserve">         c. Repairing leaks in the Pipeline to reduce technical losses.</t>
  </si>
  <si>
    <t xml:space="preserve">         a. Inspecting the Pipeline to identify weaknesses and defects and formulate a prioritized rehabilitation plan addressing the 
              security and integrity of the Pipeline.</t>
  </si>
  <si>
    <t xml:space="preserve">         b. Repairing the most urgent defects on a priority basis to bring the Pipeline back to an acceptable level of technical 
              integrity for the required throughput capacity.</t>
  </si>
  <si>
    <t xml:space="preserve">        Beneficiaries include households, businesses and industrial enterprises throughout Georgia that consume gas or electricity. Rehabilitation will improve a situation which currently endangers the environment as well as the health and safety of the population. Another benefit may be carbon credit revenue which may be secured as a result of reduced greenhouse gas emissions related to Pipeline rehabilitation. In addition, the financial condition of GGIC, the Pipeline operating company, will be improved through reduced technical losses and improved cash flow. All energy consumers located throughout Georgia are expected to benefit from implementation of the Government’s energy strategy with the assistance of the Energy Advisors’ services.</t>
  </si>
  <si>
    <t>Activity Description</t>
  </si>
  <si>
    <r>
      <t xml:space="preserve">   </t>
    </r>
    <r>
      <rPr>
        <u val="single"/>
        <sz val="10"/>
        <color indexed="12"/>
        <rFont val="Arial"/>
        <family val="0"/>
      </rPr>
      <t>Activity Description</t>
    </r>
  </si>
  <si>
    <t>One should read this sheet first, as it offers a summary of the activity, a list of components, and states the economic rationale for the project.</t>
  </si>
  <si>
    <t xml:space="preserve">   1.  Rehabilitate the Pipeline by:</t>
  </si>
  <si>
    <t xml:space="preserve">   2.  Engage one or more firms (the “Energy Advisors”) to support the Ministry of Energy to further develop and implement its 
           energy sector strategy, including, but not limited to, providing technical and feasibility studies essential for investment in 
           regional transmission, gas-fired generation, and hydropower.</t>
  </si>
  <si>
    <t>Regional Infrastructure Rehabilitation Project</t>
  </si>
  <si>
    <t>Energy Rehabilitation Project Activity</t>
  </si>
  <si>
    <t xml:space="preserve">       The objective of the Energy Rehabilitation Activity is to increase reliability of energy supplies and to reduce losses.  The Activity will rehabilitate the North-South Gas Pipeline and provide advisory service to the GOG to develop a long term strategy for the country’s energy sector.</t>
  </si>
  <si>
    <t>MCC Funding will be used to:</t>
  </si>
  <si>
    <t xml:space="preserve">        The base case return on the Energy Rehabilitation activity is estimated to be 11.7 percent. By rehabilitating the North-South Gas Pipeline, it was assumed that Georgia could avoid additional expenditures on gas purchases and reap returns from selling carbon credits for the reduction of greenhouse gas emissions under the United Nations Framework Convention on Climate Change.</t>
  </si>
  <si>
    <t>The objective of the Energy Rehabilitation Activity is to increase reliability of energy supplies and to reduce losses.  The activity will rehabilitate the North-South Gas Pipeline and provide advisory service to the GOG to develop a long term strategy for the country’s energy sector.</t>
  </si>
  <si>
    <t>Detailed breakdown of the costs of the project, including high, low and medium assumptions for each activity and the precentage of the Activity completed each year.</t>
  </si>
  <si>
    <t>A sample ERR for a scenario in which there is a low demand for gas, as shown in the "Demand" spreadsheet.  This sheet differs from the previous worksheet by calculating alternate estimates for the amount of gas saved through the project.</t>
  </si>
  <si>
    <r>
      <t>kg of CO</t>
    </r>
    <r>
      <rPr>
        <vertAlign val="subscript"/>
        <sz val="8"/>
        <rFont val="Arial"/>
        <family val="2"/>
      </rPr>
      <t>2</t>
    </r>
    <r>
      <rPr>
        <sz val="10"/>
        <rFont val="Arial"/>
        <family val="2"/>
      </rPr>
      <t xml:space="preserve"> emitted per cubic meter of gas</t>
    </r>
  </si>
  <si>
    <t>Growth in demand for natural gas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</si>
</sst>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000"/>
    <numFmt numFmtId="171" formatCode="0.00000"/>
    <numFmt numFmtId="172" formatCode="0.000"/>
    <numFmt numFmtId="173" formatCode="0.0%"/>
    <numFmt numFmtId="174" formatCode="_([$$-409]* #,##0.00_);_([$$-409]* \(#,##0.00\);_([$$-409]* &quot;-&quot;??_);_(@_)"/>
    <numFmt numFmtId="175" formatCode="#,##0.000"/>
    <numFmt numFmtId="176" formatCode="#,##0.0"/>
    <numFmt numFmtId="177" formatCode="_([$$-409]* #,##0.000_);_([$$-409]* \(#,##0.000\);_([$$-409]* &quot;-&quot;??_);_(@_)"/>
    <numFmt numFmtId="178" formatCode="_([$$-409]* #,##0.0_);_([$$-409]* \(#,##0.0\);_([$$-409]* &quot;-&quot;??_);_(@_)"/>
    <numFmt numFmtId="179" formatCode="_([$$-409]* #,##0_);_([$$-409]* \(#,##0\);_([$$-409]* &quot;-&quot;??_);_(@_)"/>
    <numFmt numFmtId="180" formatCode="0.0"/>
    <numFmt numFmtId="181" formatCode="&quot;$&quot;#,##0"/>
    <numFmt numFmtId="182" formatCode="&quot;$&quot;#,##0.00"/>
    <numFmt numFmtId="183" formatCode="[$$-409]#,##0"/>
    <numFmt numFmtId="184" formatCode="&quot;$&quot;#,##0.0"/>
    <numFmt numFmtId="185" formatCode="&quot;$&quot;#,##0.000"/>
    <numFmt numFmtId="186" formatCode="_(* #,##0_);_(* \(#,##0\);_(* &quot;-&quot;??_);_(@_)"/>
    <numFmt numFmtId="187" formatCode="0.000%"/>
    <numFmt numFmtId="188" formatCode="&quot;$&quot;#,##0.000_);\(&quot;$&quot;#,##0.000\)"/>
    <numFmt numFmtId="189" formatCode="&quot;Yes&quot;;&quot;Yes&quot;;&quot;No&quot;"/>
    <numFmt numFmtId="190" formatCode="&quot;True&quot;;&quot;True&quot;;&quot;False&quot;"/>
    <numFmt numFmtId="191" formatCode="&quot;On&quot;;&quot;On&quot;;&quot;Off&quot;"/>
    <numFmt numFmtId="192" formatCode="[$€-2]\ #,##0.00_);[Red]\([$€-2]\ #,##0.00\)"/>
  </numFmts>
  <fonts count="59">
    <font>
      <sz val="10"/>
      <name val="Arial"/>
      <family val="0"/>
    </font>
    <font>
      <sz val="8.25"/>
      <name val="Arial"/>
      <family val="0"/>
    </font>
    <font>
      <b/>
      <sz val="9.75"/>
      <name val="Arial"/>
      <family val="0"/>
    </font>
    <font>
      <sz val="9.75"/>
      <name val="Arial"/>
      <family val="0"/>
    </font>
    <font>
      <b/>
      <sz val="8.5"/>
      <name val="Arial"/>
      <family val="0"/>
    </font>
    <font>
      <sz val="8.5"/>
      <name val="Arial"/>
      <family val="0"/>
    </font>
    <font>
      <sz val="8"/>
      <name val="Arial"/>
      <family val="0"/>
    </font>
    <font>
      <b/>
      <sz val="11"/>
      <name val="Arial"/>
      <family val="2"/>
    </font>
    <font>
      <b/>
      <sz val="16.5"/>
      <name val="Arial"/>
      <family val="2"/>
    </font>
    <font>
      <sz val="11.75"/>
      <name val="Arial"/>
      <family val="0"/>
    </font>
    <font>
      <sz val="11"/>
      <name val="Times New Roman"/>
      <family val="1"/>
    </font>
    <font>
      <b/>
      <sz val="11"/>
      <name val="Times New Roman"/>
      <family val="1"/>
    </font>
    <font>
      <u val="single"/>
      <sz val="10"/>
      <color indexed="12"/>
      <name val="Arial"/>
      <family val="0"/>
    </font>
    <font>
      <u val="single"/>
      <sz val="10"/>
      <color indexed="36"/>
      <name val="Arial"/>
      <family val="0"/>
    </font>
    <font>
      <sz val="8"/>
      <name val="Verdana"/>
      <family val="2"/>
    </font>
    <font>
      <sz val="8.75"/>
      <name val="Arial"/>
      <family val="0"/>
    </font>
    <font>
      <sz val="10.5"/>
      <name val="Arial"/>
      <family val="0"/>
    </font>
    <font>
      <sz val="8"/>
      <name val="Times New Roman"/>
      <family val="1"/>
    </font>
    <font>
      <b/>
      <sz val="10.5"/>
      <name val="Arial"/>
      <family val="0"/>
    </font>
    <font>
      <b/>
      <sz val="12"/>
      <name val="Arial"/>
      <family val="2"/>
    </font>
    <font>
      <b/>
      <sz val="10.75"/>
      <name val="Arial"/>
      <family val="0"/>
    </font>
    <font>
      <b/>
      <sz val="11.25"/>
      <name val="Arial"/>
      <family val="0"/>
    </font>
    <font>
      <sz val="11"/>
      <name val="Arial"/>
      <family val="0"/>
    </font>
    <font>
      <sz val="9"/>
      <name val="Arial"/>
      <family val="0"/>
    </font>
    <font>
      <sz val="11.25"/>
      <name val="Arial"/>
      <family val="0"/>
    </font>
    <font>
      <sz val="9.5"/>
      <name val="Arial"/>
      <family val="0"/>
    </font>
    <font>
      <b/>
      <sz val="11.75"/>
      <name val="Arial"/>
      <family val="0"/>
    </font>
    <font>
      <b/>
      <sz val="8"/>
      <name val="Times New Roman"/>
      <family val="1"/>
    </font>
    <font>
      <vertAlign val="superscript"/>
      <sz val="8"/>
      <name val="Times New Roman"/>
      <family val="1"/>
    </font>
    <font>
      <vertAlign val="subscript"/>
      <sz val="8"/>
      <name val="Times New Roman"/>
      <family val="1"/>
    </font>
    <font>
      <sz val="10"/>
      <name val="Times New Roman"/>
      <family val="1"/>
    </font>
    <font>
      <sz val="8"/>
      <color indexed="10"/>
      <name val="Times New Roman"/>
      <family val="1"/>
    </font>
    <font>
      <sz val="8"/>
      <color indexed="12"/>
      <name val="Times New Roman"/>
      <family val="1"/>
    </font>
    <font>
      <b/>
      <sz val="10.25"/>
      <name val="Arial"/>
      <family val="2"/>
    </font>
    <font>
      <b/>
      <sz val="9.25"/>
      <name val="Arial"/>
      <family val="0"/>
    </font>
    <font>
      <sz val="9.25"/>
      <name val="Arial"/>
      <family val="0"/>
    </font>
    <font>
      <b/>
      <sz val="10"/>
      <name val="Times New Roman"/>
      <family val="1"/>
    </font>
    <font>
      <b/>
      <sz val="10"/>
      <name val="Arial"/>
      <family val="2"/>
    </font>
    <font>
      <b/>
      <sz val="8"/>
      <name val="Tahoma"/>
      <family val="0"/>
    </font>
    <font>
      <sz val="8"/>
      <name val="Tahoma"/>
      <family val="0"/>
    </font>
    <font>
      <b/>
      <sz val="2.25"/>
      <name val="Arial"/>
      <family val="0"/>
    </font>
    <font>
      <b/>
      <sz val="2.5"/>
      <name val="Arial"/>
      <family val="0"/>
    </font>
    <font>
      <sz val="2.5"/>
      <name val="Arial"/>
      <family val="0"/>
    </font>
    <font>
      <sz val="2"/>
      <name val="Arial"/>
      <family val="0"/>
    </font>
    <font>
      <sz val="14"/>
      <name val="Arial"/>
      <family val="0"/>
    </font>
    <font>
      <b/>
      <sz val="16"/>
      <name val="Arial"/>
      <family val="2"/>
    </font>
    <font>
      <b/>
      <sz val="18"/>
      <color indexed="32"/>
      <name val="Arial"/>
      <family val="2"/>
    </font>
    <font>
      <b/>
      <sz val="10"/>
      <color indexed="12"/>
      <name val="Arial"/>
      <family val="2"/>
    </font>
    <font>
      <b/>
      <sz val="10"/>
      <color indexed="9"/>
      <name val="Arial"/>
      <family val="2"/>
    </font>
    <font>
      <vertAlign val="subscript"/>
      <sz val="8"/>
      <name val="Arial"/>
      <family val="2"/>
    </font>
    <font>
      <b/>
      <sz val="8.75"/>
      <name val="Arial"/>
      <family val="0"/>
    </font>
    <font>
      <b/>
      <sz val="10"/>
      <color indexed="12"/>
      <name val="Times New Roman"/>
      <family val="1"/>
    </font>
    <font>
      <b/>
      <sz val="8"/>
      <color indexed="12"/>
      <name val="Times New Roman"/>
      <family val="1"/>
    </font>
    <font>
      <sz val="10"/>
      <color indexed="12"/>
      <name val="Arial"/>
      <family val="0"/>
    </font>
    <font>
      <sz val="8"/>
      <color indexed="17"/>
      <name val="Arial"/>
      <family val="0"/>
    </font>
    <font>
      <sz val="10"/>
      <color indexed="23"/>
      <name val="Arial"/>
      <family val="2"/>
    </font>
    <font>
      <b/>
      <sz val="10"/>
      <color indexed="55"/>
      <name val="Arial"/>
      <family val="2"/>
    </font>
    <font>
      <sz val="10"/>
      <color indexed="9"/>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s>
  <borders count="48">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uble"/>
      <right style="thin"/>
      <top>
        <color indexed="63"/>
      </top>
      <bottom>
        <color indexed="63"/>
      </bottom>
    </border>
    <border>
      <left style="double"/>
      <right style="thin"/>
      <top style="thin"/>
      <bottom style="thin"/>
    </border>
    <border>
      <left>
        <color indexed="63"/>
      </left>
      <right>
        <color indexed="63"/>
      </right>
      <top style="thin"/>
      <bottom style="thin"/>
    </border>
    <border>
      <left>
        <color indexed="63"/>
      </left>
      <right style="double"/>
      <top style="thin"/>
      <bottom style="thin"/>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style="thin"/>
      <top>
        <color indexed="63"/>
      </top>
      <bottom style="thin"/>
    </border>
    <border>
      <left>
        <color indexed="63"/>
      </left>
      <right style="double"/>
      <top style="double"/>
      <bottom>
        <color indexed="63"/>
      </bottom>
    </border>
    <border>
      <left style="double"/>
      <right style="thin"/>
      <top style="thin"/>
      <bottom>
        <color indexed="63"/>
      </bottom>
    </border>
    <border>
      <left style="double"/>
      <right style="thin"/>
      <top>
        <color indexed="63"/>
      </top>
      <bottom style="double"/>
    </border>
    <border>
      <left style="double"/>
      <right style="thin"/>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97">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11" fillId="0" borderId="1" xfId="0" applyFont="1" applyBorder="1" applyAlignment="1">
      <alignment horizontal="center"/>
    </xf>
    <xf numFmtId="0" fontId="11" fillId="0" borderId="1" xfId="0" applyFont="1" applyBorder="1" applyAlignment="1">
      <alignment horizontal="center" wrapText="1"/>
    </xf>
    <xf numFmtId="0" fontId="10" fillId="0" borderId="1" xfId="0" applyFont="1" applyBorder="1" applyAlignment="1">
      <alignment horizontal="center"/>
    </xf>
    <xf numFmtId="174" fontId="10" fillId="0" borderId="1" xfId="17" applyNumberFormat="1" applyFont="1" applyBorder="1" applyAlignment="1">
      <alignment horizontal="left"/>
    </xf>
    <xf numFmtId="3" fontId="10" fillId="0" borderId="1" xfId="0" applyNumberFormat="1" applyFont="1" applyBorder="1" applyAlignment="1">
      <alignment horizontal="center"/>
    </xf>
    <xf numFmtId="179" fontId="10" fillId="0" borderId="1" xfId="0" applyNumberFormat="1" applyFont="1" applyBorder="1" applyAlignment="1">
      <alignment horizontal="left"/>
    </xf>
    <xf numFmtId="2" fontId="10" fillId="0" borderId="1" xfId="0" applyNumberFormat="1" applyFont="1" applyBorder="1" applyAlignment="1">
      <alignment horizontal="center"/>
    </xf>
    <xf numFmtId="173" fontId="10" fillId="0" borderId="1" xfId="21" applyNumberFormat="1" applyFont="1" applyBorder="1" applyAlignment="1">
      <alignment horizontal="center"/>
    </xf>
    <xf numFmtId="179" fontId="11" fillId="0" borderId="1" xfId="0" applyNumberFormat="1" applyFont="1" applyBorder="1" applyAlignment="1">
      <alignment horizontal="left"/>
    </xf>
    <xf numFmtId="0" fontId="14" fillId="0" borderId="0" xfId="0" applyFont="1" applyAlignment="1">
      <alignment/>
    </xf>
    <xf numFmtId="0" fontId="14" fillId="0" borderId="0" xfId="0" applyFont="1" applyAlignment="1">
      <alignment horizontal="center"/>
    </xf>
    <xf numFmtId="9" fontId="14" fillId="0" borderId="0" xfId="0" applyNumberFormat="1" applyFont="1" applyAlignment="1">
      <alignment horizontal="center"/>
    </xf>
    <xf numFmtId="0" fontId="14" fillId="0" borderId="1" xfId="0" applyFont="1" applyBorder="1" applyAlignment="1">
      <alignment wrapText="1"/>
    </xf>
    <xf numFmtId="0" fontId="17" fillId="0" borderId="0" xfId="0" applyFont="1" applyAlignment="1">
      <alignment/>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NumberFormat="1" applyFont="1" applyBorder="1" applyAlignment="1">
      <alignment horizontal="center" vertical="center" wrapText="1"/>
    </xf>
    <xf numFmtId="172" fontId="17" fillId="0" borderId="1" xfId="0" applyNumberFormat="1" applyFont="1" applyBorder="1" applyAlignment="1">
      <alignment horizontal="center" vertical="center" wrapText="1"/>
    </xf>
    <xf numFmtId="172" fontId="17" fillId="0" borderId="6" xfId="0" applyNumberFormat="1" applyFont="1" applyBorder="1" applyAlignment="1">
      <alignment horizontal="center" vertical="center" wrapText="1"/>
    </xf>
    <xf numFmtId="180" fontId="17" fillId="0" borderId="0" xfId="0" applyNumberFormat="1" applyFont="1" applyAlignment="1">
      <alignment/>
    </xf>
    <xf numFmtId="9" fontId="17" fillId="0" borderId="0" xfId="0" applyNumberFormat="1" applyFont="1" applyAlignment="1">
      <alignment/>
    </xf>
    <xf numFmtId="0" fontId="17" fillId="0" borderId="5" xfId="0" applyFont="1" applyBorder="1" applyAlignment="1">
      <alignment horizontal="center"/>
    </xf>
    <xf numFmtId="10"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wrapText="1"/>
    </xf>
    <xf numFmtId="10" fontId="17" fillId="0" borderId="1" xfId="0" applyNumberFormat="1" applyFont="1" applyBorder="1" applyAlignment="1">
      <alignment horizontal="center"/>
    </xf>
    <xf numFmtId="6" fontId="17" fillId="0" borderId="1" xfId="0" applyNumberFormat="1" applyFont="1" applyBorder="1" applyAlignment="1">
      <alignment horizontal="center"/>
    </xf>
    <xf numFmtId="6" fontId="17" fillId="0" borderId="6" xfId="0" applyNumberFormat="1" applyFont="1" applyBorder="1" applyAlignment="1">
      <alignment horizontal="right"/>
    </xf>
    <xf numFmtId="0" fontId="27" fillId="0" borderId="7" xfId="0" applyFont="1" applyBorder="1" applyAlignment="1">
      <alignment horizontal="center"/>
    </xf>
    <xf numFmtId="172" fontId="27" fillId="0" borderId="8" xfId="0" applyNumberFormat="1" applyFont="1" applyBorder="1" applyAlignment="1">
      <alignment horizontal="center" vertical="center" wrapText="1"/>
    </xf>
    <xf numFmtId="0" fontId="27" fillId="2" borderId="8" xfId="0" applyFont="1" applyFill="1" applyBorder="1" applyAlignment="1">
      <alignment horizontal="center"/>
    </xf>
    <xf numFmtId="3" fontId="27" fillId="0" borderId="8" xfId="0" applyNumberFormat="1" applyFont="1" applyBorder="1" applyAlignment="1">
      <alignment horizontal="center" vertical="center" wrapText="1"/>
    </xf>
    <xf numFmtId="6" fontId="27" fillId="0" borderId="9" xfId="0" applyNumberFormat="1" applyFont="1" applyBorder="1" applyAlignment="1">
      <alignment horizontal="right"/>
    </xf>
    <xf numFmtId="0" fontId="27" fillId="0" borderId="0" xfId="0" applyFont="1" applyAlignment="1">
      <alignment horizontal="center"/>
    </xf>
    <xf numFmtId="0" fontId="17" fillId="0" borderId="10" xfId="0" applyFont="1" applyBorder="1" applyAlignment="1">
      <alignment/>
    </xf>
    <xf numFmtId="0" fontId="17" fillId="0" borderId="11" xfId="0" applyFont="1" applyBorder="1" applyAlignment="1">
      <alignment horizontal="center"/>
    </xf>
    <xf numFmtId="0" fontId="17" fillId="0" borderId="11" xfId="0" applyFont="1" applyBorder="1" applyAlignment="1">
      <alignment/>
    </xf>
    <xf numFmtId="0" fontId="11" fillId="0" borderId="11" xfId="0" applyFont="1" applyBorder="1" applyAlignment="1">
      <alignment/>
    </xf>
    <xf numFmtId="0" fontId="17" fillId="0" borderId="12" xfId="0" applyFont="1" applyBorder="1" applyAlignment="1">
      <alignment/>
    </xf>
    <xf numFmtId="3" fontId="17" fillId="0" borderId="0" xfId="0" applyNumberFormat="1" applyFont="1" applyBorder="1" applyAlignment="1">
      <alignment/>
    </xf>
    <xf numFmtId="0" fontId="17" fillId="0" borderId="0" xfId="0" applyFont="1" applyBorder="1" applyAlignment="1">
      <alignment/>
    </xf>
    <xf numFmtId="0" fontId="17" fillId="0" borderId="13" xfId="0" applyFont="1" applyBorder="1" applyAlignment="1">
      <alignment/>
    </xf>
    <xf numFmtId="0" fontId="17" fillId="0" borderId="14" xfId="0" applyFont="1" applyBorder="1" applyAlignment="1">
      <alignment/>
    </xf>
    <xf numFmtId="0" fontId="27" fillId="0" borderId="0" xfId="0" applyFont="1" applyBorder="1" applyAlignment="1">
      <alignment/>
    </xf>
    <xf numFmtId="181" fontId="17" fillId="0" borderId="0" xfId="0" applyNumberFormat="1" applyFont="1" applyBorder="1" applyAlignment="1">
      <alignment/>
    </xf>
    <xf numFmtId="0" fontId="17" fillId="0" borderId="2" xfId="0" applyFont="1" applyBorder="1" applyAlignment="1">
      <alignment horizontal="center" wrapText="1"/>
    </xf>
    <xf numFmtId="0" fontId="17" fillId="0" borderId="3"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xf numFmtId="3" fontId="17" fillId="0" borderId="1" xfId="0" applyNumberFormat="1" applyFont="1" applyBorder="1" applyAlignment="1">
      <alignment horizontal="right"/>
    </xf>
    <xf numFmtId="181" fontId="17" fillId="0" borderId="1" xfId="0" applyNumberFormat="1" applyFont="1" applyBorder="1" applyAlignment="1">
      <alignment horizontal="right"/>
    </xf>
    <xf numFmtId="181" fontId="17" fillId="0" borderId="6" xfId="0" applyNumberFormat="1" applyFont="1" applyBorder="1" applyAlignment="1">
      <alignment horizontal="right"/>
    </xf>
    <xf numFmtId="3" fontId="27" fillId="0" borderId="8" xfId="0" applyNumberFormat="1" applyFont="1" applyBorder="1" applyAlignment="1">
      <alignment/>
    </xf>
    <xf numFmtId="3" fontId="27" fillId="0" borderId="9" xfId="0" applyNumberFormat="1" applyFont="1" applyBorder="1" applyAlignment="1">
      <alignment/>
    </xf>
    <xf numFmtId="0" fontId="27" fillId="0" borderId="0" xfId="0" applyFont="1" applyBorder="1" applyAlignment="1">
      <alignment horizontal="left"/>
    </xf>
    <xf numFmtId="0" fontId="27" fillId="0" borderId="0" xfId="0" applyFont="1" applyBorder="1" applyAlignment="1">
      <alignment horizontal="center"/>
    </xf>
    <xf numFmtId="0" fontId="17" fillId="0" borderId="2" xfId="0" applyFont="1" applyBorder="1" applyAlignment="1">
      <alignment/>
    </xf>
    <xf numFmtId="0" fontId="27" fillId="0" borderId="3" xfId="0" applyFont="1" applyBorder="1" applyAlignment="1">
      <alignment horizontal="center"/>
    </xf>
    <xf numFmtId="181" fontId="27" fillId="0" borderId="4" xfId="0" applyNumberFormat="1" applyFont="1" applyBorder="1" applyAlignment="1">
      <alignment horizontal="center"/>
    </xf>
    <xf numFmtId="0" fontId="17" fillId="0" borderId="5" xfId="0" applyFont="1" applyBorder="1" applyAlignment="1">
      <alignment/>
    </xf>
    <xf numFmtId="181" fontId="31" fillId="0" borderId="1" xfId="0" applyNumberFormat="1" applyFont="1" applyBorder="1" applyAlignment="1">
      <alignment/>
    </xf>
    <xf numFmtId="181" fontId="32" fillId="0" borderId="1" xfId="0" applyNumberFormat="1" applyFont="1" applyBorder="1" applyAlignment="1">
      <alignment/>
    </xf>
    <xf numFmtId="181" fontId="17" fillId="0" borderId="1" xfId="0" applyNumberFormat="1" applyFont="1" applyBorder="1" applyAlignment="1">
      <alignment/>
    </xf>
    <xf numFmtId="181" fontId="17" fillId="0" borderId="6" xfId="0" applyNumberFormat="1" applyFont="1" applyBorder="1" applyAlignment="1">
      <alignment/>
    </xf>
    <xf numFmtId="0" fontId="17" fillId="0" borderId="7" xfId="0" applyFont="1" applyBorder="1" applyAlignment="1">
      <alignment/>
    </xf>
    <xf numFmtId="181" fontId="27" fillId="0" borderId="8" xfId="0" applyNumberFormat="1" applyFont="1" applyBorder="1" applyAlignment="1">
      <alignment/>
    </xf>
    <xf numFmtId="181" fontId="27" fillId="0" borderId="9" xfId="0" applyNumberFormat="1" applyFont="1" applyBorder="1" applyAlignment="1">
      <alignment/>
    </xf>
    <xf numFmtId="0" fontId="27" fillId="0" borderId="0" xfId="0" applyFont="1" applyAlignment="1">
      <alignment/>
    </xf>
    <xf numFmtId="0" fontId="27" fillId="0" borderId="2" xfId="0" applyFont="1" applyBorder="1" applyAlignment="1">
      <alignment horizontal="center"/>
    </xf>
    <xf numFmtId="6" fontId="27" fillId="0" borderId="4" xfId="0" applyNumberFormat="1" applyFont="1" applyBorder="1" applyAlignment="1">
      <alignment horizontal="center"/>
    </xf>
    <xf numFmtId="9" fontId="27" fillId="0" borderId="9" xfId="0" applyNumberFormat="1" applyFont="1" applyBorder="1" applyAlignment="1">
      <alignment horizontal="center"/>
    </xf>
    <xf numFmtId="0" fontId="17" fillId="0" borderId="17" xfId="0" applyFont="1" applyBorder="1" applyAlignment="1">
      <alignment/>
    </xf>
    <xf numFmtId="0" fontId="17" fillId="0" borderId="18" xfId="0" applyFont="1" applyBorder="1" applyAlignment="1">
      <alignment/>
    </xf>
    <xf numFmtId="0" fontId="17" fillId="0" borderId="19" xfId="0" applyFont="1" applyBorder="1" applyAlignment="1">
      <alignment/>
    </xf>
    <xf numFmtId="0" fontId="17" fillId="0" borderId="1" xfId="0" applyFont="1" applyBorder="1" applyAlignment="1">
      <alignment wrapText="1"/>
    </xf>
    <xf numFmtId="0" fontId="17" fillId="0" borderId="1" xfId="0" applyFont="1" applyBorder="1" applyAlignment="1">
      <alignment horizontal="center"/>
    </xf>
    <xf numFmtId="9" fontId="17" fillId="0" borderId="1" xfId="0" applyNumberFormat="1" applyFont="1" applyBorder="1" applyAlignment="1">
      <alignment/>
    </xf>
    <xf numFmtId="0" fontId="30" fillId="0" borderId="0" xfId="0" applyFont="1" applyAlignment="1">
      <alignment horizontal="center"/>
    </xf>
    <xf numFmtId="0" fontId="30" fillId="0" borderId="2" xfId="0" applyFont="1" applyBorder="1" applyAlignment="1">
      <alignment horizontal="center"/>
    </xf>
    <xf numFmtId="0" fontId="30" fillId="0" borderId="3" xfId="0" applyFont="1" applyBorder="1" applyAlignment="1">
      <alignment horizontal="center" wrapText="1"/>
    </xf>
    <xf numFmtId="0" fontId="30" fillId="0" borderId="4" xfId="0" applyFont="1" applyBorder="1" applyAlignment="1">
      <alignment horizontal="center" wrapText="1"/>
    </xf>
    <xf numFmtId="0" fontId="30" fillId="0" borderId="5" xfId="0" applyFont="1" applyBorder="1" applyAlignment="1">
      <alignment horizontal="center"/>
    </xf>
    <xf numFmtId="172" fontId="30" fillId="0" borderId="1" xfId="0" applyNumberFormat="1" applyFont="1" applyBorder="1" applyAlignment="1">
      <alignment horizontal="center"/>
    </xf>
    <xf numFmtId="172" fontId="30" fillId="0" borderId="6" xfId="0" applyNumberFormat="1" applyFont="1" applyBorder="1" applyAlignment="1">
      <alignment horizontal="center"/>
    </xf>
    <xf numFmtId="0" fontId="30" fillId="0" borderId="7" xfId="0" applyFont="1" applyBorder="1" applyAlignment="1">
      <alignment horizontal="center"/>
    </xf>
    <xf numFmtId="172" fontId="30" fillId="0" borderId="8" xfId="0" applyNumberFormat="1" applyFont="1" applyBorder="1" applyAlignment="1">
      <alignment horizontal="center"/>
    </xf>
    <xf numFmtId="172" fontId="30" fillId="0" borderId="9" xfId="0" applyNumberFormat="1" applyFont="1" applyBorder="1" applyAlignment="1">
      <alignment horizontal="center"/>
    </xf>
    <xf numFmtId="2" fontId="30" fillId="0" borderId="0" xfId="0" applyNumberFormat="1" applyFont="1" applyAlignment="1">
      <alignment horizontal="center"/>
    </xf>
    <xf numFmtId="0" fontId="30" fillId="0" borderId="0" xfId="0" applyFont="1" applyAlignment="1">
      <alignment horizontal="center" wrapText="1"/>
    </xf>
    <xf numFmtId="2" fontId="30" fillId="0" borderId="0" xfId="0" applyNumberFormat="1" applyFont="1" applyAlignment="1">
      <alignment horizontal="center" wrapText="1"/>
    </xf>
    <xf numFmtId="172" fontId="30" fillId="0" borderId="0" xfId="0" applyNumberFormat="1" applyFont="1" applyAlignment="1">
      <alignment horizontal="center"/>
    </xf>
    <xf numFmtId="0" fontId="30" fillId="0" borderId="0" xfId="0" applyFont="1" applyAlignment="1">
      <alignment/>
    </xf>
    <xf numFmtId="174" fontId="30" fillId="0" borderId="0" xfId="0" applyNumberFormat="1" applyFont="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xf>
    <xf numFmtId="0" fontId="17" fillId="0" borderId="0" xfId="0" applyNumberFormat="1" applyFont="1" applyBorder="1" applyAlignment="1">
      <alignment horizontal="center" vertical="center" wrapText="1"/>
    </xf>
    <xf numFmtId="172" fontId="17" fillId="0" borderId="0" xfId="0" applyNumberFormat="1" applyFont="1" applyBorder="1" applyAlignment="1">
      <alignment horizontal="center" vertical="center" wrapText="1"/>
    </xf>
    <xf numFmtId="0" fontId="36" fillId="0" borderId="0" xfId="0" applyFont="1" applyAlignment="1">
      <alignment/>
    </xf>
    <xf numFmtId="0" fontId="37" fillId="0" borderId="0" xfId="0" applyFont="1" applyAlignment="1">
      <alignment/>
    </xf>
    <xf numFmtId="181" fontId="0" fillId="0" borderId="0" xfId="0" applyNumberFormat="1" applyAlignment="1">
      <alignment/>
    </xf>
    <xf numFmtId="173" fontId="30" fillId="0" borderId="0" xfId="21" applyNumberFormat="1" applyFont="1" applyAlignment="1">
      <alignment horizontal="center"/>
    </xf>
    <xf numFmtId="0" fontId="27" fillId="0" borderId="1" xfId="0" applyFont="1" applyBorder="1" applyAlignment="1">
      <alignment/>
    </xf>
    <xf numFmtId="0" fontId="27" fillId="0" borderId="1" xfId="0" applyFont="1" applyBorder="1" applyAlignment="1">
      <alignment horizontal="center"/>
    </xf>
    <xf numFmtId="10" fontId="27" fillId="0" borderId="1" xfId="21" applyNumberFormat="1" applyFont="1" applyBorder="1" applyAlignment="1">
      <alignment/>
    </xf>
    <xf numFmtId="186" fontId="27" fillId="0" borderId="1" xfId="15" applyNumberFormat="1" applyFont="1" applyBorder="1" applyAlignment="1">
      <alignment/>
    </xf>
    <xf numFmtId="186" fontId="27" fillId="0" borderId="1" xfId="0" applyNumberFormat="1" applyFont="1" applyBorder="1" applyAlignment="1">
      <alignment/>
    </xf>
    <xf numFmtId="9" fontId="27" fillId="3" borderId="9" xfId="0" applyNumberFormat="1" applyFont="1" applyFill="1" applyBorder="1" applyAlignment="1">
      <alignment horizontal="center"/>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0" fillId="0" borderId="0" xfId="0" applyFont="1" applyAlignment="1">
      <alignment/>
    </xf>
    <xf numFmtId="0" fontId="44" fillId="0" borderId="0" xfId="0" applyFont="1" applyAlignment="1">
      <alignment/>
    </xf>
    <xf numFmtId="0" fontId="37" fillId="0" borderId="0" xfId="0" applyFont="1" applyAlignment="1">
      <alignment horizontal="right"/>
    </xf>
    <xf numFmtId="10" fontId="0" fillId="0" borderId="0" xfId="0" applyNumberFormat="1" applyFont="1" applyAlignment="1">
      <alignment/>
    </xf>
    <xf numFmtId="0" fontId="37"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37" fillId="0" borderId="23" xfId="0" applyFont="1" applyBorder="1" applyAlignment="1">
      <alignment/>
    </xf>
    <xf numFmtId="0" fontId="0" fillId="0" borderId="24" xfId="0" applyBorder="1" applyAlignment="1">
      <alignment/>
    </xf>
    <xf numFmtId="182" fontId="0" fillId="0" borderId="0" xfId="0" applyNumberFormat="1" applyBorder="1" applyAlignment="1">
      <alignment/>
    </xf>
    <xf numFmtId="0" fontId="0" fillId="0" borderId="25" xfId="0" applyBorder="1" applyAlignment="1">
      <alignment/>
    </xf>
    <xf numFmtId="182" fontId="0" fillId="0" borderId="26" xfId="0" applyNumberFormat="1" applyBorder="1" applyAlignment="1">
      <alignment/>
    </xf>
    <xf numFmtId="0" fontId="0" fillId="0" borderId="27" xfId="0" applyBorder="1" applyAlignment="1">
      <alignment/>
    </xf>
    <xf numFmtId="182" fontId="0" fillId="0" borderId="23" xfId="0" applyNumberFormat="1" applyBorder="1" applyAlignment="1">
      <alignment/>
    </xf>
    <xf numFmtId="182" fontId="0" fillId="0" borderId="24" xfId="0" applyNumberFormat="1" applyBorder="1" applyAlignment="1">
      <alignment/>
    </xf>
    <xf numFmtId="2" fontId="0" fillId="0" borderId="24" xfId="0" applyNumberFormat="1" applyBorder="1" applyAlignment="1">
      <alignment/>
    </xf>
    <xf numFmtId="182" fontId="0" fillId="0" borderId="25" xfId="0" applyNumberFormat="1" applyBorder="1" applyAlignment="1">
      <alignment/>
    </xf>
    <xf numFmtId="182" fontId="0" fillId="0" borderId="28" xfId="0" applyNumberFormat="1" applyBorder="1" applyAlignment="1">
      <alignment/>
    </xf>
    <xf numFmtId="182" fontId="0" fillId="0" borderId="16" xfId="0" applyNumberFormat="1"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20" xfId="0" applyBorder="1" applyAlignment="1">
      <alignment/>
    </xf>
    <xf numFmtId="9" fontId="0" fillId="0" borderId="23" xfId="0" applyNumberFormat="1" applyBorder="1" applyAlignment="1">
      <alignment/>
    </xf>
    <xf numFmtId="0" fontId="0" fillId="0" borderId="31" xfId="0" applyBorder="1" applyAlignment="1">
      <alignment/>
    </xf>
    <xf numFmtId="0" fontId="0" fillId="0" borderId="28" xfId="0" applyBorder="1" applyAlignment="1">
      <alignment/>
    </xf>
    <xf numFmtId="9" fontId="0" fillId="0" borderId="28" xfId="0" applyNumberFormat="1" applyBorder="1" applyAlignment="1">
      <alignment/>
    </xf>
    <xf numFmtId="0" fontId="0" fillId="0" borderId="16" xfId="0" applyBorder="1" applyAlignment="1">
      <alignment/>
    </xf>
    <xf numFmtId="0" fontId="0" fillId="0" borderId="1" xfId="0" applyBorder="1" applyAlignment="1">
      <alignment horizontal="center"/>
    </xf>
    <xf numFmtId="0" fontId="37" fillId="0" borderId="22" xfId="0" applyFont="1" applyBorder="1" applyAlignment="1">
      <alignment/>
    </xf>
    <xf numFmtId="0" fontId="37" fillId="0" borderId="0" xfId="0" applyFont="1" applyBorder="1" applyAlignment="1">
      <alignment/>
    </xf>
    <xf numFmtId="0" fontId="37" fillId="0" borderId="24" xfId="0" applyFont="1" applyBorder="1" applyAlignment="1">
      <alignment/>
    </xf>
    <xf numFmtId="182" fontId="37" fillId="0" borderId="0" xfId="0" applyNumberFormat="1" applyFont="1" applyBorder="1" applyAlignment="1">
      <alignment/>
    </xf>
    <xf numFmtId="181" fontId="0" fillId="0" borderId="26" xfId="0" applyNumberFormat="1" applyBorder="1" applyAlignment="1">
      <alignment/>
    </xf>
    <xf numFmtId="0" fontId="37" fillId="0" borderId="31" xfId="0" applyFont="1" applyBorder="1" applyAlignment="1">
      <alignment/>
    </xf>
    <xf numFmtId="0" fontId="37" fillId="0" borderId="21" xfId="0" applyFont="1" applyBorder="1" applyAlignment="1">
      <alignment/>
    </xf>
    <xf numFmtId="182" fontId="37" fillId="0" borderId="28" xfId="0" applyNumberFormat="1" applyFont="1" applyBorder="1" applyAlignment="1">
      <alignment/>
    </xf>
    <xf numFmtId="0" fontId="37" fillId="0" borderId="28" xfId="0" applyFont="1" applyBorder="1" applyAlignment="1">
      <alignment/>
    </xf>
    <xf numFmtId="181" fontId="0" fillId="0" borderId="16" xfId="0" applyNumberFormat="1" applyBorder="1" applyAlignment="1">
      <alignment/>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36" fillId="0" borderId="0" xfId="0" applyFont="1" applyAlignment="1">
      <alignment horizontal="left"/>
    </xf>
    <xf numFmtId="0" fontId="36" fillId="0" borderId="0" xfId="0" applyFont="1" applyAlignment="1">
      <alignment horizontal="center"/>
    </xf>
    <xf numFmtId="2" fontId="36" fillId="0" borderId="0" xfId="0" applyNumberFormat="1" applyFont="1" applyAlignment="1">
      <alignment horizontal="center"/>
    </xf>
    <xf numFmtId="181" fontId="0" fillId="0" borderId="25" xfId="0" applyNumberFormat="1" applyBorder="1" applyAlignment="1">
      <alignment/>
    </xf>
    <xf numFmtId="181" fontId="0" fillId="0" borderId="27" xfId="0" applyNumberFormat="1" applyBorder="1" applyAlignment="1">
      <alignment/>
    </xf>
    <xf numFmtId="0" fontId="0" fillId="0" borderId="29" xfId="0" applyBorder="1" applyAlignment="1">
      <alignment/>
    </xf>
    <xf numFmtId="0" fontId="0" fillId="0" borderId="30" xfId="0" applyBorder="1" applyAlignment="1">
      <alignment/>
    </xf>
    <xf numFmtId="0" fontId="0" fillId="0" borderId="26" xfId="0" applyBorder="1" applyAlignment="1">
      <alignment/>
    </xf>
    <xf numFmtId="7" fontId="32" fillId="0" borderId="0" xfId="0" applyNumberFormat="1" applyFont="1" applyFill="1" applyBorder="1" applyAlignment="1">
      <alignment/>
    </xf>
    <xf numFmtId="9" fontId="32" fillId="0" borderId="0" xfId="0" applyNumberFormat="1" applyFont="1" applyAlignment="1">
      <alignment/>
    </xf>
    <xf numFmtId="173" fontId="47" fillId="0" borderId="0" xfId="0" applyNumberFormat="1" applyFont="1" applyAlignment="1">
      <alignment/>
    </xf>
    <xf numFmtId="0" fontId="0" fillId="0" borderId="0" xfId="0" applyAlignment="1">
      <alignment horizontal="center" vertical="center" wrapText="1"/>
    </xf>
    <xf numFmtId="9" fontId="51" fillId="0" borderId="0" xfId="0" applyNumberFormat="1" applyFont="1" applyAlignment="1">
      <alignment/>
    </xf>
    <xf numFmtId="9" fontId="52" fillId="0" borderId="0" xfId="0" applyNumberFormat="1" applyFont="1" applyAlignment="1">
      <alignment/>
    </xf>
    <xf numFmtId="7" fontId="32" fillId="0" borderId="0" xfId="0" applyNumberFormat="1" applyFont="1" applyBorder="1" applyAlignment="1">
      <alignment/>
    </xf>
    <xf numFmtId="9" fontId="53" fillId="0" borderId="0" xfId="21" applyFont="1" applyAlignment="1">
      <alignment/>
    </xf>
    <xf numFmtId="8" fontId="0" fillId="0" borderId="0" xfId="0" applyNumberFormat="1" applyFont="1" applyAlignment="1">
      <alignment/>
    </xf>
    <xf numFmtId="182" fontId="0" fillId="0" borderId="0" xfId="0" applyNumberFormat="1" applyFont="1" applyBorder="1" applyAlignment="1">
      <alignment horizontal="right"/>
    </xf>
    <xf numFmtId="0" fontId="0" fillId="0" borderId="0" xfId="0" applyAlignment="1">
      <alignment wrapText="1"/>
    </xf>
    <xf numFmtId="0" fontId="0" fillId="0" borderId="34" xfId="0" applyBorder="1" applyAlignment="1">
      <alignment/>
    </xf>
    <xf numFmtId="0" fontId="37" fillId="0" borderId="31" xfId="0" applyFont="1" applyBorder="1" applyAlignment="1">
      <alignment horizontal="center"/>
    </xf>
    <xf numFmtId="0" fontId="47" fillId="0" borderId="1" xfId="0" applyFont="1" applyBorder="1" applyAlignment="1">
      <alignment horizontal="center"/>
    </xf>
    <xf numFmtId="0" fontId="37" fillId="0" borderId="25" xfId="0" applyFont="1" applyBorder="1" applyAlignment="1">
      <alignment/>
    </xf>
    <xf numFmtId="0" fontId="37" fillId="0" borderId="27" xfId="0" applyFont="1" applyBorder="1" applyAlignment="1">
      <alignment/>
    </xf>
    <xf numFmtId="0" fontId="14" fillId="0" borderId="23" xfId="0" applyFont="1" applyBorder="1" applyAlignment="1">
      <alignment/>
    </xf>
    <xf numFmtId="9" fontId="14" fillId="0" borderId="0" xfId="0" applyNumberFormat="1" applyFont="1" applyBorder="1" applyAlignment="1">
      <alignment/>
    </xf>
    <xf numFmtId="0" fontId="14" fillId="0" borderId="25" xfId="0" applyFont="1" applyBorder="1" applyAlignment="1">
      <alignment/>
    </xf>
    <xf numFmtId="9" fontId="14" fillId="0" borderId="26" xfId="0" applyNumberFormat="1" applyFont="1" applyBorder="1" applyAlignment="1">
      <alignment/>
    </xf>
    <xf numFmtId="0" fontId="14" fillId="0" borderId="23" xfId="0" applyFont="1" applyBorder="1" applyAlignment="1">
      <alignment horizontal="center"/>
    </xf>
    <xf numFmtId="9" fontId="14" fillId="0" borderId="0" xfId="0" applyNumberFormat="1" applyFont="1" applyBorder="1" applyAlignment="1">
      <alignment horizontal="center"/>
    </xf>
    <xf numFmtId="0" fontId="14" fillId="0" borderId="25" xfId="0" applyFont="1" applyBorder="1" applyAlignment="1">
      <alignment horizontal="center"/>
    </xf>
    <xf numFmtId="9" fontId="14" fillId="0" borderId="26" xfId="0" applyNumberFormat="1" applyFont="1" applyBorder="1" applyAlignment="1">
      <alignment horizontal="center"/>
    </xf>
    <xf numFmtId="0" fontId="14" fillId="0" borderId="29" xfId="0" applyFont="1" applyBorder="1" applyAlignment="1">
      <alignment wrapText="1"/>
    </xf>
    <xf numFmtId="9" fontId="14" fillId="0" borderId="28" xfId="0" applyNumberFormat="1" applyFont="1" applyBorder="1" applyAlignment="1">
      <alignment/>
    </xf>
    <xf numFmtId="9" fontId="14" fillId="0" borderId="16" xfId="0" applyNumberFormat="1" applyFont="1" applyBorder="1" applyAlignment="1">
      <alignment/>
    </xf>
    <xf numFmtId="0" fontId="14" fillId="0" borderId="34" xfId="0" applyFont="1" applyBorder="1" applyAlignment="1">
      <alignment wrapText="1"/>
    </xf>
    <xf numFmtId="9" fontId="14" fillId="0" borderId="28" xfId="0" applyNumberFormat="1" applyFont="1" applyBorder="1" applyAlignment="1">
      <alignment horizontal="center"/>
    </xf>
    <xf numFmtId="9" fontId="14" fillId="0" borderId="16" xfId="0" applyNumberFormat="1" applyFont="1" applyBorder="1" applyAlignment="1">
      <alignment horizontal="center"/>
    </xf>
    <xf numFmtId="0" fontId="14" fillId="0" borderId="29" xfId="0" applyFont="1" applyBorder="1" applyAlignment="1">
      <alignment/>
    </xf>
    <xf numFmtId="0" fontId="14" fillId="0" borderId="1" xfId="0" applyFont="1" applyBorder="1" applyAlignment="1">
      <alignment/>
    </xf>
    <xf numFmtId="0" fontId="14" fillId="0" borderId="34" xfId="0" applyFont="1" applyBorder="1" applyAlignment="1">
      <alignment horizontal="center"/>
    </xf>
    <xf numFmtId="0" fontId="14" fillId="0" borderId="1" xfId="0" applyFont="1" applyBorder="1" applyAlignment="1">
      <alignment horizont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5"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6" xfId="0" applyFont="1" applyBorder="1" applyAlignment="1">
      <alignment vertical="center" wrapText="1"/>
    </xf>
    <xf numFmtId="0" fontId="12" fillId="0" borderId="36" xfId="20" applyFill="1" applyBorder="1" applyAlignment="1">
      <alignment vertical="center" wrapText="1"/>
    </xf>
    <xf numFmtId="0" fontId="0" fillId="0" borderId="36" xfId="0" applyBorder="1" applyAlignment="1">
      <alignment vertical="center" wrapText="1"/>
    </xf>
    <xf numFmtId="0" fontId="12" fillId="0" borderId="36" xfId="20" applyBorder="1" applyAlignment="1">
      <alignment vertical="center" wrapText="1"/>
    </xf>
    <xf numFmtId="0" fontId="0" fillId="0" borderId="39" xfId="0" applyBorder="1" applyAlignment="1">
      <alignment vertical="center" wrapText="1"/>
    </xf>
    <xf numFmtId="0" fontId="54" fillId="0" borderId="0" xfId="0" applyFont="1" applyAlignment="1">
      <alignment horizontal="right"/>
    </xf>
    <xf numFmtId="0" fontId="47" fillId="0" borderId="8" xfId="0" applyFont="1" applyBorder="1" applyAlignment="1">
      <alignment horizontal="center" vertical="center"/>
    </xf>
    <xf numFmtId="0" fontId="0" fillId="0" borderId="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vertical="center"/>
    </xf>
    <xf numFmtId="0" fontId="0" fillId="0" borderId="28" xfId="0" applyBorder="1" applyAlignment="1">
      <alignment vertical="center" wrapText="1"/>
    </xf>
    <xf numFmtId="9" fontId="47" fillId="4" borderId="28" xfId="0" applyNumberFormat="1" applyFont="1" applyFill="1" applyBorder="1" applyAlignment="1">
      <alignment horizontal="center" vertical="center" wrapText="1"/>
    </xf>
    <xf numFmtId="9" fontId="0" fillId="0" borderId="28" xfId="0" applyNumberFormat="1" applyFont="1" applyBorder="1" applyAlignment="1">
      <alignment horizontal="center" vertical="center" wrapText="1"/>
    </xf>
    <xf numFmtId="9" fontId="0" fillId="5" borderId="24" xfId="0" applyNumberFormat="1" applyFont="1" applyFill="1" applyBorder="1" applyAlignment="1">
      <alignment horizontal="center" vertical="center"/>
    </xf>
    <xf numFmtId="0" fontId="0" fillId="0" borderId="23" xfId="0" applyFont="1" applyFill="1" applyBorder="1" applyAlignment="1">
      <alignment vertical="center"/>
    </xf>
    <xf numFmtId="0" fontId="19" fillId="0" borderId="34" xfId="0" applyFont="1" applyBorder="1" applyAlignment="1">
      <alignment horizontal="left" vertical="center"/>
    </xf>
    <xf numFmtId="0" fontId="47"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23" xfId="0" applyBorder="1" applyAlignment="1">
      <alignment vertical="center"/>
    </xf>
    <xf numFmtId="0" fontId="0" fillId="0" borderId="28" xfId="0" applyFont="1" applyBorder="1" applyAlignment="1">
      <alignment vertical="center"/>
    </xf>
    <xf numFmtId="176" fontId="47" fillId="4" borderId="0" xfId="0" applyNumberFormat="1" applyFont="1" applyFill="1" applyBorder="1" applyAlignment="1">
      <alignment horizontal="center" vertical="center"/>
    </xf>
    <xf numFmtId="0" fontId="0" fillId="0" borderId="28" xfId="0" applyFont="1" applyBorder="1" applyAlignment="1">
      <alignment horizontal="center" vertical="center"/>
    </xf>
    <xf numFmtId="7" fontId="47" fillId="4" borderId="0" xfId="0" applyNumberFormat="1" applyFont="1" applyFill="1" applyBorder="1" applyAlignment="1">
      <alignment horizontal="center" vertical="center"/>
    </xf>
    <xf numFmtId="182" fontId="0" fillId="0" borderId="28" xfId="0" applyNumberFormat="1" applyFont="1" applyBorder="1" applyAlignment="1">
      <alignment horizontal="center" vertical="center"/>
    </xf>
    <xf numFmtId="173" fontId="47" fillId="4" borderId="0" xfId="0" applyNumberFormat="1" applyFont="1" applyFill="1" applyBorder="1" applyAlignment="1">
      <alignment horizontal="center" vertical="center"/>
    </xf>
    <xf numFmtId="173" fontId="0" fillId="0" borderId="28" xfId="0" applyNumberFormat="1" applyFont="1" applyFill="1" applyBorder="1" applyAlignment="1">
      <alignment horizontal="center" vertical="center"/>
    </xf>
    <xf numFmtId="173" fontId="0" fillId="0" borderId="28" xfId="0" applyNumberFormat="1" applyFont="1" applyBorder="1" applyAlignment="1">
      <alignment horizontal="center" vertical="center"/>
    </xf>
    <xf numFmtId="0" fontId="0" fillId="0" borderId="25" xfId="0" applyBorder="1" applyAlignment="1">
      <alignment vertical="center"/>
    </xf>
    <xf numFmtId="0" fontId="0" fillId="0" borderId="16" xfId="0" applyFont="1" applyBorder="1" applyAlignment="1">
      <alignment vertical="center"/>
    </xf>
    <xf numFmtId="173" fontId="47" fillId="4" borderId="26" xfId="0" applyNumberFormat="1" applyFont="1" applyFill="1" applyBorder="1" applyAlignment="1">
      <alignment horizontal="center" vertical="center"/>
    </xf>
    <xf numFmtId="173" fontId="0" fillId="0" borderId="16" xfId="0" applyNumberFormat="1" applyFont="1" applyBorder="1" applyAlignment="1">
      <alignment horizontal="center" vertical="center"/>
    </xf>
    <xf numFmtId="0" fontId="55" fillId="0" borderId="31" xfId="0" applyFont="1" applyBorder="1" applyAlignment="1">
      <alignment horizontal="center" vertical="center" wrapText="1"/>
    </xf>
    <xf numFmtId="0" fontId="56" fillId="0" borderId="16" xfId="0" applyFont="1" applyFill="1" applyBorder="1" applyAlignment="1">
      <alignment horizontal="center" vertical="center" wrapText="1"/>
    </xf>
    <xf numFmtId="0" fontId="57" fillId="0" borderId="0" xfId="0" applyFont="1" applyAlignment="1">
      <alignment horizontal="center" vertical="center"/>
    </xf>
    <xf numFmtId="0" fontId="37" fillId="0" borderId="1" xfId="0" applyFont="1" applyBorder="1" applyAlignment="1">
      <alignment vertical="center"/>
    </xf>
    <xf numFmtId="173" fontId="48" fillId="0" borderId="0" xfId="0" applyNumberFormat="1" applyFont="1" applyFill="1" applyBorder="1" applyAlignment="1">
      <alignment/>
    </xf>
    <xf numFmtId="0" fontId="37" fillId="0" borderId="0" xfId="0" applyFont="1" applyFill="1" applyBorder="1" applyAlignment="1">
      <alignment horizontal="right"/>
    </xf>
    <xf numFmtId="173" fontId="37" fillId="0" borderId="1" xfId="0" applyNumberFormat="1" applyFont="1" applyBorder="1" applyAlignment="1">
      <alignment horizontal="center"/>
    </xf>
    <xf numFmtId="173" fontId="48" fillId="3" borderId="1" xfId="0" applyNumberFormat="1" applyFont="1" applyFill="1" applyBorder="1" applyAlignment="1">
      <alignment horizontal="center"/>
    </xf>
    <xf numFmtId="0" fontId="0" fillId="5" borderId="31" xfId="0" applyFont="1" applyFill="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wrapText="1"/>
    </xf>
    <xf numFmtId="0" fontId="0" fillId="5" borderId="16" xfId="0" applyFont="1" applyFill="1" applyBorder="1" applyAlignment="1">
      <alignment horizontal="center" vertical="center"/>
    </xf>
    <xf numFmtId="0" fontId="54" fillId="0" borderId="0" xfId="0" applyFont="1" applyAlignment="1">
      <alignment horizontal="right"/>
    </xf>
    <xf numFmtId="176" fontId="32" fillId="0" borderId="11" xfId="0" applyNumberFormat="1" applyFont="1" applyBorder="1" applyAlignment="1">
      <alignment/>
    </xf>
    <xf numFmtId="173" fontId="0" fillId="5" borderId="28" xfId="0" applyNumberFormat="1" applyFont="1" applyFill="1" applyBorder="1" applyAlignment="1">
      <alignment horizontal="center" vertical="center"/>
    </xf>
    <xf numFmtId="14" fontId="0" fillId="0" borderId="35" xfId="0" applyNumberFormat="1" applyFont="1" applyBorder="1" applyAlignment="1">
      <alignment horizontal="left" vertical="center" wrapText="1"/>
    </xf>
    <xf numFmtId="0" fontId="0" fillId="0" borderId="0" xfId="0" applyAlignment="1">
      <alignment vertical="center"/>
    </xf>
    <xf numFmtId="0" fontId="0" fillId="0" borderId="36" xfId="0" applyFont="1" applyBorder="1" applyAlignment="1">
      <alignment horizontal="left" vertical="top" wrapText="1"/>
    </xf>
    <xf numFmtId="0" fontId="53" fillId="0" borderId="28" xfId="20" applyFont="1" applyBorder="1" applyAlignment="1">
      <alignment vertical="center"/>
    </xf>
    <xf numFmtId="0" fontId="53" fillId="0" borderId="16" xfId="20" applyFont="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173" fontId="47"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40" xfId="0" applyFont="1" applyBorder="1" applyAlignment="1">
      <alignment horizontal="left" vertical="center" wrapText="1"/>
    </xf>
    <xf numFmtId="0" fontId="0" fillId="0" borderId="38" xfId="0" applyFont="1" applyBorder="1" applyAlignment="1">
      <alignment horizontal="left" vertical="center" wrapText="1"/>
    </xf>
    <xf numFmtId="0" fontId="37" fillId="0" borderId="4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6" xfId="0" applyBorder="1" applyAlignment="1">
      <alignment/>
    </xf>
    <xf numFmtId="0" fontId="37" fillId="0" borderId="0" xfId="0" applyFont="1" applyFill="1" applyAlignment="1">
      <alignment horizontal="left" vertical="center" wrapText="1"/>
    </xf>
    <xf numFmtId="182" fontId="0" fillId="5" borderId="28" xfId="0" applyNumberFormat="1" applyFont="1" applyFill="1" applyBorder="1" applyAlignment="1">
      <alignment horizontal="center" vertical="center"/>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32" xfId="0" applyFont="1" applyFill="1" applyBorder="1" applyAlignment="1">
      <alignment horizontal="left" vertical="top" wrapText="1"/>
    </xf>
    <xf numFmtId="0" fontId="0" fillId="0" borderId="43" xfId="0" applyFont="1" applyFill="1" applyBorder="1" applyAlignment="1">
      <alignment horizontal="left" vertical="top" wrapText="1"/>
    </xf>
    <xf numFmtId="0" fontId="45" fillId="0" borderId="0" xfId="0" applyFont="1" applyAlignment="1">
      <alignment horizontal="center" vertical="center"/>
    </xf>
    <xf numFmtId="0" fontId="0" fillId="0" borderId="44"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Alignment="1">
      <alignment horizontal="left" wrapText="1"/>
    </xf>
    <xf numFmtId="0" fontId="37" fillId="0" borderId="0" xfId="0" applyFont="1" applyFill="1" applyAlignment="1">
      <alignment horizontal="left" vertical="center" wrapText="1"/>
    </xf>
    <xf numFmtId="0" fontId="19" fillId="0" borderId="1" xfId="0" applyFont="1" applyBorder="1" applyAlignment="1">
      <alignment horizontal="left" vertical="center"/>
    </xf>
    <xf numFmtId="0" fontId="19" fillId="0" borderId="8" xfId="0" applyFont="1" applyBorder="1" applyAlignment="1">
      <alignment horizontal="left" vertical="center"/>
    </xf>
    <xf numFmtId="0" fontId="19" fillId="0" borderId="1" xfId="0" applyFont="1" applyBorder="1" applyAlignment="1">
      <alignment horizontal="center" vertical="center"/>
    </xf>
    <xf numFmtId="0" fontId="27" fillId="0" borderId="17" xfId="0" applyFont="1" applyBorder="1" applyAlignment="1">
      <alignment horizontal="right"/>
    </xf>
    <xf numFmtId="0" fontId="30" fillId="0" borderId="18" xfId="0" applyFont="1" applyBorder="1" applyAlignment="1">
      <alignment horizontal="right"/>
    </xf>
    <xf numFmtId="0" fontId="17" fillId="0" borderId="3" xfId="0" applyFont="1" applyBorder="1" applyAlignment="1">
      <alignment horizontal="center" vertical="center" wrapText="1"/>
    </xf>
    <xf numFmtId="3" fontId="17" fillId="0" borderId="14" xfId="0" applyNumberFormat="1" applyFont="1" applyBorder="1" applyAlignment="1">
      <alignment horizontal="center"/>
    </xf>
    <xf numFmtId="3" fontId="17" fillId="0" borderId="0" xfId="0" applyNumberFormat="1" applyFont="1" applyBorder="1" applyAlignment="1">
      <alignment horizontal="center"/>
    </xf>
    <xf numFmtId="0" fontId="0" fillId="0" borderId="26"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37" fillId="0" borderId="20" xfId="0" applyFont="1" applyBorder="1" applyAlignment="1">
      <alignment horizontal="center"/>
    </xf>
    <xf numFmtId="0" fontId="37" fillId="0" borderId="22" xfId="0" applyFont="1" applyBorder="1" applyAlignment="1">
      <alignment horizontal="center"/>
    </xf>
    <xf numFmtId="0" fontId="27" fillId="0" borderId="0" xfId="0" applyFont="1" applyBorder="1" applyAlignment="1">
      <alignment horizontal="right"/>
    </xf>
    <xf numFmtId="0" fontId="30" fillId="0" borderId="0" xfId="0" applyFont="1" applyBorder="1" applyAlignment="1">
      <alignment horizontal="right"/>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Undiscounted net benefits of Energy Rehabilitation Activity</a:t>
            </a:r>
          </a:p>
        </c:rich>
      </c:tx>
      <c:layout/>
      <c:spPr>
        <a:noFill/>
        <a:ln>
          <a:noFill/>
        </a:ln>
      </c:spPr>
    </c:title>
    <c:plotArea>
      <c:layout/>
      <c:areaChart>
        <c:grouping val="standard"/>
        <c:varyColors val="0"/>
        <c:ser>
          <c:idx val="0"/>
          <c:order val="0"/>
          <c:tx>
            <c:v>Net benefits</c:v>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numRef>
              <c:f>'ERR Pipeline'!$C$69:$M$69</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'ERR Pipeline'!$C$73:$M$73</c:f>
              <c:numCache>
                <c:ptCount val="11"/>
                <c:pt idx="0">
                  <c:v>0</c:v>
                </c:pt>
                <c:pt idx="1">
                  <c:v>-23276756.100362316</c:v>
                </c:pt>
                <c:pt idx="2">
                  <c:v>-15614947.312882682</c:v>
                </c:pt>
                <c:pt idx="3">
                  <c:v>6812004.844732426</c:v>
                </c:pt>
                <c:pt idx="4">
                  <c:v>7932519.253742281</c:v>
                </c:pt>
                <c:pt idx="5">
                  <c:v>8453555.02537945</c:v>
                </c:pt>
                <c:pt idx="6">
                  <c:v>8837054.65623937</c:v>
                </c:pt>
                <c:pt idx="7">
                  <c:v>9198856.58626839</c:v>
                </c:pt>
                <c:pt idx="8">
                  <c:v>9570746.994431145</c:v>
                </c:pt>
                <c:pt idx="9">
                  <c:v>8166450.608614571</c:v>
                </c:pt>
                <c:pt idx="10">
                  <c:v>8520094.890870886</c:v>
                </c:pt>
              </c:numCache>
            </c:numRef>
          </c:val>
        </c:ser>
        <c:axId val="48656007"/>
        <c:axId val="35250880"/>
      </c:areaChart>
      <c:catAx>
        <c:axId val="48656007"/>
        <c:scaling>
          <c:orientation val="minMax"/>
        </c:scaling>
        <c:axPos val="b"/>
        <c:title>
          <c:tx>
            <c:rich>
              <a:bodyPr vert="horz" rot="0" anchor="ctr"/>
              <a:lstStyle/>
              <a:p>
                <a:pPr algn="ctr">
                  <a:defRPr/>
                </a:pPr>
                <a:r>
                  <a:rPr lang="en-US" cap="none" sz="9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5250880"/>
        <c:crosses val="autoZero"/>
        <c:auto val="1"/>
        <c:lblOffset val="100"/>
        <c:noMultiLvlLbl val="0"/>
      </c:catAx>
      <c:valAx>
        <c:axId val="35250880"/>
        <c:scaling>
          <c:orientation val="minMax"/>
        </c:scaling>
        <c:axPos val="l"/>
        <c:title>
          <c:tx>
            <c:rich>
              <a:bodyPr vert="horz" rot="-5400000" anchor="ctr"/>
              <a:lstStyle/>
              <a:p>
                <a:pPr algn="ctr">
                  <a:defRPr/>
                </a:pPr>
                <a:r>
                  <a:rPr lang="en-US" cap="none" sz="975"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crossAx val="4865600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Sensitivity Project IRR</a:t>
            </a:r>
          </a:p>
        </c:rich>
      </c:tx>
      <c:layout>
        <c:manualLayout>
          <c:xMode val="factor"/>
          <c:yMode val="factor"/>
          <c:x val="-0.06975"/>
          <c:y val="0.049"/>
        </c:manualLayout>
      </c:layout>
      <c:spPr>
        <a:noFill/>
        <a:ln>
          <a:noFill/>
        </a:ln>
      </c:spPr>
    </c:title>
    <c:plotArea>
      <c:layout>
        <c:manualLayout>
          <c:xMode val="edge"/>
          <c:yMode val="edge"/>
          <c:x val="0.04125"/>
          <c:y val="0"/>
          <c:w val="0.95875"/>
          <c:h val="0.94225"/>
        </c:manualLayout>
      </c:layout>
      <c:scatterChart>
        <c:scatterStyle val="smooth"/>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'IRR-low'!$C$134:$C$139</c:f>
              <c:numCache>
                <c:ptCount val="6"/>
                <c:pt idx="0">
                  <c:v>5</c:v>
                </c:pt>
                <c:pt idx="1">
                  <c:v>4</c:v>
                </c:pt>
                <c:pt idx="2">
                  <c:v>3</c:v>
                </c:pt>
                <c:pt idx="3">
                  <c:v>2</c:v>
                </c:pt>
                <c:pt idx="4">
                  <c:v>1</c:v>
                </c:pt>
                <c:pt idx="5">
                  <c:v>0</c:v>
                </c:pt>
              </c:numCache>
            </c:numRef>
          </c:xVal>
          <c:yVal>
            <c:numRef>
              <c:f>'IRR-low'!$D$134:$D$139</c:f>
              <c:numCache>
                <c:ptCount val="6"/>
                <c:pt idx="0">
                  <c:v>0.20282476643173591</c:v>
                </c:pt>
                <c:pt idx="1">
                  <c:v>0.16655863197897097</c:v>
                </c:pt>
                <c:pt idx="2">
                  <c:v>0.12874674196639976</c:v>
                </c:pt>
                <c:pt idx="3">
                  <c:v>0.08921061056984785</c:v>
                </c:pt>
                <c:pt idx="4">
                  <c:v>0.04777846617877438</c:v>
                </c:pt>
                <c:pt idx="5">
                  <c:v>0.004320842734923723</c:v>
                </c:pt>
              </c:numCache>
            </c:numRef>
          </c:yVal>
          <c:smooth val="1"/>
        </c:ser>
        <c:axId val="8773393"/>
        <c:axId val="11851674"/>
      </c:scatterChart>
      <c:valAx>
        <c:axId val="8773393"/>
        <c:scaling>
          <c:orientation val="minMax"/>
        </c:scaling>
        <c:axPos val="b"/>
        <c:title>
          <c:tx>
            <c:rich>
              <a:bodyPr vert="horz" rot="0" anchor="ctr"/>
              <a:lstStyle/>
              <a:p>
                <a:pPr algn="ctr">
                  <a:defRPr/>
                </a:pPr>
                <a:r>
                  <a:rPr lang="en-US" cap="none" sz="1125" b="1" i="0" u="none" baseline="0">
                    <a:latin typeface="Arial"/>
                    <a:ea typeface="Arial"/>
                    <a:cs typeface="Arial"/>
                  </a:rPr>
                  <a:t>Price of CO2 equivalent in US$/ton</a:t>
                </a:r>
              </a:p>
            </c:rich>
          </c:tx>
          <c:layout/>
          <c:overlay val="0"/>
          <c:spPr>
            <a:noFill/>
            <a:ln>
              <a:noFill/>
            </a:ln>
          </c:spPr>
        </c:title>
        <c:delete val="0"/>
        <c:numFmt formatCode="General" sourceLinked="1"/>
        <c:majorTickMark val="out"/>
        <c:minorTickMark val="none"/>
        <c:tickLblPos val="nextTo"/>
        <c:crossAx val="11851674"/>
        <c:crosses val="autoZero"/>
        <c:crossBetween val="midCat"/>
        <c:dispUnits/>
      </c:valAx>
      <c:valAx>
        <c:axId val="11851674"/>
        <c:scaling>
          <c:orientation val="minMax"/>
        </c:scaling>
        <c:axPos val="l"/>
        <c:title>
          <c:tx>
            <c:rich>
              <a:bodyPr vert="horz" rot="-5400000" anchor="ctr"/>
              <a:lstStyle/>
              <a:p>
                <a:pPr algn="ctr">
                  <a:defRPr/>
                </a:pPr>
                <a:r>
                  <a:rPr lang="en-US" cap="none" sz="1125" b="1" i="0" u="none" baseline="0">
                    <a:latin typeface="Arial"/>
                    <a:ea typeface="Arial"/>
                    <a:cs typeface="Arial"/>
                  </a:rPr>
                  <a:t>IRR</a:t>
                </a:r>
              </a:p>
            </c:rich>
          </c:tx>
          <c:layout/>
          <c:overlay val="0"/>
          <c:spPr>
            <a:noFill/>
            <a:ln>
              <a:noFill/>
            </a:ln>
          </c:spPr>
        </c:title>
        <c:majorGridlines/>
        <c:delete val="0"/>
        <c:numFmt formatCode="General" sourceLinked="1"/>
        <c:majorTickMark val="out"/>
        <c:minorTickMark val="none"/>
        <c:tickLblPos val="nextTo"/>
        <c:crossAx val="8773393"/>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Sensitivity Project IRR</a:t>
            </a:r>
          </a:p>
        </c:rich>
      </c:tx>
      <c:layout>
        <c:manualLayout>
          <c:xMode val="factor"/>
          <c:yMode val="factor"/>
          <c:x val="-0.06975"/>
          <c:y val="0.049"/>
        </c:manualLayout>
      </c:layout>
      <c:spPr>
        <a:noFill/>
        <a:ln>
          <a:noFill/>
        </a:ln>
      </c:spPr>
    </c:title>
    <c:plotArea>
      <c:layout>
        <c:manualLayout>
          <c:xMode val="edge"/>
          <c:yMode val="edge"/>
          <c:x val="0.04125"/>
          <c:y val="0"/>
          <c:w val="0.95875"/>
          <c:h val="0.94225"/>
        </c:manualLayout>
      </c:layout>
      <c:scatterChart>
        <c:scatterStyle val="smooth"/>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'IRR-low (2)'!$C$134:$C$139</c:f>
              <c:numCache>
                <c:ptCount val="6"/>
                <c:pt idx="0">
                  <c:v>0</c:v>
                </c:pt>
                <c:pt idx="1">
                  <c:v>0</c:v>
                </c:pt>
                <c:pt idx="2">
                  <c:v>0</c:v>
                </c:pt>
                <c:pt idx="3">
                  <c:v>0</c:v>
                </c:pt>
                <c:pt idx="4">
                  <c:v>0</c:v>
                </c:pt>
                <c:pt idx="5">
                  <c:v>0</c:v>
                </c:pt>
              </c:numCache>
            </c:numRef>
          </c:xVal>
          <c:yVal>
            <c:numRef>
              <c:f>'IRR-low (2)'!$D$134:$D$139</c:f>
              <c:numCache>
                <c:ptCount val="6"/>
                <c:pt idx="0">
                  <c:v>0</c:v>
                </c:pt>
                <c:pt idx="1">
                  <c:v>0</c:v>
                </c:pt>
                <c:pt idx="2">
                  <c:v>0</c:v>
                </c:pt>
                <c:pt idx="3">
                  <c:v>0</c:v>
                </c:pt>
                <c:pt idx="4">
                  <c:v>0</c:v>
                </c:pt>
                <c:pt idx="5">
                  <c:v>0</c:v>
                </c:pt>
              </c:numCache>
            </c:numRef>
          </c:yVal>
          <c:smooth val="1"/>
        </c:ser>
        <c:axId val="39556203"/>
        <c:axId val="20461508"/>
      </c:scatterChart>
      <c:valAx>
        <c:axId val="39556203"/>
        <c:scaling>
          <c:orientation val="minMax"/>
        </c:scaling>
        <c:axPos val="b"/>
        <c:title>
          <c:tx>
            <c:rich>
              <a:bodyPr vert="horz" rot="0" anchor="ctr"/>
              <a:lstStyle/>
              <a:p>
                <a:pPr algn="ctr">
                  <a:defRPr/>
                </a:pPr>
                <a:r>
                  <a:rPr lang="en-US" cap="none" sz="1125" b="1" i="0" u="none" baseline="0">
                    <a:latin typeface="Arial"/>
                    <a:ea typeface="Arial"/>
                    <a:cs typeface="Arial"/>
                  </a:rPr>
                  <a:t>Price of CO2 equivalent in US$/ton</a:t>
                </a:r>
              </a:p>
            </c:rich>
          </c:tx>
          <c:layout/>
          <c:overlay val="0"/>
          <c:spPr>
            <a:noFill/>
            <a:ln>
              <a:noFill/>
            </a:ln>
          </c:spPr>
        </c:title>
        <c:delete val="0"/>
        <c:numFmt formatCode="General" sourceLinked="1"/>
        <c:majorTickMark val="out"/>
        <c:minorTickMark val="none"/>
        <c:tickLblPos val="nextTo"/>
        <c:crossAx val="20461508"/>
        <c:crosses val="autoZero"/>
        <c:crossBetween val="midCat"/>
        <c:dispUnits/>
      </c:valAx>
      <c:valAx>
        <c:axId val="20461508"/>
        <c:scaling>
          <c:orientation val="minMax"/>
        </c:scaling>
        <c:axPos val="l"/>
        <c:title>
          <c:tx>
            <c:rich>
              <a:bodyPr vert="horz" rot="-5400000" anchor="ctr"/>
              <a:lstStyle/>
              <a:p>
                <a:pPr algn="ctr">
                  <a:defRPr/>
                </a:pPr>
                <a:r>
                  <a:rPr lang="en-US" cap="none" sz="1125" b="1" i="0" u="none" baseline="0">
                    <a:latin typeface="Arial"/>
                    <a:ea typeface="Arial"/>
                    <a:cs typeface="Arial"/>
                  </a:rPr>
                  <a:t>IRR</a:t>
                </a:r>
              </a:p>
            </c:rich>
          </c:tx>
          <c:layout/>
          <c:overlay val="0"/>
          <c:spPr>
            <a:noFill/>
            <a:ln>
              <a:noFill/>
            </a:ln>
          </c:spPr>
        </c:title>
        <c:majorGridlines/>
        <c:delete val="0"/>
        <c:numFmt formatCode="General" sourceLinked="1"/>
        <c:majorTickMark val="out"/>
        <c:minorTickMark val="none"/>
        <c:tickLblPos val="nextTo"/>
        <c:crossAx val="39556203"/>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IRR Sensitivity</a:t>
            </a:r>
          </a:p>
        </c:rich>
      </c:tx>
      <c:layout>
        <c:manualLayout>
          <c:xMode val="factor"/>
          <c:yMode val="factor"/>
          <c:x val="0.04025"/>
          <c:y val="0.56625"/>
        </c:manualLayout>
      </c:layout>
      <c:spPr>
        <a:solidFill>
          <a:srgbClr val="CCFFFF"/>
        </a:solidFill>
      </c:spPr>
    </c:title>
    <c:plotArea>
      <c:layout>
        <c:manualLayout>
          <c:xMode val="edge"/>
          <c:yMode val="edge"/>
          <c:x val="0.03025"/>
          <c:y val="0"/>
          <c:w val="0.96975"/>
          <c:h val="0.952"/>
        </c:manualLayout>
      </c:layout>
      <c:lineChart>
        <c:grouping val="standard"/>
        <c:varyColors val="0"/>
        <c:ser>
          <c:idx val="0"/>
          <c:order val="0"/>
          <c:tx>
            <c:strRef>
              <c:f>'IRR-sensitivities'!$B$6</c:f>
              <c:strCache>
                <c:ptCount val="1"/>
                <c:pt idx="0">
                  <c:v>High Growth</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'IRR-sensitivities'!$A$7:$A$12</c:f>
              <c:strCache/>
            </c:strRef>
          </c:cat>
          <c:val>
            <c:numRef>
              <c:f>'IRR-sensitivities'!$B$7:$B$12</c:f>
              <c:numCache>
                <c:ptCount val="6"/>
                <c:pt idx="0">
                  <c:v>0</c:v>
                </c:pt>
                <c:pt idx="1">
                  <c:v>0</c:v>
                </c:pt>
                <c:pt idx="2">
                  <c:v>0</c:v>
                </c:pt>
                <c:pt idx="3">
                  <c:v>0</c:v>
                </c:pt>
                <c:pt idx="4">
                  <c:v>0</c:v>
                </c:pt>
                <c:pt idx="5">
                  <c:v>0</c:v>
                </c:pt>
              </c:numCache>
            </c:numRef>
          </c:val>
          <c:smooth val="1"/>
        </c:ser>
        <c:ser>
          <c:idx val="1"/>
          <c:order val="1"/>
          <c:tx>
            <c:strRef>
              <c:f>'IRR-sensitivities'!$C$6</c:f>
              <c:strCache>
                <c:ptCount val="1"/>
                <c:pt idx="0">
                  <c:v>Medium Growth</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'IRR-sensitivities'!$A$7:$A$12</c:f>
              <c:strCache/>
            </c:strRef>
          </c:cat>
          <c:val>
            <c:numRef>
              <c:f>'IRR-sensitivities'!$C$7:$C$12</c:f>
              <c:numCache>
                <c:ptCount val="6"/>
                <c:pt idx="0">
                  <c:v>0</c:v>
                </c:pt>
                <c:pt idx="1">
                  <c:v>0</c:v>
                </c:pt>
                <c:pt idx="2">
                  <c:v>0</c:v>
                </c:pt>
                <c:pt idx="3">
                  <c:v>0</c:v>
                </c:pt>
                <c:pt idx="4">
                  <c:v>0</c:v>
                </c:pt>
                <c:pt idx="5">
                  <c:v>0</c:v>
                </c:pt>
              </c:numCache>
            </c:numRef>
          </c:val>
          <c:smooth val="1"/>
        </c:ser>
        <c:ser>
          <c:idx val="2"/>
          <c:order val="2"/>
          <c:tx>
            <c:strRef>
              <c:f>'IRR-sensitivities'!$D$6</c:f>
              <c:strCache>
                <c:ptCount val="1"/>
                <c:pt idx="0">
                  <c:v>Low Growth</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'IRR-sensitivities'!$A$7:$A$12</c:f>
              <c:strCache/>
            </c:strRef>
          </c:cat>
          <c:val>
            <c:numRef>
              <c:f>'IRR-sensitivities'!$D$7:$D$12</c:f>
              <c:numCache>
                <c:ptCount val="6"/>
                <c:pt idx="0">
                  <c:v>0</c:v>
                </c:pt>
                <c:pt idx="1">
                  <c:v>0</c:v>
                </c:pt>
                <c:pt idx="2">
                  <c:v>0</c:v>
                </c:pt>
                <c:pt idx="3">
                  <c:v>0</c:v>
                </c:pt>
                <c:pt idx="4">
                  <c:v>0</c:v>
                </c:pt>
                <c:pt idx="5">
                  <c:v>0</c:v>
                </c:pt>
              </c:numCache>
            </c:numRef>
          </c:val>
          <c:smooth val="1"/>
        </c:ser>
        <c:axId val="49935845"/>
        <c:axId val="46769422"/>
      </c:lineChart>
      <c:catAx>
        <c:axId val="49935845"/>
        <c:scaling>
          <c:orientation val="minMax"/>
        </c:scaling>
        <c:axPos val="b"/>
        <c:title>
          <c:tx>
            <c:rich>
              <a:bodyPr vert="horz" rot="0" anchor="ctr"/>
              <a:lstStyle/>
              <a:p>
                <a:pPr algn="ctr">
                  <a:defRPr/>
                </a:pPr>
                <a:r>
                  <a:rPr lang="en-US" cap="none" sz="1050" b="1" i="0" u="none" baseline="0">
                    <a:latin typeface="Arial"/>
                    <a:ea typeface="Arial"/>
                    <a:cs typeface="Arial"/>
                  </a:rPr>
                  <a:t>Time Period Considered</a:t>
                </a:r>
              </a:p>
            </c:rich>
          </c:tx>
          <c:layout/>
          <c:overlay val="0"/>
          <c:spPr>
            <a:noFill/>
            <a:ln>
              <a:noFill/>
            </a:ln>
          </c:spPr>
        </c:title>
        <c:majorGridlines/>
        <c:delete val="0"/>
        <c:numFmt formatCode="General" sourceLinked="1"/>
        <c:majorTickMark val="cross"/>
        <c:minorTickMark val="cross"/>
        <c:tickLblPos val="nextTo"/>
        <c:spPr>
          <a:ln w="25400">
            <a:solidFill/>
          </a:ln>
        </c:spPr>
        <c:txPr>
          <a:bodyPr/>
          <a:lstStyle/>
          <a:p>
            <a:pPr>
              <a:defRPr lang="en-US" cap="none" sz="800" b="0" i="0" u="none" baseline="0"/>
            </a:pPr>
          </a:p>
        </c:txPr>
        <c:crossAx val="46769422"/>
        <c:crosses val="autoZero"/>
        <c:auto val="1"/>
        <c:lblOffset val="100"/>
        <c:noMultiLvlLbl val="0"/>
      </c:catAx>
      <c:valAx>
        <c:axId val="46769422"/>
        <c:scaling>
          <c:orientation val="minMax"/>
        </c:scaling>
        <c:axPos val="l"/>
        <c:title>
          <c:tx>
            <c:rich>
              <a:bodyPr vert="horz" rot="-5400000" anchor="ctr"/>
              <a:lstStyle/>
              <a:p>
                <a:pPr algn="ctr">
                  <a:defRPr/>
                </a:pPr>
                <a:r>
                  <a:rPr lang="en-US" cap="none" sz="1050" b="1" i="0" u="none" baseline="0">
                    <a:latin typeface="Arial"/>
                    <a:ea typeface="Arial"/>
                    <a:cs typeface="Arial"/>
                  </a:rPr>
                  <a:t>IRR in %</a:t>
                </a:r>
              </a:p>
            </c:rich>
          </c:tx>
          <c:layout/>
          <c:overlay val="0"/>
          <c:spPr>
            <a:noFill/>
            <a:ln>
              <a:noFill/>
            </a:ln>
          </c:spPr>
        </c:title>
        <c:majorGridlines/>
        <c:delete val="0"/>
        <c:numFmt formatCode="General" sourceLinked="1"/>
        <c:majorTickMark val="out"/>
        <c:minorTickMark val="none"/>
        <c:tickLblPos val="nextTo"/>
        <c:crossAx val="49935845"/>
        <c:crossesAt val="1"/>
        <c:crossBetween val="between"/>
        <c:dispUnits/>
      </c:valAx>
      <c:spPr>
        <a:solidFill>
          <a:srgbClr val="FFFFCC"/>
        </a:solidFill>
        <a:ln w="12700">
          <a:solidFill>
            <a:srgbClr val="808080"/>
          </a:solidFill>
        </a:ln>
      </c:spPr>
    </c:plotArea>
    <c:legend>
      <c:legendPos val="r"/>
      <c:layout>
        <c:manualLayout>
          <c:xMode val="edge"/>
          <c:yMode val="edge"/>
          <c:x val="0.7655"/>
          <c:y val="0.0675"/>
          <c:w val="0.18275"/>
          <c:h val="0.24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IRR Sensitivity</a:t>
            </a:r>
          </a:p>
        </c:rich>
      </c:tx>
      <c:layout>
        <c:manualLayout>
          <c:xMode val="factor"/>
          <c:yMode val="factor"/>
          <c:x val="0.128"/>
          <c:y val="0.0625"/>
        </c:manualLayout>
      </c:layout>
      <c:spPr>
        <a:solidFill>
          <a:srgbClr val="CCFFFF"/>
        </a:solidFill>
      </c:spPr>
    </c:title>
    <c:plotArea>
      <c:layout>
        <c:manualLayout>
          <c:xMode val="edge"/>
          <c:yMode val="edge"/>
          <c:x val="0.0545"/>
          <c:y val="0"/>
          <c:w val="0.9455"/>
          <c:h val="0.95575"/>
        </c:manualLayout>
      </c:layout>
      <c:lineChart>
        <c:grouping val="standard"/>
        <c:varyColors val="0"/>
        <c:ser>
          <c:idx val="1"/>
          <c:order val="0"/>
          <c:tx>
            <c:strRef>
              <c:f>'IRR-sensitivities'!$B$32</c:f>
              <c:strCache>
                <c:ptCount val="1"/>
                <c:pt idx="0">
                  <c:v>High Growth Project IRR (10 years)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cat>
            <c:numRef>
              <c:f>'IRR-sensitivities'!$A$33:$A$38</c:f>
              <c:numCache>
                <c:ptCount val="6"/>
                <c:pt idx="0">
                  <c:v>0</c:v>
                </c:pt>
                <c:pt idx="1">
                  <c:v>0</c:v>
                </c:pt>
                <c:pt idx="2">
                  <c:v>0</c:v>
                </c:pt>
                <c:pt idx="3">
                  <c:v>0</c:v>
                </c:pt>
                <c:pt idx="4">
                  <c:v>0</c:v>
                </c:pt>
                <c:pt idx="5">
                  <c:v>0</c:v>
                </c:pt>
              </c:numCache>
            </c:numRef>
          </c:cat>
          <c:val>
            <c:numRef>
              <c:f>'IRR-sensitivities'!$B$33:$B$38</c:f>
              <c:numCache>
                <c:ptCount val="6"/>
                <c:pt idx="0">
                  <c:v>0</c:v>
                </c:pt>
                <c:pt idx="1">
                  <c:v>0</c:v>
                </c:pt>
                <c:pt idx="2">
                  <c:v>0</c:v>
                </c:pt>
                <c:pt idx="3">
                  <c:v>0</c:v>
                </c:pt>
                <c:pt idx="4">
                  <c:v>0</c:v>
                </c:pt>
                <c:pt idx="5">
                  <c:v>0</c:v>
                </c:pt>
              </c:numCache>
            </c:numRef>
          </c:val>
          <c:smooth val="1"/>
        </c:ser>
        <c:ser>
          <c:idx val="2"/>
          <c:order val="1"/>
          <c:tx>
            <c:strRef>
              <c:f>'IRR-sensitivities'!$C$32</c:f>
              <c:strCache>
                <c:ptCount val="1"/>
                <c:pt idx="0">
                  <c:v>Medium Growth Project IRR (10 years)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'IRR-sensitivities'!$A$33:$A$38</c:f>
              <c:numCache>
                <c:ptCount val="6"/>
                <c:pt idx="0">
                  <c:v>0</c:v>
                </c:pt>
                <c:pt idx="1">
                  <c:v>0</c:v>
                </c:pt>
                <c:pt idx="2">
                  <c:v>0</c:v>
                </c:pt>
                <c:pt idx="3">
                  <c:v>0</c:v>
                </c:pt>
                <c:pt idx="4">
                  <c:v>0</c:v>
                </c:pt>
                <c:pt idx="5">
                  <c:v>0</c:v>
                </c:pt>
              </c:numCache>
            </c:numRef>
          </c:cat>
          <c:val>
            <c:numRef>
              <c:f>'IRR-sensitivities'!$C$33:$C$38</c:f>
              <c:numCache>
                <c:ptCount val="6"/>
                <c:pt idx="0">
                  <c:v>0</c:v>
                </c:pt>
                <c:pt idx="1">
                  <c:v>0</c:v>
                </c:pt>
                <c:pt idx="2">
                  <c:v>0</c:v>
                </c:pt>
                <c:pt idx="3">
                  <c:v>0</c:v>
                </c:pt>
                <c:pt idx="4">
                  <c:v>0</c:v>
                </c:pt>
                <c:pt idx="5">
                  <c:v>0</c:v>
                </c:pt>
              </c:numCache>
            </c:numRef>
          </c:val>
          <c:smooth val="1"/>
        </c:ser>
        <c:ser>
          <c:idx val="3"/>
          <c:order val="2"/>
          <c:tx>
            <c:strRef>
              <c:f>'IRR-sensitivities'!$D$32</c:f>
              <c:strCache>
                <c:ptCount val="1"/>
                <c:pt idx="0">
                  <c:v>Low Growth Project IRR (10 years)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cat>
            <c:numRef>
              <c:f>'IRR-sensitivities'!$A$33:$A$38</c:f>
              <c:numCache>
                <c:ptCount val="6"/>
                <c:pt idx="0">
                  <c:v>0</c:v>
                </c:pt>
                <c:pt idx="1">
                  <c:v>0</c:v>
                </c:pt>
                <c:pt idx="2">
                  <c:v>0</c:v>
                </c:pt>
                <c:pt idx="3">
                  <c:v>0</c:v>
                </c:pt>
                <c:pt idx="4">
                  <c:v>0</c:v>
                </c:pt>
                <c:pt idx="5">
                  <c:v>0</c:v>
                </c:pt>
              </c:numCache>
            </c:numRef>
          </c:cat>
          <c:val>
            <c:numRef>
              <c:f>'IRR-sensitivities'!$D$33:$D$38</c:f>
              <c:numCache>
                <c:ptCount val="6"/>
                <c:pt idx="0">
                  <c:v>0</c:v>
                </c:pt>
                <c:pt idx="1">
                  <c:v>0</c:v>
                </c:pt>
                <c:pt idx="2">
                  <c:v>0</c:v>
                </c:pt>
                <c:pt idx="3">
                  <c:v>0</c:v>
                </c:pt>
                <c:pt idx="4">
                  <c:v>0</c:v>
                </c:pt>
                <c:pt idx="5">
                  <c:v>0</c:v>
                </c:pt>
              </c:numCache>
            </c:numRef>
          </c:val>
          <c:smooth val="1"/>
        </c:ser>
        <c:marker val="1"/>
        <c:axId val="18271615"/>
        <c:axId val="30226808"/>
      </c:lineChart>
      <c:catAx>
        <c:axId val="18271615"/>
        <c:scaling>
          <c:orientation val="minMax"/>
        </c:scaling>
        <c:axPos val="b"/>
        <c:title>
          <c:tx>
            <c:rich>
              <a:bodyPr vert="horz" rot="0" anchor="ctr"/>
              <a:lstStyle/>
              <a:p>
                <a:pPr algn="ctr">
                  <a:defRPr/>
                </a:pPr>
                <a:r>
                  <a:rPr lang="en-US" cap="none" sz="1175" b="1" i="0" u="none" baseline="0">
                    <a:latin typeface="Arial"/>
                    <a:ea typeface="Arial"/>
                    <a:cs typeface="Arial"/>
                  </a:rPr>
                  <a:t>Price for Ton CO2 equivalent</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30226808"/>
        <c:crosses val="autoZero"/>
        <c:auto val="1"/>
        <c:lblOffset val="100"/>
        <c:noMultiLvlLbl val="0"/>
      </c:catAx>
      <c:valAx>
        <c:axId val="30226808"/>
        <c:scaling>
          <c:orientation val="minMax"/>
        </c:scaling>
        <c:axPos val="l"/>
        <c:title>
          <c:tx>
            <c:rich>
              <a:bodyPr vert="horz" rot="-5400000" anchor="ctr"/>
              <a:lstStyle/>
              <a:p>
                <a:pPr algn="ctr">
                  <a:defRPr/>
                </a:pPr>
                <a:r>
                  <a:rPr lang="en-US" cap="none" sz="1175" b="1" i="0" u="none" baseline="0">
                    <a:latin typeface="Arial"/>
                    <a:ea typeface="Arial"/>
                    <a:cs typeface="Arial"/>
                  </a:rPr>
                  <a:t>10 Year IRR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18271615"/>
        <c:crossesAt val="1"/>
        <c:crossBetween val="between"/>
        <c:dispUnits/>
      </c:valAx>
      <c:spPr>
        <a:solidFill>
          <a:srgbClr val="FFFFCC"/>
        </a:solidFill>
        <a:ln w="12700">
          <a:solidFill>
            <a:srgbClr val="808080"/>
          </a:solidFill>
        </a:ln>
      </c:spPr>
    </c:plotArea>
    <c:legend>
      <c:legendPos val="r"/>
      <c:layout>
        <c:manualLayout>
          <c:xMode val="edge"/>
          <c:yMode val="edge"/>
          <c:x val="0.13675"/>
          <c:y val="0.5495"/>
          <c:w val="0.40875"/>
          <c:h val="0.2422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Worst Case Scenario: 
"Low Demand Growth" and No Carbon Credits</a:t>
            </a:r>
          </a:p>
        </c:rich>
      </c:tx>
      <c:layout>
        <c:manualLayout>
          <c:xMode val="factor"/>
          <c:yMode val="factor"/>
          <c:x val="0.04075"/>
          <c:y val="-0.021"/>
        </c:manualLayout>
      </c:layout>
      <c:spPr>
        <a:solidFill>
          <a:srgbClr val="FFFFFF"/>
        </a:solidFill>
      </c:spPr>
    </c:title>
    <c:plotArea>
      <c:layout>
        <c:manualLayout>
          <c:xMode val="edge"/>
          <c:yMode val="edge"/>
          <c:x val="0.057"/>
          <c:y val="0.17125"/>
          <c:w val="0.9315"/>
          <c:h val="0.769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'IRR-sensitivities'!$A$66:$A$71</c:f>
              <c:strCache/>
            </c:strRef>
          </c:cat>
          <c:val>
            <c:numRef>
              <c:f>'IRR-sensitivities'!$B$66:$B$71</c:f>
              <c:numCache>
                <c:ptCount val="6"/>
                <c:pt idx="0">
                  <c:v>0</c:v>
                </c:pt>
                <c:pt idx="1">
                  <c:v>0</c:v>
                </c:pt>
                <c:pt idx="2">
                  <c:v>0</c:v>
                </c:pt>
                <c:pt idx="3">
                  <c:v>0</c:v>
                </c:pt>
                <c:pt idx="4">
                  <c:v>0</c:v>
                </c:pt>
                <c:pt idx="5">
                  <c:v>0</c:v>
                </c:pt>
              </c:numCache>
            </c:numRef>
          </c:val>
          <c:smooth val="1"/>
        </c:ser>
        <c:marker val="1"/>
        <c:axId val="3605817"/>
        <c:axId val="32452354"/>
      </c:lineChart>
      <c:catAx>
        <c:axId val="3605817"/>
        <c:scaling>
          <c:orientation val="minMax"/>
        </c:scaling>
        <c:axPos val="b"/>
        <c:title>
          <c:tx>
            <c:rich>
              <a:bodyPr vert="horz" rot="0" anchor="ctr"/>
              <a:lstStyle/>
              <a:p>
                <a:pPr algn="ctr">
                  <a:defRPr/>
                </a:pPr>
                <a:r>
                  <a:rPr lang="en-US" cap="none" sz="925" b="1" i="0" u="none" baseline="0">
                    <a:latin typeface="Arial"/>
                    <a:ea typeface="Arial"/>
                    <a:cs typeface="Arial"/>
                  </a:rPr>
                  <a:t>Time Period Considered</a:t>
                </a:r>
              </a:p>
            </c:rich>
          </c:tx>
          <c:layout/>
          <c:overlay val="0"/>
          <c:spPr>
            <a:noFill/>
            <a:ln>
              <a:noFill/>
            </a:ln>
          </c:spPr>
        </c:title>
        <c:majorGridlines/>
        <c:delete val="0"/>
        <c:numFmt formatCode="General" sourceLinked="1"/>
        <c:majorTickMark val="out"/>
        <c:minorTickMark val="none"/>
        <c:tickLblPos val="nextTo"/>
        <c:spPr>
          <a:ln w="38100">
            <a:solidFill/>
          </a:ln>
        </c:spPr>
        <c:crossAx val="32452354"/>
        <c:crosses val="autoZero"/>
        <c:auto val="1"/>
        <c:lblOffset val="100"/>
        <c:noMultiLvlLbl val="0"/>
      </c:catAx>
      <c:valAx>
        <c:axId val="32452354"/>
        <c:scaling>
          <c:orientation val="minMax"/>
          <c:min val="-0.2"/>
        </c:scaling>
        <c:axPos val="l"/>
        <c:title>
          <c:tx>
            <c:rich>
              <a:bodyPr vert="horz" rot="-5400000" anchor="ctr"/>
              <a:lstStyle/>
              <a:p>
                <a:pPr algn="ctr">
                  <a:defRPr/>
                </a:pPr>
                <a:r>
                  <a:rPr lang="en-US" cap="none" sz="925" b="1" i="0" u="none" baseline="0">
                    <a:latin typeface="Arial"/>
                    <a:ea typeface="Arial"/>
                    <a:cs typeface="Arial"/>
                  </a:rPr>
                  <a:t>IRR</a:t>
                </a:r>
              </a:p>
            </c:rich>
          </c:tx>
          <c:layout/>
          <c:overlay val="0"/>
          <c:spPr>
            <a:noFill/>
            <a:ln>
              <a:noFill/>
            </a:ln>
          </c:spPr>
        </c:title>
        <c:majorGridlines/>
        <c:delete val="0"/>
        <c:numFmt formatCode="General" sourceLinked="1"/>
        <c:majorTickMark val="out"/>
        <c:minorTickMark val="none"/>
        <c:tickLblPos val="nextTo"/>
        <c:crossAx val="3605817"/>
        <c:crossesAt val="1"/>
        <c:crossBetween val="between"/>
        <c:dispUnits/>
      </c:valAx>
      <c:spPr>
        <a:solidFill>
          <a:srgbClr val="FFFFCC"/>
        </a:solidFill>
        <a:ln w="254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Financial Impact of Gas Losses 
(65$/mcm with 2% escalation)</a:t>
            </a:r>
          </a:p>
        </c:rich>
      </c:tx>
      <c:layout>
        <c:manualLayout>
          <c:xMode val="factor"/>
          <c:yMode val="factor"/>
          <c:x val="-0.0145"/>
          <c:y val="0.03825"/>
        </c:manualLayout>
      </c:layout>
      <c:spPr>
        <a:solidFill>
          <a:srgbClr val="FFFFFF"/>
        </a:solidFill>
      </c:spPr>
    </c:title>
    <c:plotArea>
      <c:layout>
        <c:manualLayout>
          <c:xMode val="edge"/>
          <c:yMode val="edge"/>
          <c:x val="0.04625"/>
          <c:y val="0"/>
          <c:w val="0.95275"/>
          <c:h val="0.9725"/>
        </c:manualLayout>
      </c:layout>
      <c:barChart>
        <c:barDir val="col"/>
        <c:grouping val="clustered"/>
        <c:varyColors val="0"/>
        <c:ser>
          <c:idx val="3"/>
          <c:order val="0"/>
          <c:tx>
            <c:strRef>
              <c:f>'Financial Impact'!$E$4</c:f>
              <c:strCache>
                <c:ptCount val="1"/>
                <c:pt idx="0">
                  <c:v>Low
Demand
Growth</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'Financial Impact'!$A$5:$A$21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'Financial Impact'!$E$5:$E$21</c:f>
              <c:numCache>
                <c:ptCount val="17"/>
                <c:pt idx="0">
                  <c:v>6.59425</c:v>
                </c:pt>
                <c:pt idx="1">
                  <c:v>7.45875</c:v>
                </c:pt>
                <c:pt idx="2">
                  <c:v>8.248465875</c:v>
                </c:pt>
                <c:pt idx="3">
                  <c:v>9.017008654387498</c:v>
                </c:pt>
                <c:pt idx="4">
                  <c:v>9.841438950387376</c:v>
                </c:pt>
                <c:pt idx="5">
                  <c:v>10.73833843136005</c:v>
                </c:pt>
                <c:pt idx="6">
                  <c:v>11.43359947921551</c:v>
                </c:pt>
                <c:pt idx="7">
                  <c:v>11.95626624720245</c:v>
                </c:pt>
                <c:pt idx="8">
                  <c:v>12.489385991219539</c:v>
                </c:pt>
                <c:pt idx="9">
                  <c:v>13.040690213369052</c:v>
                </c:pt>
                <c:pt idx="10">
                  <c:v>13.610751014357614</c:v>
                </c:pt>
                <c:pt idx="11">
                  <c:v>14.200158151451467</c:v>
                </c:pt>
                <c:pt idx="12">
                  <c:v>14.607471263019635</c:v>
                </c:pt>
                <c:pt idx="13">
                  <c:v>15.027283478002591</c:v>
                </c:pt>
                <c:pt idx="14">
                  <c:v>15.459998433762419</c:v>
                </c:pt>
                <c:pt idx="15">
                  <c:v>15.906033264440293</c:v>
                </c:pt>
                <c:pt idx="16">
                  <c:v>16.365819062360412</c:v>
                </c:pt>
              </c:numCache>
            </c:numRef>
          </c:val>
        </c:ser>
        <c:ser>
          <c:idx val="2"/>
          <c:order val="1"/>
          <c:tx>
            <c:strRef>
              <c:f>'Financial Impact'!$D$4</c:f>
              <c:strCache>
                <c:ptCount val="1"/>
                <c:pt idx="0">
                  <c:v>Medium
Demand
Growth</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'Financial Impact'!$A$5:$A$21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'Financial Impact'!$D$5:$D$21</c:f>
              <c:numCache>
                <c:ptCount val="17"/>
                <c:pt idx="0">
                  <c:v>6.59425</c:v>
                </c:pt>
                <c:pt idx="1">
                  <c:v>7.8325</c:v>
                </c:pt>
                <c:pt idx="2">
                  <c:v>8.8474035</c:v>
                </c:pt>
                <c:pt idx="3">
                  <c:v>11.039359535099996</c:v>
                </c:pt>
                <c:pt idx="4">
                  <c:v>12.139432509576057</c:v>
                </c:pt>
                <c:pt idx="5">
                  <c:v>13.324995488608613</c:v>
                </c:pt>
                <c:pt idx="6">
                  <c:v>14.719548096743901</c:v>
                </c:pt>
                <c:pt idx="7">
                  <c:v>15.24131513249181</c:v>
                </c:pt>
                <c:pt idx="8">
                  <c:v>15.777332287744704</c:v>
                </c:pt>
                <c:pt idx="9">
                  <c:v>16.335768043244375</c:v>
                </c:pt>
                <c:pt idx="10">
                  <c:v>16.917662702807124</c:v>
                </c:pt>
                <c:pt idx="11">
                  <c:v>17.52410732807524</c:v>
                </c:pt>
                <c:pt idx="12">
                  <c:v>18.15624626923204</c:v>
                </c:pt>
                <c:pt idx="13">
                  <c:v>18.8152798230185</c:v>
                </c:pt>
                <c:pt idx="14">
                  <c:v>19.50246702447782</c:v>
                </c:pt>
                <c:pt idx="15">
                  <c:v>20.219128579179277</c:v>
                </c:pt>
                <c:pt idx="16">
                  <c:v>20.966649943013884</c:v>
                </c:pt>
              </c:numCache>
            </c:numRef>
          </c:val>
        </c:ser>
        <c:ser>
          <c:idx val="1"/>
          <c:order val="2"/>
          <c:tx>
            <c:strRef>
              <c:f>'Financial Impact'!$C$4</c:f>
              <c:strCache>
                <c:ptCount val="1"/>
                <c:pt idx="0">
                  <c:v>High
Demand
Growth</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666699"/>
              </a:solidFill>
            </c:spPr>
          </c:dPt>
          <c:cat>
            <c:numRef>
              <c:f>'Financial Impact'!$A$5:$A$21</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'Financial Impact'!$C$5:$C$21</c:f>
              <c:numCache>
                <c:ptCount val="17"/>
                <c:pt idx="0">
                  <c:v>6.59425</c:v>
                </c:pt>
                <c:pt idx="1">
                  <c:v>8.482500000000002</c:v>
                </c:pt>
                <c:pt idx="2">
                  <c:v>10.4505375</c:v>
                </c:pt>
                <c:pt idx="3">
                  <c:v>15.463107562499998</c:v>
                </c:pt>
                <c:pt idx="4">
                  <c:v>16.426135192837496</c:v>
                </c:pt>
                <c:pt idx="5">
                  <c:v>17.35141433190896</c:v>
                </c:pt>
                <c:pt idx="6">
                  <c:v>18.115993544469898</c:v>
                </c:pt>
                <c:pt idx="7">
                  <c:v>18.882871132423187</c:v>
                </c:pt>
                <c:pt idx="8">
                  <c:v>19.685970090365373</c:v>
                </c:pt>
                <c:pt idx="9">
                  <c:v>20.535337376472253</c:v>
                </c:pt>
                <c:pt idx="10">
                  <c:v>21.434043008086544</c:v>
                </c:pt>
                <c:pt idx="11">
                  <c:v>22.38537067310314</c:v>
                </c:pt>
                <c:pt idx="12">
                  <c:v>23.39283281456477</c:v>
                </c:pt>
                <c:pt idx="13">
                  <c:v>24.46018678454359</c:v>
                </c:pt>
                <c:pt idx="14">
                  <c:v>25.591452143193813</c:v>
                </c:pt>
                <c:pt idx="15">
                  <c:v>26.790929184247148</c:v>
                </c:pt>
                <c:pt idx="16">
                  <c:v>28.063218773993007</c:v>
                </c:pt>
              </c:numCache>
            </c:numRef>
          </c:val>
        </c:ser>
        <c:ser>
          <c:idx val="0"/>
          <c:order val="3"/>
          <c:tx>
            <c:strRef>
              <c:f>'Financial Impact'!$B$4</c:f>
              <c:strCache>
                <c:ptCount val="1"/>
                <c:pt idx="0">
                  <c:v>Current Demand Growth</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'Financial Impact'!$B$5:$B$21</c:f>
              <c:numCache>
                <c:ptCount val="17"/>
                <c:pt idx="0">
                  <c:v>6.59425</c:v>
                </c:pt>
                <c:pt idx="1">
                  <c:v>7.45875</c:v>
                </c:pt>
                <c:pt idx="2">
                  <c:v>8.248465875</c:v>
                </c:pt>
                <c:pt idx="3">
                  <c:v>8.814130654387498</c:v>
                </c:pt>
                <c:pt idx="4">
                  <c:v>9.841438950387378</c:v>
                </c:pt>
                <c:pt idx="5">
                  <c:v>10.738338431360052</c:v>
                </c:pt>
                <c:pt idx="6">
                  <c:v>11.433599479215511</c:v>
                </c:pt>
                <c:pt idx="7">
                  <c:v>11.956266247202457</c:v>
                </c:pt>
                <c:pt idx="8">
                  <c:v>12.489385991219542</c:v>
                </c:pt>
                <c:pt idx="9">
                  <c:v>13.040690213369055</c:v>
                </c:pt>
                <c:pt idx="10">
                  <c:v>13.610751014357621</c:v>
                </c:pt>
                <c:pt idx="11">
                  <c:v>14.200158151451477</c:v>
                </c:pt>
                <c:pt idx="12">
                  <c:v>14.607471263019644</c:v>
                </c:pt>
                <c:pt idx="13">
                  <c:v>15.027283478002603</c:v>
                </c:pt>
                <c:pt idx="14">
                  <c:v>15.459998433762431</c:v>
                </c:pt>
                <c:pt idx="15">
                  <c:v>15.906033264440305</c:v>
                </c:pt>
                <c:pt idx="16">
                  <c:v>16.36581906236043</c:v>
                </c:pt>
              </c:numCache>
            </c:numRef>
          </c:val>
        </c:ser>
        <c:overlap val="-20"/>
        <c:gapWidth val="300"/>
        <c:axId val="23635731"/>
        <c:axId val="11394988"/>
      </c:barChart>
      <c:catAx>
        <c:axId val="23635731"/>
        <c:scaling>
          <c:orientation val="minMax"/>
        </c:scaling>
        <c:axPos val="b"/>
        <c:delete val="0"/>
        <c:numFmt formatCode="General" sourceLinked="1"/>
        <c:majorTickMark val="out"/>
        <c:minorTickMark val="none"/>
        <c:tickLblPos val="nextTo"/>
        <c:crossAx val="11394988"/>
        <c:crosses val="autoZero"/>
        <c:auto val="1"/>
        <c:lblOffset val="100"/>
        <c:noMultiLvlLbl val="0"/>
      </c:catAx>
      <c:valAx>
        <c:axId val="11394988"/>
        <c:scaling>
          <c:orientation val="minMax"/>
        </c:scaling>
        <c:axPos val="l"/>
        <c:title>
          <c:tx>
            <c:rich>
              <a:bodyPr vert="horz" rot="-5400000" anchor="ctr"/>
              <a:lstStyle/>
              <a:p>
                <a:pPr algn="ctr">
                  <a:defRPr/>
                </a:pPr>
                <a:r>
                  <a:rPr lang="en-US" cap="none" sz="1100" b="1" i="0" u="none" baseline="0">
                    <a:latin typeface="Arial"/>
                    <a:ea typeface="Arial"/>
                    <a:cs typeface="Arial"/>
                  </a:rPr>
                  <a:t>Million US$</a:t>
                </a:r>
              </a:p>
            </c:rich>
          </c:tx>
          <c:layout/>
          <c:overlay val="0"/>
          <c:spPr>
            <a:noFill/>
            <a:ln>
              <a:noFill/>
            </a:ln>
          </c:spPr>
        </c:title>
        <c:majorGridlines/>
        <c:delete val="0"/>
        <c:numFmt formatCode="[$$-409]#,##0" sourceLinked="0"/>
        <c:majorTickMark val="out"/>
        <c:minorTickMark val="none"/>
        <c:tickLblPos val="nextTo"/>
        <c:crossAx val="23635731"/>
        <c:crossesAt val="1"/>
        <c:crossBetween val="between"/>
        <c:dispUnits/>
      </c:valAx>
      <c:spPr>
        <a:solidFill>
          <a:srgbClr val="FFFFCC"/>
        </a:solidFill>
        <a:ln w="12700">
          <a:solidFill>
            <a:srgbClr val="808080"/>
          </a:solidFill>
        </a:ln>
      </c:spPr>
    </c:plotArea>
    <c:legend>
      <c:legendPos val="r"/>
      <c:layout>
        <c:manualLayout>
          <c:xMode val="edge"/>
          <c:yMode val="edge"/>
          <c:x val="0.0935"/>
          <c:y val="0.0547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Sensitivity Project IRR</a:t>
            </a:r>
          </a:p>
        </c:rich>
      </c:tx>
      <c:layout/>
      <c:spPr>
        <a:noFill/>
        <a:ln>
          <a:noFill/>
        </a:ln>
      </c:spPr>
    </c:title>
    <c:plotArea>
      <c:layout/>
      <c:scatterChart>
        <c:scatterStyle val="smooth"/>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'ERR Pipeline'!#REF!</c:f>
              <c:strCache>
                <c:ptCount val="1"/>
                <c:pt idx="0">
                  <c:v>1</c:v>
                </c:pt>
              </c:strCache>
            </c:strRef>
          </c:xVal>
          <c:yVal>
            <c:numRef>
              <c:f>'ERR Pipeline'!#REF!</c:f>
              <c:numCache>
                <c:ptCount val="1"/>
                <c:pt idx="0">
                  <c:v>1</c:v>
                </c:pt>
              </c:numCache>
            </c:numRef>
          </c:yVal>
          <c:smooth val="1"/>
        </c:ser>
        <c:axId val="48822465"/>
        <c:axId val="36749002"/>
      </c:scatterChart>
      <c:valAx>
        <c:axId val="48822465"/>
        <c:scaling>
          <c:orientation val="minMax"/>
        </c:scaling>
        <c:axPos val="b"/>
        <c:title>
          <c:tx>
            <c:rich>
              <a:bodyPr vert="horz" rot="0" anchor="ctr"/>
              <a:lstStyle/>
              <a:p>
                <a:pPr algn="ctr">
                  <a:defRPr/>
                </a:pPr>
                <a:r>
                  <a:rPr lang="en-US" cap="none" sz="250" b="1" i="0" u="none" baseline="0">
                    <a:latin typeface="Arial"/>
                    <a:ea typeface="Arial"/>
                    <a:cs typeface="Arial"/>
                  </a:rPr>
                  <a:t>Price of CO2 equivalent in US$/ton</a:t>
                </a:r>
              </a:p>
            </c:rich>
          </c:tx>
          <c:layout/>
          <c:overlay val="0"/>
          <c:spPr>
            <a:noFill/>
            <a:ln>
              <a:noFill/>
            </a:ln>
          </c:spPr>
        </c:title>
        <c:delete val="0"/>
        <c:numFmt formatCode="General" sourceLinked="1"/>
        <c:majorTickMark val="out"/>
        <c:minorTickMark val="none"/>
        <c:tickLblPos val="nextTo"/>
        <c:crossAx val="36749002"/>
        <c:crosses val="autoZero"/>
        <c:crossBetween val="midCat"/>
        <c:dispUnits/>
      </c:valAx>
      <c:valAx>
        <c:axId val="36749002"/>
        <c:scaling>
          <c:orientation val="minMax"/>
        </c:scaling>
        <c:axPos val="l"/>
        <c:title>
          <c:tx>
            <c:rich>
              <a:bodyPr vert="horz" rot="-5400000" anchor="ctr"/>
              <a:lstStyle/>
              <a:p>
                <a:pPr algn="ctr">
                  <a:defRPr/>
                </a:pPr>
                <a:r>
                  <a:rPr lang="en-US" cap="none" sz="250" b="1" i="0" u="none" baseline="0">
                    <a:latin typeface="Arial"/>
                    <a:ea typeface="Arial"/>
                    <a:cs typeface="Arial"/>
                  </a:rPr>
                  <a:t>IRR</a:t>
                </a:r>
              </a:p>
            </c:rich>
          </c:tx>
          <c:layout/>
          <c:overlay val="0"/>
          <c:spPr>
            <a:noFill/>
            <a:ln>
              <a:noFill/>
            </a:ln>
          </c:spPr>
        </c:title>
        <c:majorGridlines/>
        <c:delete val="0"/>
        <c:numFmt formatCode="General" sourceLinked="1"/>
        <c:majorTickMark val="out"/>
        <c:minorTickMark val="none"/>
        <c:tickLblPos val="nextTo"/>
        <c:crossAx val="4882246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High Growth Scenario Gas Consumption </a:t>
            </a:r>
          </a:p>
        </c:rich>
      </c:tx>
      <c:layout>
        <c:manualLayout>
          <c:xMode val="factor"/>
          <c:yMode val="factor"/>
          <c:x val="0.0035"/>
          <c:y val="0.02425"/>
        </c:manualLayout>
      </c:layout>
    </c:title>
    <c:plotArea>
      <c:layout>
        <c:manualLayout>
          <c:xMode val="edge"/>
          <c:yMode val="edge"/>
          <c:x val="0.0585"/>
          <c:y val="0"/>
          <c:w val="0.9415"/>
          <c:h val="1"/>
        </c:manualLayout>
      </c:layout>
      <c:barChart>
        <c:barDir val="col"/>
        <c:grouping val="stacked"/>
        <c:varyColors val="0"/>
        <c:ser>
          <c:idx val="2"/>
          <c:order val="0"/>
          <c:tx>
            <c:strRef>
              <c:f>Demand!$C$33</c:f>
              <c:strCache>
                <c:ptCount val="1"/>
                <c:pt idx="0">
                  <c:v>Chemical Plant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Demand!$A$34:$A$50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Demand!$C$34:$C$50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1"/>
          <c:tx>
            <c:strRef>
              <c:f>Demand!$D$33</c:f>
              <c:strCache>
                <c:ptCount val="1"/>
                <c:pt idx="0">
                  <c:v>Power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Demand!$A$34:$A$50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Demand!$D$34:$D$50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2"/>
          <c:tx>
            <c:strRef>
              <c:f>Demand!$E$33</c:f>
              <c:strCache>
                <c:ptCount val="1"/>
                <c:pt idx="0">
                  <c:v>Tbilgazi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Demand!$A$34:$A$50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Demand!$E$34:$E$50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3"/>
          <c:tx>
            <c:strRef>
              <c:f>Demand!$F$33</c:f>
              <c:strCache>
                <c:ptCount val="1"/>
                <c:pt idx="0">
                  <c:v>Saktsementi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Demand!$A$34:$A$50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Demand!$F$34:$F$50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6"/>
          <c:order val="4"/>
          <c:tx>
            <c:strRef>
              <c:f>Demand!$G$33</c:f>
              <c:strCache>
                <c:ptCount val="1"/>
                <c:pt idx="0">
                  <c:v>Itera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Demand!$A$34:$A$50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Demand!$G$34:$G$50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7"/>
          <c:order val="5"/>
          <c:tx>
            <c:strRef>
              <c:f>Demand!$H$33</c:f>
              <c:strCache>
                <c:ptCount val="1"/>
                <c:pt idx="0">
                  <c:v>West Georgia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Demand!$A$34:$A$50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Demand!$H$34:$H$50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6"/>
          <c:tx>
            <c:strRef>
              <c:f>Demand!$I$33</c:f>
              <c:strCache>
                <c:ptCount val="1"/>
                <c:pt idx="0">
                  <c:v>Transit Armenia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Demand!$A$34:$A$50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Demand!$I$34:$I$50</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62305563"/>
        <c:axId val="23879156"/>
      </c:barChart>
      <c:catAx>
        <c:axId val="62305563"/>
        <c:scaling>
          <c:orientation val="minMax"/>
        </c:scaling>
        <c:axPos val="b"/>
        <c:delete val="0"/>
        <c:numFmt formatCode="General" sourceLinked="1"/>
        <c:majorTickMark val="out"/>
        <c:minorTickMark val="none"/>
        <c:tickLblPos val="nextTo"/>
        <c:crossAx val="23879156"/>
        <c:crosses val="autoZero"/>
        <c:auto val="1"/>
        <c:lblOffset val="100"/>
        <c:noMultiLvlLbl val="0"/>
      </c:catAx>
      <c:valAx>
        <c:axId val="23879156"/>
        <c:scaling>
          <c:orientation val="minMax"/>
          <c:max val="7"/>
        </c:scaling>
        <c:axPos val="l"/>
        <c:title>
          <c:tx>
            <c:rich>
              <a:bodyPr vert="horz" rot="-5400000" anchor="ctr"/>
              <a:lstStyle/>
              <a:p>
                <a:pPr algn="ctr">
                  <a:defRPr/>
                </a:pPr>
                <a:r>
                  <a:rPr lang="en-US" cap="none" sz="975" b="1" i="0" u="none" baseline="0">
                    <a:latin typeface="Arial"/>
                    <a:ea typeface="Arial"/>
                    <a:cs typeface="Arial"/>
                  </a:rPr>
                  <a:t>Annual Consumption in bcm</a:t>
                </a:r>
              </a:p>
            </c:rich>
          </c:tx>
          <c:layout/>
          <c:overlay val="0"/>
          <c:spPr>
            <a:noFill/>
            <a:ln>
              <a:noFill/>
            </a:ln>
          </c:spPr>
        </c:title>
        <c:majorGridlines/>
        <c:delete val="0"/>
        <c:numFmt formatCode="General" sourceLinked="1"/>
        <c:majorTickMark val="out"/>
        <c:minorTickMark val="none"/>
        <c:tickLblPos val="nextTo"/>
        <c:crossAx val="62305563"/>
        <c:crossesAt val="1"/>
        <c:crossBetween val="between"/>
        <c:dispUnits/>
      </c:valAx>
      <c:spPr>
        <a:solidFill>
          <a:srgbClr val="C0C0C0"/>
        </a:solidFill>
        <a:ln w="12700">
          <a:solidFill>
            <a:srgbClr val="808080"/>
          </a:solidFill>
        </a:ln>
      </c:spPr>
    </c:plotArea>
    <c:legend>
      <c:legendPos val="r"/>
      <c:layout>
        <c:manualLayout>
          <c:xMode val="edge"/>
          <c:yMode val="edge"/>
          <c:x val="0.58125"/>
          <c:y val="0.57675"/>
          <c:w val="0.26125"/>
          <c:h val="0.2797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Medium Growth Scenario Gas Consumption</a:t>
            </a:r>
          </a:p>
        </c:rich>
      </c:tx>
      <c:layout>
        <c:manualLayout>
          <c:xMode val="factor"/>
          <c:yMode val="factor"/>
          <c:x val="0.19575"/>
          <c:y val="0.03725"/>
        </c:manualLayout>
      </c:layout>
    </c:title>
    <c:plotArea>
      <c:layout>
        <c:manualLayout>
          <c:xMode val="edge"/>
          <c:yMode val="edge"/>
          <c:x val="0.0605"/>
          <c:y val="0"/>
          <c:w val="0.93275"/>
          <c:h val="1"/>
        </c:manualLayout>
      </c:layout>
      <c:barChart>
        <c:barDir val="col"/>
        <c:grouping val="stacked"/>
        <c:varyColors val="0"/>
        <c:ser>
          <c:idx val="2"/>
          <c:order val="0"/>
          <c:tx>
            <c:strRef>
              <c:f>Demand!$C$59</c:f>
              <c:strCache>
                <c:ptCount val="1"/>
                <c:pt idx="0">
                  <c:v>Chemical Plant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Demand!$A$60:$A$76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Demand!$C$60:$C$76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1"/>
          <c:tx>
            <c:strRef>
              <c:f>Demand!$D$59</c:f>
              <c:strCache>
                <c:ptCount val="1"/>
                <c:pt idx="0">
                  <c:v>Power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Demand!$A$60:$A$76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Demand!$D$60:$D$76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2"/>
          <c:tx>
            <c:strRef>
              <c:f>Demand!$E$59</c:f>
              <c:strCache>
                <c:ptCount val="1"/>
                <c:pt idx="0">
                  <c:v>Tbilgazi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Demand!$A$60:$A$76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Demand!$E$60:$E$76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3"/>
          <c:tx>
            <c:strRef>
              <c:f>Demand!$F$59</c:f>
              <c:strCache>
                <c:ptCount val="1"/>
                <c:pt idx="0">
                  <c:v>Saktsementi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Demand!$A$60:$A$76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Demand!$F$60:$F$76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6"/>
          <c:order val="4"/>
          <c:tx>
            <c:strRef>
              <c:f>Demand!$H$59</c:f>
              <c:strCache>
                <c:ptCount val="1"/>
                <c:pt idx="0">
                  <c:v>West Georgia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Demand!$A$60:$A$76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Demand!$G$60:$G$76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7"/>
          <c:order val="5"/>
          <c:tx>
            <c:strRef>
              <c:f>Demand!$H$33</c:f>
              <c:strCache>
                <c:ptCount val="1"/>
                <c:pt idx="0">
                  <c:v>West Georgia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Demand!$A$60:$A$76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Demand!$H$60:$H$76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6"/>
          <c:tx>
            <c:strRef>
              <c:f>Demand!$I$59</c:f>
              <c:strCache>
                <c:ptCount val="1"/>
                <c:pt idx="0">
                  <c:v>Transit Armenia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Demand!$A$60:$A$76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Demand!$I$60:$I$76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13585813"/>
        <c:axId val="55163454"/>
      </c:barChart>
      <c:catAx>
        <c:axId val="13585813"/>
        <c:scaling>
          <c:orientation val="minMax"/>
        </c:scaling>
        <c:axPos val="b"/>
        <c:delete val="0"/>
        <c:numFmt formatCode="General" sourceLinked="1"/>
        <c:majorTickMark val="out"/>
        <c:minorTickMark val="none"/>
        <c:tickLblPos val="nextTo"/>
        <c:crossAx val="55163454"/>
        <c:crosses val="autoZero"/>
        <c:auto val="1"/>
        <c:lblOffset val="100"/>
        <c:noMultiLvlLbl val="0"/>
      </c:catAx>
      <c:valAx>
        <c:axId val="55163454"/>
        <c:scaling>
          <c:orientation val="minMax"/>
          <c:max val="6"/>
        </c:scaling>
        <c:axPos val="l"/>
        <c:title>
          <c:tx>
            <c:rich>
              <a:bodyPr vert="horz" rot="-5400000" anchor="ctr"/>
              <a:lstStyle/>
              <a:p>
                <a:pPr algn="ctr">
                  <a:defRPr/>
                </a:pPr>
                <a:r>
                  <a:rPr lang="en-US" cap="none" sz="850" b="1" i="0" u="none" baseline="0">
                    <a:latin typeface="Arial"/>
                    <a:ea typeface="Arial"/>
                    <a:cs typeface="Arial"/>
                  </a:rPr>
                  <a:t>Annual Consumption in bcm</a:t>
                </a:r>
              </a:p>
            </c:rich>
          </c:tx>
          <c:layout/>
          <c:overlay val="0"/>
          <c:spPr>
            <a:noFill/>
            <a:ln>
              <a:noFill/>
            </a:ln>
          </c:spPr>
        </c:title>
        <c:majorGridlines/>
        <c:delete val="0"/>
        <c:numFmt formatCode="General" sourceLinked="1"/>
        <c:majorTickMark val="out"/>
        <c:minorTickMark val="none"/>
        <c:tickLblPos val="nextTo"/>
        <c:crossAx val="13585813"/>
        <c:crossesAt val="1"/>
        <c:crossBetween val="between"/>
        <c:dispUnits/>
      </c:valAx>
      <c:spPr>
        <a:solidFill>
          <a:srgbClr val="C0C0C0"/>
        </a:solidFill>
        <a:ln w="12700">
          <a:solidFill>
            <a:srgbClr val="808080"/>
          </a:solidFill>
        </a:ln>
      </c:spPr>
    </c:plotArea>
    <c:legend>
      <c:legendPos val="r"/>
      <c:layout>
        <c:manualLayout>
          <c:xMode val="edge"/>
          <c:yMode val="edge"/>
          <c:x val="0.11775"/>
          <c:y val="0"/>
          <c:w val="0.233"/>
          <c:h val="0.3437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Low Growth Scenario Gas Consumption</a:t>
            </a:r>
          </a:p>
        </c:rich>
      </c:tx>
      <c:layout>
        <c:manualLayout>
          <c:xMode val="factor"/>
          <c:yMode val="factor"/>
          <c:x val="0.2205"/>
          <c:y val="0.03325"/>
        </c:manualLayout>
      </c:layout>
    </c:title>
    <c:plotArea>
      <c:layout>
        <c:manualLayout>
          <c:xMode val="edge"/>
          <c:yMode val="edge"/>
          <c:x val="0.053"/>
          <c:y val="0"/>
          <c:w val="0.947"/>
          <c:h val="1"/>
        </c:manualLayout>
      </c:layout>
      <c:barChart>
        <c:barDir val="col"/>
        <c:grouping val="stacked"/>
        <c:varyColors val="0"/>
        <c:ser>
          <c:idx val="2"/>
          <c:order val="0"/>
          <c:tx>
            <c:strRef>
              <c:f>Demand!$C$88</c:f>
              <c:strCache>
                <c:ptCount val="1"/>
                <c:pt idx="0">
                  <c:v>Chemical Plant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Demand!$A$89:$A$105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Demand!$C$89:$C$105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1"/>
          <c:tx>
            <c:strRef>
              <c:f>Demand!$D$88</c:f>
              <c:strCache>
                <c:ptCount val="1"/>
                <c:pt idx="0">
                  <c:v>Power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Demand!$A$89:$A$105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Demand!$D$89:$D$105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2"/>
          <c:tx>
            <c:strRef>
              <c:f>Demand!$E$88</c:f>
              <c:strCache>
                <c:ptCount val="1"/>
                <c:pt idx="0">
                  <c:v>Tbilgazi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Demand!$A$89:$A$105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Demand!$E$89:$E$105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3"/>
          <c:tx>
            <c:strRef>
              <c:f>Demand!$F$88</c:f>
              <c:strCache>
                <c:ptCount val="1"/>
                <c:pt idx="0">
                  <c:v>Saktsementi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Demand!$A$89:$A$105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Demand!$F$89:$F$105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6"/>
          <c:order val="4"/>
          <c:tx>
            <c:strRef>
              <c:f>Demand!$G$88</c:f>
              <c:strCache>
                <c:ptCount val="1"/>
                <c:pt idx="0">
                  <c:v>Itera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Demand!$A$89:$A$105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Demand!$G$89:$G$105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7"/>
          <c:order val="5"/>
          <c:tx>
            <c:strRef>
              <c:f>Demand!$H$88</c:f>
              <c:strCache>
                <c:ptCount val="1"/>
                <c:pt idx="0">
                  <c:v>West Georgia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Demand!$A$89:$A$105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Demand!$H$89:$H$105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6"/>
          <c:tx>
            <c:strRef>
              <c:f>Demand!$I$88</c:f>
              <c:strCache>
                <c:ptCount val="1"/>
                <c:pt idx="0">
                  <c:v>Transit Armenia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Demand!$A$89:$A$105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Demand!$I$89:$I$105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26709039"/>
        <c:axId val="39054760"/>
      </c:barChart>
      <c:catAx>
        <c:axId val="26709039"/>
        <c:scaling>
          <c:orientation val="minMax"/>
        </c:scaling>
        <c:axPos val="b"/>
        <c:delete val="0"/>
        <c:numFmt formatCode="General" sourceLinked="1"/>
        <c:majorTickMark val="out"/>
        <c:minorTickMark val="none"/>
        <c:tickLblPos val="nextTo"/>
        <c:crossAx val="39054760"/>
        <c:crosses val="autoZero"/>
        <c:auto val="1"/>
        <c:lblOffset val="100"/>
        <c:noMultiLvlLbl val="0"/>
      </c:catAx>
      <c:valAx>
        <c:axId val="39054760"/>
        <c:scaling>
          <c:orientation val="minMax"/>
          <c:max val="6"/>
        </c:scaling>
        <c:axPos val="l"/>
        <c:title>
          <c:tx>
            <c:rich>
              <a:bodyPr vert="horz" rot="-5400000" anchor="ctr"/>
              <a:lstStyle/>
              <a:p>
                <a:pPr algn="ctr">
                  <a:defRPr/>
                </a:pPr>
                <a:r>
                  <a:rPr lang="en-US" cap="none" sz="850" b="1" i="0" u="none" baseline="0">
                    <a:latin typeface="Arial"/>
                    <a:ea typeface="Arial"/>
                    <a:cs typeface="Arial"/>
                  </a:rPr>
                  <a:t>Annual Consumption in bcm</a:t>
                </a:r>
              </a:p>
            </c:rich>
          </c:tx>
          <c:layout/>
          <c:overlay val="0"/>
          <c:spPr>
            <a:noFill/>
            <a:ln>
              <a:noFill/>
            </a:ln>
          </c:spPr>
        </c:title>
        <c:majorGridlines/>
        <c:delete val="0"/>
        <c:numFmt formatCode="General" sourceLinked="1"/>
        <c:majorTickMark val="out"/>
        <c:minorTickMark val="none"/>
        <c:tickLblPos val="nextTo"/>
        <c:crossAx val="26709039"/>
        <c:crossesAt val="1"/>
        <c:crossBetween val="between"/>
        <c:dispUnits/>
      </c:valAx>
      <c:spPr>
        <a:solidFill>
          <a:srgbClr val="C0C0C0"/>
        </a:solidFill>
        <a:ln w="12700">
          <a:solidFill>
            <a:srgbClr val="808080"/>
          </a:solidFill>
        </a:ln>
      </c:spPr>
    </c:plotArea>
    <c:legend>
      <c:legendPos val="r"/>
      <c:layout>
        <c:manualLayout>
          <c:xMode val="edge"/>
          <c:yMode val="edge"/>
          <c:x val="0.174"/>
          <c:y val="0.004"/>
          <c:w val="0.1905"/>
          <c:h val="0.328"/>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Comparison of Gas Demand Cases</a:t>
            </a:r>
          </a:p>
        </c:rich>
      </c:tx>
      <c:layout>
        <c:manualLayout>
          <c:xMode val="factor"/>
          <c:yMode val="factor"/>
          <c:x val="0.00625"/>
          <c:y val="0.05625"/>
        </c:manualLayout>
      </c:layout>
    </c:title>
    <c:plotArea>
      <c:layout>
        <c:manualLayout>
          <c:xMode val="edge"/>
          <c:yMode val="edge"/>
          <c:x val="0.0435"/>
          <c:y val="0"/>
          <c:w val="0.9565"/>
          <c:h val="1"/>
        </c:manualLayout>
      </c:layout>
      <c:lineChart>
        <c:grouping val="standard"/>
        <c:varyColors val="0"/>
        <c:ser>
          <c:idx val="1"/>
          <c:order val="0"/>
          <c:tx>
            <c:strRef>
              <c:f>Demand!$B$117</c:f>
              <c:strCache>
                <c:ptCount val="1"/>
                <c:pt idx="0">
                  <c:v>Total for High Growth
in bcm</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noFill/>
              </a:ln>
            </c:spPr>
          </c:marker>
          <c:cat>
            <c:numRef>
              <c:f>Demand!$A$118:$A$134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Demand!$B$118:$B$134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2"/>
          <c:order val="1"/>
          <c:tx>
            <c:strRef>
              <c:f>Demand!$C$117</c:f>
              <c:strCache>
                <c:ptCount val="1"/>
                <c:pt idx="0">
                  <c:v>Total for High Medium
in bcm</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noFill/>
              </a:ln>
            </c:spPr>
          </c:marker>
          <c:cat>
            <c:numRef>
              <c:f>Demand!$A$118:$A$134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Demand!$C$118:$C$134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3"/>
          <c:order val="2"/>
          <c:tx>
            <c:strRef>
              <c:f>Demand!$D$117</c:f>
              <c:strCache>
                <c:ptCount val="1"/>
                <c:pt idx="0">
                  <c:v>Total for Low Growth
in bcm</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noFill/>
              <a:ln>
                <a:noFill/>
              </a:ln>
            </c:spPr>
          </c:marker>
          <c:cat>
            <c:numRef>
              <c:f>Demand!$A$118:$A$134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Demand!$D$118:$D$134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ser>
        <c:ser>
          <c:idx val="0"/>
          <c:order val="3"/>
          <c:tx>
            <c:strRef>
              <c:f>Demand!$E$117</c:f>
              <c:strCache>
                <c:ptCount val="1"/>
                <c:pt idx="0">
                  <c:v>Total for Current Demand Scenario</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Demand!$A$118:$A$134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Demand!$E$118:$E$134</c:f>
              <c:numCache>
                <c:ptCount val="17"/>
                <c:pt idx="0">
                  <c:v>2.029</c:v>
                </c:pt>
                <c:pt idx="1">
                  <c:v>2.295</c:v>
                </c:pt>
                <c:pt idx="2">
                  <c:v>2.488225</c:v>
                </c:pt>
                <c:pt idx="3">
                  <c:v>2.606728375</c:v>
                </c:pt>
                <c:pt idx="4">
                  <c:v>2.853479300625</c:v>
                </c:pt>
                <c:pt idx="5">
                  <c:v>3.052481490134375</c:v>
                </c:pt>
                <c:pt idx="6">
                  <c:v>3.1863887124863908</c:v>
                </c:pt>
                <c:pt idx="7">
                  <c:v>3.266714543173687</c:v>
                </c:pt>
                <c:pt idx="8">
                  <c:v>3.3454652613212916</c:v>
                </c:pt>
                <c:pt idx="9">
                  <c:v>3.424647240241111</c:v>
                </c:pt>
                <c:pt idx="10">
                  <c:v>3.5042669488447284</c:v>
                </c:pt>
                <c:pt idx="11">
                  <c:v>3.5843309530773992</c:v>
                </c:pt>
                <c:pt idx="12">
                  <c:v>3.61484591737356</c:v>
                </c:pt>
                <c:pt idx="13">
                  <c:v>3.6458186061341635</c:v>
                </c:pt>
                <c:pt idx="14">
                  <c:v>3.6772558852261765</c:v>
                </c:pt>
                <c:pt idx="15">
                  <c:v>3.7091647235045686</c:v>
                </c:pt>
                <c:pt idx="16">
                  <c:v>3.741552194357137</c:v>
                </c:pt>
              </c:numCache>
            </c:numRef>
          </c:val>
          <c:smooth val="0"/>
        </c:ser>
        <c:axId val="15948521"/>
        <c:axId val="9318962"/>
      </c:lineChart>
      <c:catAx>
        <c:axId val="15948521"/>
        <c:scaling>
          <c:orientation val="minMax"/>
        </c:scaling>
        <c:axPos val="b"/>
        <c:majorGridlines/>
        <c:delete val="0"/>
        <c:numFmt formatCode="General" sourceLinked="1"/>
        <c:majorTickMark val="in"/>
        <c:minorTickMark val="none"/>
        <c:tickLblPos val="nextTo"/>
        <c:txPr>
          <a:bodyPr vert="horz" rot="-5400000"/>
          <a:lstStyle/>
          <a:p>
            <a:pPr>
              <a:defRPr lang="en-US" cap="none" sz="1000" b="0" i="0" u="none" baseline="0">
                <a:latin typeface="Arial"/>
                <a:ea typeface="Arial"/>
                <a:cs typeface="Arial"/>
              </a:defRPr>
            </a:pPr>
          </a:p>
        </c:txPr>
        <c:crossAx val="9318962"/>
        <c:crosses val="autoZero"/>
        <c:auto val="1"/>
        <c:lblOffset val="100"/>
        <c:noMultiLvlLbl val="0"/>
      </c:catAx>
      <c:valAx>
        <c:axId val="9318962"/>
        <c:scaling>
          <c:orientation val="minMax"/>
          <c:min val="2"/>
        </c:scaling>
        <c:axPos val="l"/>
        <c:title>
          <c:tx>
            <c:rich>
              <a:bodyPr vert="horz" rot="-5400000" anchor="ctr"/>
              <a:lstStyle/>
              <a:p>
                <a:pPr algn="ctr">
                  <a:defRPr/>
                </a:pPr>
                <a:r>
                  <a:rPr lang="en-US" cap="none" sz="1200" b="1" i="0" u="none" baseline="0">
                    <a:latin typeface="Arial"/>
                    <a:ea typeface="Arial"/>
                    <a:cs typeface="Arial"/>
                  </a:rPr>
                  <a:t>Annual Throughput in bcm</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5948521"/>
        <c:crossesAt val="1"/>
        <c:crossBetween val="between"/>
        <c:dispUnits/>
      </c:valAx>
      <c:spPr>
        <a:solidFill>
          <a:srgbClr val="C0C0C0"/>
        </a:solidFill>
        <a:ln w="12700">
          <a:solidFill>
            <a:srgbClr val="808080"/>
          </a:solidFill>
        </a:ln>
      </c:spPr>
    </c:plotArea>
    <c:legend>
      <c:legendPos val="r"/>
      <c:layout>
        <c:manualLayout>
          <c:xMode val="edge"/>
          <c:yMode val="edge"/>
          <c:x val="0.66625"/>
          <c:y val="0.66"/>
          <c:w val="0.27925"/>
          <c:h val="0.23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Current Growth Scenario Gas Consumption</a:t>
            </a:r>
          </a:p>
        </c:rich>
      </c:tx>
      <c:layout>
        <c:manualLayout>
          <c:xMode val="factor"/>
          <c:yMode val="factor"/>
          <c:x val="0.2205"/>
          <c:y val="0.03325"/>
        </c:manualLayout>
      </c:layout>
    </c:title>
    <c:plotArea>
      <c:layout>
        <c:manualLayout>
          <c:xMode val="edge"/>
          <c:yMode val="edge"/>
          <c:x val="0.055"/>
          <c:y val="0"/>
          <c:w val="0.945"/>
          <c:h val="1"/>
        </c:manualLayout>
      </c:layout>
      <c:barChart>
        <c:barDir val="col"/>
        <c:grouping val="stacked"/>
        <c:varyColors val="0"/>
        <c:ser>
          <c:idx val="2"/>
          <c:order val="0"/>
          <c:tx>
            <c:strRef>
              <c:f>Demand!$C$7</c:f>
              <c:strCache>
                <c:ptCount val="1"/>
                <c:pt idx="0">
                  <c:v>Chemical Plant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Demand!$A$8:$A$24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Demand!$C$8:$C$24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3"/>
          <c:order val="1"/>
          <c:tx>
            <c:strRef>
              <c:f>Demand!$D$7</c:f>
              <c:strCache>
                <c:ptCount val="1"/>
                <c:pt idx="0">
                  <c:v>Power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Demand!$A$8:$A$24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Demand!$D$8:$D$24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4"/>
          <c:order val="2"/>
          <c:tx>
            <c:strRef>
              <c:f>Demand!$E$7</c:f>
              <c:strCache>
                <c:ptCount val="1"/>
                <c:pt idx="0">
                  <c:v>Tbilgazi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Demand!$A$8:$A$24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Demand!$E$8:$E$24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5"/>
          <c:order val="3"/>
          <c:tx>
            <c:strRef>
              <c:f>Demand!$F$7</c:f>
              <c:strCache>
                <c:ptCount val="1"/>
                <c:pt idx="0">
                  <c:v>Saktsementi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Demand!$A$8:$A$24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Demand!$F$8:$F$24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6"/>
          <c:order val="4"/>
          <c:tx>
            <c:strRef>
              <c:f>Demand!$G$7</c:f>
              <c:strCache>
                <c:ptCount val="1"/>
                <c:pt idx="0">
                  <c:v>Itera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Demand!$A$8:$A$24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Demand!$G$8:$G$24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7"/>
          <c:order val="5"/>
          <c:tx>
            <c:strRef>
              <c:f>Demand!$H$7</c:f>
              <c:strCache>
                <c:ptCount val="1"/>
                <c:pt idx="0">
                  <c:v>West Georgia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Demand!$A$8:$A$24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Demand!$H$8:$H$24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0"/>
          <c:order val="6"/>
          <c:tx>
            <c:strRef>
              <c:f>Demand!$I$7</c:f>
              <c:strCache>
                <c:ptCount val="1"/>
                <c:pt idx="0">
                  <c:v>Transit Armenia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Demand!$A$8:$A$24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Demand!$I$8:$I$24</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overlap val="100"/>
        <c:axId val="16761795"/>
        <c:axId val="16638428"/>
      </c:barChart>
      <c:catAx>
        <c:axId val="16761795"/>
        <c:scaling>
          <c:orientation val="minMax"/>
        </c:scaling>
        <c:axPos val="b"/>
        <c:delete val="0"/>
        <c:numFmt formatCode="General" sourceLinked="1"/>
        <c:majorTickMark val="out"/>
        <c:minorTickMark val="none"/>
        <c:tickLblPos val="nextTo"/>
        <c:crossAx val="16638428"/>
        <c:crosses val="autoZero"/>
        <c:auto val="1"/>
        <c:lblOffset val="100"/>
        <c:noMultiLvlLbl val="0"/>
      </c:catAx>
      <c:valAx>
        <c:axId val="16638428"/>
        <c:scaling>
          <c:orientation val="minMax"/>
          <c:max val="6"/>
        </c:scaling>
        <c:axPos val="l"/>
        <c:title>
          <c:tx>
            <c:rich>
              <a:bodyPr vert="horz" rot="-5400000" anchor="ctr"/>
              <a:lstStyle/>
              <a:p>
                <a:pPr algn="ctr">
                  <a:defRPr/>
                </a:pPr>
                <a:r>
                  <a:rPr lang="en-US" cap="none" sz="875" b="1" i="0" u="none" baseline="0">
                    <a:latin typeface="Arial"/>
                    <a:ea typeface="Arial"/>
                    <a:cs typeface="Arial"/>
                  </a:rPr>
                  <a:t>Annual Consumption in bcm</a:t>
                </a:r>
              </a:p>
            </c:rich>
          </c:tx>
          <c:layout/>
          <c:overlay val="0"/>
          <c:spPr>
            <a:noFill/>
            <a:ln>
              <a:noFill/>
            </a:ln>
          </c:spPr>
        </c:title>
        <c:majorGridlines/>
        <c:delete val="0"/>
        <c:numFmt formatCode="General" sourceLinked="1"/>
        <c:majorTickMark val="out"/>
        <c:minorTickMark val="none"/>
        <c:tickLblPos val="nextTo"/>
        <c:crossAx val="16761795"/>
        <c:crossesAt val="1"/>
        <c:crossBetween val="between"/>
        <c:dispUnits/>
      </c:valAx>
      <c:spPr>
        <a:solidFill>
          <a:srgbClr val="C0C0C0"/>
        </a:solidFill>
        <a:ln w="12700">
          <a:solidFill>
            <a:srgbClr val="808080"/>
          </a:solidFill>
        </a:ln>
      </c:spPr>
    </c:plotArea>
    <c:legend>
      <c:legendPos val="r"/>
      <c:layout>
        <c:manualLayout>
          <c:xMode val="edge"/>
          <c:yMode val="edge"/>
          <c:x val="0.22725"/>
          <c:y val="0.01125"/>
          <c:w val="0.18975"/>
          <c:h val="0.31325"/>
        </c:manualLayout>
      </c:layout>
      <c:overlay val="0"/>
      <c:txPr>
        <a:bodyPr vert="horz" rot="0"/>
        <a:lstStyle/>
        <a:p>
          <a:pPr>
            <a:defRPr lang="en-US" cap="none" sz="825"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Sensitivity Project IRR</a:t>
            </a:r>
          </a:p>
        </c:rich>
      </c:tx>
      <c:layout>
        <c:manualLayout>
          <c:xMode val="factor"/>
          <c:yMode val="factor"/>
          <c:x val="-0.06975"/>
          <c:y val="0.049"/>
        </c:manualLayout>
      </c:layout>
      <c:spPr>
        <a:noFill/>
        <a:ln>
          <a:noFill/>
        </a:ln>
      </c:spPr>
    </c:title>
    <c:plotArea>
      <c:layout>
        <c:manualLayout>
          <c:xMode val="edge"/>
          <c:yMode val="edge"/>
          <c:x val="0.04075"/>
          <c:y val="0"/>
          <c:w val="0.95925"/>
          <c:h val="0.9415"/>
        </c:manualLayout>
      </c:layout>
      <c:scatterChart>
        <c:scatterStyle val="smooth"/>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'IRR-high'!$C$134:$C$139</c:f>
              <c:numCache>
                <c:ptCount val="6"/>
                <c:pt idx="0">
                  <c:v>5</c:v>
                </c:pt>
                <c:pt idx="1">
                  <c:v>4</c:v>
                </c:pt>
                <c:pt idx="2">
                  <c:v>3</c:v>
                </c:pt>
                <c:pt idx="3">
                  <c:v>2</c:v>
                </c:pt>
                <c:pt idx="4">
                  <c:v>1</c:v>
                </c:pt>
                <c:pt idx="5">
                  <c:v>0</c:v>
                </c:pt>
              </c:numCache>
            </c:numRef>
          </c:xVal>
          <c:yVal>
            <c:numRef>
              <c:f>'IRR-high'!$D$134:$D$139</c:f>
              <c:numCache>
                <c:ptCount val="6"/>
                <c:pt idx="0">
                  <c:v>0.49860007581460725</c:v>
                </c:pt>
                <c:pt idx="1">
                  <c:v>0.3688541983886168</c:v>
                </c:pt>
                <c:pt idx="2">
                  <c:v>0.31879455742607293</c:v>
                </c:pt>
                <c:pt idx="3">
                  <c:v>0.2665720392165793</c:v>
                </c:pt>
                <c:pt idx="4">
                  <c:v>0.21194550117633054</c:v>
                </c:pt>
                <c:pt idx="5">
                  <c:v>0.1547247435798798</c:v>
                </c:pt>
              </c:numCache>
            </c:numRef>
          </c:yVal>
          <c:smooth val="1"/>
        </c:ser>
        <c:axId val="15528125"/>
        <c:axId val="5535398"/>
      </c:scatterChart>
      <c:valAx>
        <c:axId val="15528125"/>
        <c:scaling>
          <c:orientation val="minMax"/>
        </c:scaling>
        <c:axPos val="b"/>
        <c:title>
          <c:tx>
            <c:rich>
              <a:bodyPr vert="horz" rot="0" anchor="ctr"/>
              <a:lstStyle/>
              <a:p>
                <a:pPr algn="ctr">
                  <a:defRPr/>
                </a:pPr>
                <a:r>
                  <a:rPr lang="en-US" cap="none" sz="1125" b="1" i="0" u="none" baseline="0">
                    <a:latin typeface="Arial"/>
                    <a:ea typeface="Arial"/>
                    <a:cs typeface="Arial"/>
                  </a:rPr>
                  <a:t>Price of CO2 equivalent in US$/ton</a:t>
                </a:r>
              </a:p>
            </c:rich>
          </c:tx>
          <c:layout/>
          <c:overlay val="0"/>
          <c:spPr>
            <a:noFill/>
            <a:ln>
              <a:noFill/>
            </a:ln>
          </c:spPr>
        </c:title>
        <c:delete val="0"/>
        <c:numFmt formatCode="General" sourceLinked="1"/>
        <c:majorTickMark val="out"/>
        <c:minorTickMark val="none"/>
        <c:tickLblPos val="nextTo"/>
        <c:crossAx val="5535398"/>
        <c:crosses val="autoZero"/>
        <c:crossBetween val="midCat"/>
        <c:dispUnits/>
      </c:valAx>
      <c:valAx>
        <c:axId val="5535398"/>
        <c:scaling>
          <c:orientation val="minMax"/>
        </c:scaling>
        <c:axPos val="l"/>
        <c:title>
          <c:tx>
            <c:rich>
              <a:bodyPr vert="horz" rot="-5400000" anchor="ctr"/>
              <a:lstStyle/>
              <a:p>
                <a:pPr algn="ctr">
                  <a:defRPr/>
                </a:pPr>
                <a:r>
                  <a:rPr lang="en-US" cap="none" sz="1125" b="1" i="0" u="none" baseline="0">
                    <a:latin typeface="Arial"/>
                    <a:ea typeface="Arial"/>
                    <a:cs typeface="Arial"/>
                  </a:rPr>
                  <a:t>IRR</a:t>
                </a:r>
              </a:p>
            </c:rich>
          </c:tx>
          <c:layout/>
          <c:overlay val="0"/>
          <c:spPr>
            <a:noFill/>
            <a:ln>
              <a:noFill/>
            </a:ln>
          </c:spPr>
        </c:title>
        <c:majorGridlines/>
        <c:delete val="0"/>
        <c:numFmt formatCode="General" sourceLinked="1"/>
        <c:majorTickMark val="out"/>
        <c:minorTickMark val="none"/>
        <c:tickLblPos val="nextTo"/>
        <c:crossAx val="15528125"/>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Sensitivity Project IRR</a:t>
            </a:r>
          </a:p>
        </c:rich>
      </c:tx>
      <c:layout>
        <c:manualLayout>
          <c:xMode val="factor"/>
          <c:yMode val="factor"/>
          <c:x val="-0.06975"/>
          <c:y val="0.049"/>
        </c:manualLayout>
      </c:layout>
      <c:spPr>
        <a:noFill/>
        <a:ln>
          <a:noFill/>
        </a:ln>
      </c:spPr>
    </c:title>
    <c:plotArea>
      <c:layout>
        <c:manualLayout>
          <c:xMode val="edge"/>
          <c:yMode val="edge"/>
          <c:x val="0.04175"/>
          <c:y val="0"/>
          <c:w val="0.95825"/>
          <c:h val="0.9415"/>
        </c:manualLayout>
      </c:layout>
      <c:scatterChart>
        <c:scatterStyle val="smooth"/>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'IRR-medium'!$C$134:$C$139</c:f>
              <c:numCache>
                <c:ptCount val="6"/>
                <c:pt idx="0">
                  <c:v>5</c:v>
                </c:pt>
                <c:pt idx="1">
                  <c:v>4</c:v>
                </c:pt>
                <c:pt idx="2">
                  <c:v>3</c:v>
                </c:pt>
                <c:pt idx="3">
                  <c:v>2</c:v>
                </c:pt>
                <c:pt idx="4">
                  <c:v>1</c:v>
                </c:pt>
                <c:pt idx="5">
                  <c:v>0</c:v>
                </c:pt>
              </c:numCache>
            </c:numRef>
          </c:xVal>
          <c:yVal>
            <c:numRef>
              <c:f>'IRR-medium'!$D$134:$D$139</c:f>
              <c:numCache>
                <c:ptCount val="6"/>
                <c:pt idx="0">
                  <c:v>0.2914023394039744</c:v>
                </c:pt>
                <c:pt idx="1">
                  <c:v>0.2512473923140163</c:v>
                </c:pt>
                <c:pt idx="2">
                  <c:v>0.2093802320382504</c:v>
                </c:pt>
                <c:pt idx="3">
                  <c:v>0.16558501343099563</c:v>
                </c:pt>
                <c:pt idx="4">
                  <c:v>0.11964270210322477</c:v>
                </c:pt>
                <c:pt idx="5">
                  <c:v>0.07136765735329219</c:v>
                </c:pt>
              </c:numCache>
            </c:numRef>
          </c:yVal>
          <c:smooth val="1"/>
        </c:ser>
        <c:axId val="49818583"/>
        <c:axId val="45714064"/>
      </c:scatterChart>
      <c:valAx>
        <c:axId val="49818583"/>
        <c:scaling>
          <c:orientation val="minMax"/>
        </c:scaling>
        <c:axPos val="b"/>
        <c:title>
          <c:tx>
            <c:rich>
              <a:bodyPr vert="horz" rot="0" anchor="ctr"/>
              <a:lstStyle/>
              <a:p>
                <a:pPr algn="ctr">
                  <a:defRPr/>
                </a:pPr>
                <a:r>
                  <a:rPr lang="en-US" cap="none" sz="1100" b="1" i="0" u="none" baseline="0">
                    <a:latin typeface="Arial"/>
                    <a:ea typeface="Arial"/>
                    <a:cs typeface="Arial"/>
                  </a:rPr>
                  <a:t>Price of CO2 equivalent in US$/ton</a:t>
                </a:r>
              </a:p>
            </c:rich>
          </c:tx>
          <c:layout/>
          <c:overlay val="0"/>
          <c:spPr>
            <a:noFill/>
            <a:ln>
              <a:noFill/>
            </a:ln>
          </c:spPr>
        </c:title>
        <c:delete val="0"/>
        <c:numFmt formatCode="General" sourceLinked="1"/>
        <c:majorTickMark val="out"/>
        <c:minorTickMark val="none"/>
        <c:tickLblPos val="nextTo"/>
        <c:crossAx val="45714064"/>
        <c:crosses val="autoZero"/>
        <c:crossBetween val="midCat"/>
        <c:dispUnits/>
      </c:valAx>
      <c:valAx>
        <c:axId val="45714064"/>
        <c:scaling>
          <c:orientation val="minMax"/>
        </c:scaling>
        <c:axPos val="l"/>
        <c:title>
          <c:tx>
            <c:rich>
              <a:bodyPr vert="horz" rot="-5400000" anchor="ctr"/>
              <a:lstStyle/>
              <a:p>
                <a:pPr algn="ctr">
                  <a:defRPr/>
                </a:pPr>
                <a:r>
                  <a:rPr lang="en-US" cap="none" sz="1100" b="1" i="0" u="none" baseline="0">
                    <a:latin typeface="Arial"/>
                    <a:ea typeface="Arial"/>
                    <a:cs typeface="Arial"/>
                  </a:rPr>
                  <a:t>IRR</a:t>
                </a:r>
              </a:p>
            </c:rich>
          </c:tx>
          <c:layout/>
          <c:overlay val="0"/>
          <c:spPr>
            <a:noFill/>
            <a:ln>
              <a:noFill/>
            </a:ln>
          </c:spPr>
        </c:title>
        <c:majorGridlines/>
        <c:delete val="0"/>
        <c:numFmt formatCode="General" sourceLinked="1"/>
        <c:majorTickMark val="out"/>
        <c:minorTickMark val="none"/>
        <c:tickLblPos val="nextTo"/>
        <c:crossAx val="49818583"/>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3"/>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16</xdr:col>
      <xdr:colOff>0</xdr:colOff>
      <xdr:row>29</xdr:row>
      <xdr:rowOff>0</xdr:rowOff>
    </xdr:to>
    <xdr:graphicFrame>
      <xdr:nvGraphicFramePr>
        <xdr:cNvPr id="1" name="Chart 2"/>
        <xdr:cNvGraphicFramePr/>
      </xdr:nvGraphicFramePr>
      <xdr:xfrm>
        <a:off x="4572000" y="676275"/>
        <a:ext cx="6705600" cy="39814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31</xdr:row>
      <xdr:rowOff>0</xdr:rowOff>
    </xdr:from>
    <xdr:to>
      <xdr:col>16</xdr:col>
      <xdr:colOff>0</xdr:colOff>
      <xdr:row>57</xdr:row>
      <xdr:rowOff>0</xdr:rowOff>
    </xdr:to>
    <xdr:graphicFrame>
      <xdr:nvGraphicFramePr>
        <xdr:cNvPr id="2" name="Chart 3"/>
        <xdr:cNvGraphicFramePr/>
      </xdr:nvGraphicFramePr>
      <xdr:xfrm>
        <a:off x="4572000" y="4953000"/>
        <a:ext cx="6705600" cy="4257675"/>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59</xdr:row>
      <xdr:rowOff>19050</xdr:rowOff>
    </xdr:from>
    <xdr:to>
      <xdr:col>16</xdr:col>
      <xdr:colOff>0</xdr:colOff>
      <xdr:row>80</xdr:row>
      <xdr:rowOff>38100</xdr:rowOff>
    </xdr:to>
    <xdr:graphicFrame>
      <xdr:nvGraphicFramePr>
        <xdr:cNvPr id="3" name="Chart 4"/>
        <xdr:cNvGraphicFramePr/>
      </xdr:nvGraphicFramePr>
      <xdr:xfrm>
        <a:off x="4591050" y="9525000"/>
        <a:ext cx="6686550" cy="31908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18</xdr:col>
      <xdr:colOff>0</xdr:colOff>
      <xdr:row>23</xdr:row>
      <xdr:rowOff>0</xdr:rowOff>
    </xdr:to>
    <xdr:graphicFrame>
      <xdr:nvGraphicFramePr>
        <xdr:cNvPr id="1" name="Chart 1"/>
        <xdr:cNvGraphicFramePr/>
      </xdr:nvGraphicFramePr>
      <xdr:xfrm>
        <a:off x="3829050" y="676275"/>
        <a:ext cx="7924800" cy="356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2190750</xdr:colOff>
      <xdr:row>1</xdr:row>
      <xdr:rowOff>9525</xdr:rowOff>
    </xdr:to>
    <xdr:pic>
      <xdr:nvPicPr>
        <xdr:cNvPr id="1" name="Picture 2"/>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0</xdr:rowOff>
    </xdr:from>
    <xdr:to>
      <xdr:col>6</xdr:col>
      <xdr:colOff>352425</xdr:colOff>
      <xdr:row>49</xdr:row>
      <xdr:rowOff>95250</xdr:rowOff>
    </xdr:to>
    <xdr:graphicFrame>
      <xdr:nvGraphicFramePr>
        <xdr:cNvPr id="1" name="Chart 3"/>
        <xdr:cNvGraphicFramePr/>
      </xdr:nvGraphicFramePr>
      <xdr:xfrm>
        <a:off x="1590675" y="7886700"/>
        <a:ext cx="6257925" cy="365760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628650</xdr:colOff>
      <xdr:row>1</xdr:row>
      <xdr:rowOff>123825</xdr:rowOff>
    </xdr:from>
    <xdr:to>
      <xdr:col>6</xdr:col>
      <xdr:colOff>933450</xdr:colOff>
      <xdr:row>1</xdr:row>
      <xdr:rowOff>276225</xdr:rowOff>
    </xdr:to>
    <xdr:pic>
      <xdr:nvPicPr>
        <xdr:cNvPr id="2" name="Picture 6"/>
        <xdr:cNvPicPr preferRelativeResize="1">
          <a:picLocks noChangeAspect="1"/>
        </xdr:cNvPicPr>
      </xdr:nvPicPr>
      <xdr:blipFill>
        <a:blip r:embed="rId2"/>
        <a:stretch>
          <a:fillRect/>
        </a:stretch>
      </xdr:blipFill>
      <xdr:spPr>
        <a:xfrm>
          <a:off x="6267450" y="285750"/>
          <a:ext cx="216217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12</xdr:col>
      <xdr:colOff>0</xdr:colOff>
      <xdr:row>0</xdr:row>
      <xdr:rowOff>0</xdr:rowOff>
    </xdr:to>
    <xdr:sp>
      <xdr:nvSpPr>
        <xdr:cNvPr id="1" name="TextBox 1"/>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7</xdr:col>
      <xdr:colOff>0</xdr:colOff>
      <xdr:row>0</xdr:row>
      <xdr:rowOff>0</xdr:rowOff>
    </xdr:from>
    <xdr:to>
      <xdr:col>11</xdr:col>
      <xdr:colOff>0</xdr:colOff>
      <xdr:row>0</xdr:row>
      <xdr:rowOff>0</xdr:rowOff>
    </xdr:to>
    <xdr:sp>
      <xdr:nvSpPr>
        <xdr:cNvPr id="2" name="TextBox 2"/>
        <xdr:cNvSpPr txBox="1">
          <a:spLocks noChangeArrowheads="1"/>
        </xdr:cNvSpPr>
      </xdr:nvSpPr>
      <xdr:spPr>
        <a:xfrm>
          <a:off x="5600700" y="0"/>
          <a:ext cx="357187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are available until 2012 only</a:t>
          </a:r>
        </a:p>
      </xdr:txBody>
    </xdr:sp>
    <xdr:clientData/>
  </xdr:twoCellAnchor>
  <xdr:twoCellAnchor>
    <xdr:from>
      <xdr:col>5</xdr:col>
      <xdr:colOff>0</xdr:colOff>
      <xdr:row>0</xdr:row>
      <xdr:rowOff>0</xdr:rowOff>
    </xdr:from>
    <xdr:to>
      <xdr:col>12</xdr:col>
      <xdr:colOff>0</xdr:colOff>
      <xdr:row>0</xdr:row>
      <xdr:rowOff>0</xdr:rowOff>
    </xdr:to>
    <xdr:sp>
      <xdr:nvSpPr>
        <xdr:cNvPr id="3" name="TextBox 3"/>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4" name="TextBox 4"/>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11</xdr:col>
      <xdr:colOff>180975</xdr:colOff>
      <xdr:row>0</xdr:row>
      <xdr:rowOff>0</xdr:rowOff>
    </xdr:to>
    <xdr:sp>
      <xdr:nvSpPr>
        <xdr:cNvPr id="5" name="TextBox 5"/>
        <xdr:cNvSpPr txBox="1">
          <a:spLocks noChangeArrowheads="1"/>
        </xdr:cNvSpPr>
      </xdr:nvSpPr>
      <xdr:spPr>
        <a:xfrm>
          <a:off x="3962400" y="0"/>
          <a:ext cx="53911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5</xdr:col>
      <xdr:colOff>0</xdr:colOff>
      <xdr:row>0</xdr:row>
      <xdr:rowOff>0</xdr:rowOff>
    </xdr:from>
    <xdr:to>
      <xdr:col>12</xdr:col>
      <xdr:colOff>0</xdr:colOff>
      <xdr:row>0</xdr:row>
      <xdr:rowOff>0</xdr:rowOff>
    </xdr:to>
    <xdr:sp>
      <xdr:nvSpPr>
        <xdr:cNvPr id="6" name="TextBox 6"/>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7" name="TextBox 7"/>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11</xdr:col>
      <xdr:colOff>180975</xdr:colOff>
      <xdr:row>0</xdr:row>
      <xdr:rowOff>0</xdr:rowOff>
    </xdr:to>
    <xdr:sp>
      <xdr:nvSpPr>
        <xdr:cNvPr id="8" name="TextBox 8"/>
        <xdr:cNvSpPr txBox="1">
          <a:spLocks noChangeArrowheads="1"/>
        </xdr:cNvSpPr>
      </xdr:nvSpPr>
      <xdr:spPr>
        <a:xfrm>
          <a:off x="3962400" y="0"/>
          <a:ext cx="53911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9" name="TextBox 9"/>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12</xdr:col>
      <xdr:colOff>0</xdr:colOff>
      <xdr:row>0</xdr:row>
      <xdr:rowOff>0</xdr:rowOff>
    </xdr:to>
    <xdr:sp>
      <xdr:nvSpPr>
        <xdr:cNvPr id="10" name="TextBox 10"/>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0</xdr:row>
      <xdr:rowOff>0</xdr:rowOff>
    </xdr:from>
    <xdr:to>
      <xdr:col>12</xdr:col>
      <xdr:colOff>0</xdr:colOff>
      <xdr:row>0</xdr:row>
      <xdr:rowOff>0</xdr:rowOff>
    </xdr:to>
    <xdr:sp>
      <xdr:nvSpPr>
        <xdr:cNvPr id="11" name="TextBox 11"/>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High Demand Growth Szenario</a:t>
          </a:r>
        </a:p>
      </xdr:txBody>
    </xdr:sp>
    <xdr:clientData/>
  </xdr:twoCellAnchor>
  <xdr:twoCellAnchor>
    <xdr:from>
      <xdr:col>4</xdr:col>
      <xdr:colOff>0</xdr:colOff>
      <xdr:row>62</xdr:row>
      <xdr:rowOff>0</xdr:rowOff>
    </xdr:from>
    <xdr:to>
      <xdr:col>11</xdr:col>
      <xdr:colOff>0</xdr:colOff>
      <xdr:row>66</xdr:row>
      <xdr:rowOff>0</xdr:rowOff>
    </xdr:to>
    <xdr:sp>
      <xdr:nvSpPr>
        <xdr:cNvPr id="12" name="TextBox 12"/>
        <xdr:cNvSpPr txBox="1">
          <a:spLocks noChangeArrowheads="1"/>
        </xdr:cNvSpPr>
      </xdr:nvSpPr>
      <xdr:spPr>
        <a:xfrm>
          <a:off x="2905125" y="10772775"/>
          <a:ext cx="6267450"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74</xdr:row>
      <xdr:rowOff>0</xdr:rowOff>
    </xdr:from>
    <xdr:to>
      <xdr:col>12</xdr:col>
      <xdr:colOff>0</xdr:colOff>
      <xdr:row>79</xdr:row>
      <xdr:rowOff>0</xdr:rowOff>
    </xdr:to>
    <xdr:sp>
      <xdr:nvSpPr>
        <xdr:cNvPr id="13" name="TextBox 13"/>
        <xdr:cNvSpPr txBox="1">
          <a:spLocks noChangeArrowheads="1"/>
        </xdr:cNvSpPr>
      </xdr:nvSpPr>
      <xdr:spPr>
        <a:xfrm>
          <a:off x="3962400" y="12525375"/>
          <a:ext cx="6029325" cy="762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a:t>
          </a:r>
        </a:p>
      </xdr:txBody>
    </xdr:sp>
    <xdr:clientData/>
  </xdr:twoCellAnchor>
  <xdr:twoCellAnchor>
    <xdr:from>
      <xdr:col>5</xdr:col>
      <xdr:colOff>0</xdr:colOff>
      <xdr:row>45</xdr:row>
      <xdr:rowOff>0</xdr:rowOff>
    </xdr:from>
    <xdr:to>
      <xdr:col>12</xdr:col>
      <xdr:colOff>0</xdr:colOff>
      <xdr:row>47</xdr:row>
      <xdr:rowOff>0</xdr:rowOff>
    </xdr:to>
    <xdr:sp>
      <xdr:nvSpPr>
        <xdr:cNvPr id="14" name="TextBox 14"/>
        <xdr:cNvSpPr txBox="1">
          <a:spLocks noChangeArrowheads="1"/>
        </xdr:cNvSpPr>
      </xdr:nvSpPr>
      <xdr:spPr>
        <a:xfrm>
          <a:off x="3962400" y="7858125"/>
          <a:ext cx="60293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Low Demand Growth Scenario</a:t>
          </a:r>
        </a:p>
      </xdr:txBody>
    </xdr:sp>
    <xdr:clientData/>
  </xdr:twoCellAnchor>
  <xdr:twoCellAnchor>
    <xdr:from>
      <xdr:col>5</xdr:col>
      <xdr:colOff>0</xdr:colOff>
      <xdr:row>81</xdr:row>
      <xdr:rowOff>0</xdr:rowOff>
    </xdr:from>
    <xdr:to>
      <xdr:col>12</xdr:col>
      <xdr:colOff>0</xdr:colOff>
      <xdr:row>81</xdr:row>
      <xdr:rowOff>0</xdr:rowOff>
    </xdr:to>
    <xdr:graphicFrame>
      <xdr:nvGraphicFramePr>
        <xdr:cNvPr id="15" name="Chart 15"/>
        <xdr:cNvGraphicFramePr/>
      </xdr:nvGraphicFramePr>
      <xdr:xfrm>
        <a:off x="3962400" y="13601700"/>
        <a:ext cx="602932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29</xdr:row>
      <xdr:rowOff>66675</xdr:rowOff>
    </xdr:from>
    <xdr:to>
      <xdr:col>20</xdr:col>
      <xdr:colOff>9525</xdr:colOff>
      <xdr:row>50</xdr:row>
      <xdr:rowOff>57150</xdr:rowOff>
    </xdr:to>
    <xdr:graphicFrame>
      <xdr:nvGraphicFramePr>
        <xdr:cNvPr id="1" name="Chart 3"/>
        <xdr:cNvGraphicFramePr/>
      </xdr:nvGraphicFramePr>
      <xdr:xfrm>
        <a:off x="7077075" y="5334000"/>
        <a:ext cx="5486400" cy="3733800"/>
      </xdr:xfrm>
      <a:graphic>
        <a:graphicData uri="http://schemas.openxmlformats.org/drawingml/2006/chart">
          <c:chart xmlns:c="http://schemas.openxmlformats.org/drawingml/2006/chart" r:id="rId1"/>
        </a:graphicData>
      </a:graphic>
    </xdr:graphicFrame>
    <xdr:clientData/>
  </xdr:twoCellAnchor>
  <xdr:twoCellAnchor>
    <xdr:from>
      <xdr:col>11</xdr:col>
      <xdr:colOff>9525</xdr:colOff>
      <xdr:row>58</xdr:row>
      <xdr:rowOff>0</xdr:rowOff>
    </xdr:from>
    <xdr:to>
      <xdr:col>20</xdr:col>
      <xdr:colOff>9525</xdr:colOff>
      <xdr:row>76</xdr:row>
      <xdr:rowOff>0</xdr:rowOff>
    </xdr:to>
    <xdr:graphicFrame>
      <xdr:nvGraphicFramePr>
        <xdr:cNvPr id="2" name="Chart 4"/>
        <xdr:cNvGraphicFramePr/>
      </xdr:nvGraphicFramePr>
      <xdr:xfrm>
        <a:off x="7077075" y="10315575"/>
        <a:ext cx="5486400" cy="3248025"/>
      </xdr:xfrm>
      <a:graphic>
        <a:graphicData uri="http://schemas.openxmlformats.org/drawingml/2006/chart">
          <c:chart xmlns:c="http://schemas.openxmlformats.org/drawingml/2006/chart" r:id="rId2"/>
        </a:graphicData>
      </a:graphic>
    </xdr:graphicFrame>
    <xdr:clientData/>
  </xdr:twoCellAnchor>
  <xdr:twoCellAnchor>
    <xdr:from>
      <xdr:col>11</xdr:col>
      <xdr:colOff>38100</xdr:colOff>
      <xdr:row>87</xdr:row>
      <xdr:rowOff>0</xdr:rowOff>
    </xdr:from>
    <xdr:to>
      <xdr:col>20</xdr:col>
      <xdr:colOff>38100</xdr:colOff>
      <xdr:row>105</xdr:row>
      <xdr:rowOff>0</xdr:rowOff>
    </xdr:to>
    <xdr:graphicFrame>
      <xdr:nvGraphicFramePr>
        <xdr:cNvPr id="3" name="Chart 5"/>
        <xdr:cNvGraphicFramePr/>
      </xdr:nvGraphicFramePr>
      <xdr:xfrm>
        <a:off x="7105650" y="15354300"/>
        <a:ext cx="5486400" cy="3248025"/>
      </xdr:xfrm>
      <a:graphic>
        <a:graphicData uri="http://schemas.openxmlformats.org/drawingml/2006/chart">
          <c:chart xmlns:c="http://schemas.openxmlformats.org/drawingml/2006/chart" r:id="rId3"/>
        </a:graphicData>
      </a:graphic>
    </xdr:graphicFrame>
    <xdr:clientData/>
  </xdr:twoCellAnchor>
  <xdr:twoCellAnchor>
    <xdr:from>
      <xdr:col>5</xdr:col>
      <xdr:colOff>638175</xdr:colOff>
      <xdr:row>116</xdr:row>
      <xdr:rowOff>28575</xdr:rowOff>
    </xdr:from>
    <xdr:to>
      <xdr:col>19</xdr:col>
      <xdr:colOff>28575</xdr:colOff>
      <xdr:row>141</xdr:row>
      <xdr:rowOff>19050</xdr:rowOff>
    </xdr:to>
    <xdr:graphicFrame>
      <xdr:nvGraphicFramePr>
        <xdr:cNvPr id="4" name="Chart 6"/>
        <xdr:cNvGraphicFramePr/>
      </xdr:nvGraphicFramePr>
      <xdr:xfrm>
        <a:off x="3743325" y="20412075"/>
        <a:ext cx="8229600" cy="4524375"/>
      </xdr:xfrm>
      <a:graphic>
        <a:graphicData uri="http://schemas.openxmlformats.org/drawingml/2006/chart">
          <c:chart xmlns:c="http://schemas.openxmlformats.org/drawingml/2006/chart" r:id="rId4"/>
        </a:graphicData>
      </a:graphic>
    </xdr:graphicFrame>
    <xdr:clientData/>
  </xdr:twoCellAnchor>
  <xdr:twoCellAnchor>
    <xdr:from>
      <xdr:col>10</xdr:col>
      <xdr:colOff>600075</xdr:colOff>
      <xdr:row>6</xdr:row>
      <xdr:rowOff>38100</xdr:rowOff>
    </xdr:from>
    <xdr:to>
      <xdr:col>20</xdr:col>
      <xdr:colOff>9525</xdr:colOff>
      <xdr:row>25</xdr:row>
      <xdr:rowOff>28575</xdr:rowOff>
    </xdr:to>
    <xdr:graphicFrame>
      <xdr:nvGraphicFramePr>
        <xdr:cNvPr id="5" name="Chart 7"/>
        <xdr:cNvGraphicFramePr/>
      </xdr:nvGraphicFramePr>
      <xdr:xfrm>
        <a:off x="7058025" y="1181100"/>
        <a:ext cx="5505450" cy="340042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0</xdr:rowOff>
    </xdr:from>
    <xdr:to>
      <xdr:col>11</xdr:col>
      <xdr:colOff>0</xdr:colOff>
      <xdr:row>67</xdr:row>
      <xdr:rowOff>0</xdr:rowOff>
    </xdr:to>
    <xdr:sp>
      <xdr:nvSpPr>
        <xdr:cNvPr id="1" name="TextBox 2"/>
        <xdr:cNvSpPr txBox="1">
          <a:spLocks noChangeArrowheads="1"/>
        </xdr:cNvSpPr>
      </xdr:nvSpPr>
      <xdr:spPr>
        <a:xfrm>
          <a:off x="2924175" y="10896600"/>
          <a:ext cx="6334125"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75</xdr:row>
      <xdr:rowOff>0</xdr:rowOff>
    </xdr:from>
    <xdr:to>
      <xdr:col>12</xdr:col>
      <xdr:colOff>0</xdr:colOff>
      <xdr:row>80</xdr:row>
      <xdr:rowOff>0</xdr:rowOff>
    </xdr:to>
    <xdr:sp>
      <xdr:nvSpPr>
        <xdr:cNvPr id="2" name="TextBox 3"/>
        <xdr:cNvSpPr txBox="1">
          <a:spLocks noChangeArrowheads="1"/>
        </xdr:cNvSpPr>
      </xdr:nvSpPr>
      <xdr:spPr>
        <a:xfrm>
          <a:off x="3990975" y="12649200"/>
          <a:ext cx="6096000" cy="762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46</xdr:row>
      <xdr:rowOff>0</xdr:rowOff>
    </xdr:from>
    <xdr:to>
      <xdr:col>12</xdr:col>
      <xdr:colOff>0</xdr:colOff>
      <xdr:row>48</xdr:row>
      <xdr:rowOff>0</xdr:rowOff>
    </xdr:to>
    <xdr:sp>
      <xdr:nvSpPr>
        <xdr:cNvPr id="3" name="TextBox 4"/>
        <xdr:cNvSpPr txBox="1">
          <a:spLocks noChangeArrowheads="1"/>
        </xdr:cNvSpPr>
      </xdr:nvSpPr>
      <xdr:spPr>
        <a:xfrm>
          <a:off x="3990975" y="7981950"/>
          <a:ext cx="6096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High Demand Growth Scenario</a:t>
          </a:r>
        </a:p>
      </xdr:txBody>
    </xdr:sp>
    <xdr:clientData/>
  </xdr:twoCellAnchor>
  <xdr:twoCellAnchor>
    <xdr:from>
      <xdr:col>5</xdr:col>
      <xdr:colOff>0</xdr:colOff>
      <xdr:row>127</xdr:row>
      <xdr:rowOff>0</xdr:rowOff>
    </xdr:from>
    <xdr:to>
      <xdr:col>12</xdr:col>
      <xdr:colOff>0</xdr:colOff>
      <xdr:row>147</xdr:row>
      <xdr:rowOff>0</xdr:rowOff>
    </xdr:to>
    <xdr:graphicFrame>
      <xdr:nvGraphicFramePr>
        <xdr:cNvPr id="4" name="Chart 5"/>
        <xdr:cNvGraphicFramePr/>
      </xdr:nvGraphicFramePr>
      <xdr:xfrm>
        <a:off x="3990975" y="20469225"/>
        <a:ext cx="6096000" cy="3228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12</xdr:col>
      <xdr:colOff>0</xdr:colOff>
      <xdr:row>0</xdr:row>
      <xdr:rowOff>0</xdr:rowOff>
    </xdr:to>
    <xdr:sp>
      <xdr:nvSpPr>
        <xdr:cNvPr id="1" name="TextBox 2"/>
        <xdr:cNvSpPr txBox="1">
          <a:spLocks noChangeArrowheads="1"/>
        </xdr:cNvSpPr>
      </xdr:nvSpPr>
      <xdr:spPr>
        <a:xfrm>
          <a:off x="3962400" y="0"/>
          <a:ext cx="59626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2" name="TextBox 4"/>
        <xdr:cNvSpPr txBox="1">
          <a:spLocks noChangeArrowheads="1"/>
        </xdr:cNvSpPr>
      </xdr:nvSpPr>
      <xdr:spPr>
        <a:xfrm>
          <a:off x="4772025" y="0"/>
          <a:ext cx="590550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11</xdr:col>
      <xdr:colOff>180975</xdr:colOff>
      <xdr:row>0</xdr:row>
      <xdr:rowOff>0</xdr:rowOff>
    </xdr:to>
    <xdr:sp>
      <xdr:nvSpPr>
        <xdr:cNvPr id="3" name="TextBox 5"/>
        <xdr:cNvSpPr txBox="1">
          <a:spLocks noChangeArrowheads="1"/>
        </xdr:cNvSpPr>
      </xdr:nvSpPr>
      <xdr:spPr>
        <a:xfrm>
          <a:off x="3962400" y="0"/>
          <a:ext cx="53911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4" name="TextBox 6"/>
        <xdr:cNvSpPr txBox="1">
          <a:spLocks noChangeArrowheads="1"/>
        </xdr:cNvSpPr>
      </xdr:nvSpPr>
      <xdr:spPr>
        <a:xfrm>
          <a:off x="4772025" y="0"/>
          <a:ext cx="590550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12</xdr:col>
      <xdr:colOff>0</xdr:colOff>
      <xdr:row>0</xdr:row>
      <xdr:rowOff>0</xdr:rowOff>
    </xdr:to>
    <xdr:sp>
      <xdr:nvSpPr>
        <xdr:cNvPr id="5" name="TextBox 7"/>
        <xdr:cNvSpPr txBox="1">
          <a:spLocks noChangeArrowheads="1"/>
        </xdr:cNvSpPr>
      </xdr:nvSpPr>
      <xdr:spPr>
        <a:xfrm>
          <a:off x="3962400" y="0"/>
          <a:ext cx="59626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0</xdr:row>
      <xdr:rowOff>0</xdr:rowOff>
    </xdr:from>
    <xdr:to>
      <xdr:col>12</xdr:col>
      <xdr:colOff>0</xdr:colOff>
      <xdr:row>0</xdr:row>
      <xdr:rowOff>0</xdr:rowOff>
    </xdr:to>
    <xdr:sp>
      <xdr:nvSpPr>
        <xdr:cNvPr id="6" name="TextBox 8"/>
        <xdr:cNvSpPr txBox="1">
          <a:spLocks noChangeArrowheads="1"/>
        </xdr:cNvSpPr>
      </xdr:nvSpPr>
      <xdr:spPr>
        <a:xfrm>
          <a:off x="3962400" y="0"/>
          <a:ext cx="596265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High Demand Growth Szenario</a:t>
          </a:r>
        </a:p>
      </xdr:txBody>
    </xdr:sp>
    <xdr:clientData/>
  </xdr:twoCellAnchor>
  <xdr:twoCellAnchor>
    <xdr:from>
      <xdr:col>4</xdr:col>
      <xdr:colOff>0</xdr:colOff>
      <xdr:row>63</xdr:row>
      <xdr:rowOff>0</xdr:rowOff>
    </xdr:from>
    <xdr:to>
      <xdr:col>11</xdr:col>
      <xdr:colOff>0</xdr:colOff>
      <xdr:row>67</xdr:row>
      <xdr:rowOff>0</xdr:rowOff>
    </xdr:to>
    <xdr:sp>
      <xdr:nvSpPr>
        <xdr:cNvPr id="7" name="TextBox 13"/>
        <xdr:cNvSpPr txBox="1">
          <a:spLocks noChangeArrowheads="1"/>
        </xdr:cNvSpPr>
      </xdr:nvSpPr>
      <xdr:spPr>
        <a:xfrm>
          <a:off x="2905125" y="10896600"/>
          <a:ext cx="6267450"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75</xdr:row>
      <xdr:rowOff>0</xdr:rowOff>
    </xdr:from>
    <xdr:to>
      <xdr:col>12</xdr:col>
      <xdr:colOff>0</xdr:colOff>
      <xdr:row>80</xdr:row>
      <xdr:rowOff>0</xdr:rowOff>
    </xdr:to>
    <xdr:sp>
      <xdr:nvSpPr>
        <xdr:cNvPr id="8" name="TextBox 14"/>
        <xdr:cNvSpPr txBox="1">
          <a:spLocks noChangeArrowheads="1"/>
        </xdr:cNvSpPr>
      </xdr:nvSpPr>
      <xdr:spPr>
        <a:xfrm>
          <a:off x="3962400" y="12649200"/>
          <a:ext cx="5962650" cy="762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46</xdr:row>
      <xdr:rowOff>0</xdr:rowOff>
    </xdr:from>
    <xdr:to>
      <xdr:col>12</xdr:col>
      <xdr:colOff>0</xdr:colOff>
      <xdr:row>48</xdr:row>
      <xdr:rowOff>0</xdr:rowOff>
    </xdr:to>
    <xdr:sp>
      <xdr:nvSpPr>
        <xdr:cNvPr id="9" name="TextBox 15"/>
        <xdr:cNvSpPr txBox="1">
          <a:spLocks noChangeArrowheads="1"/>
        </xdr:cNvSpPr>
      </xdr:nvSpPr>
      <xdr:spPr>
        <a:xfrm>
          <a:off x="3962400" y="7981950"/>
          <a:ext cx="59626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Medium Demand Growth Scenario</a:t>
          </a:r>
        </a:p>
      </xdr:txBody>
    </xdr:sp>
    <xdr:clientData/>
  </xdr:twoCellAnchor>
  <xdr:twoCellAnchor>
    <xdr:from>
      <xdr:col>5</xdr:col>
      <xdr:colOff>0</xdr:colOff>
      <xdr:row>127</xdr:row>
      <xdr:rowOff>0</xdr:rowOff>
    </xdr:from>
    <xdr:to>
      <xdr:col>12</xdr:col>
      <xdr:colOff>0</xdr:colOff>
      <xdr:row>147</xdr:row>
      <xdr:rowOff>0</xdr:rowOff>
    </xdr:to>
    <xdr:graphicFrame>
      <xdr:nvGraphicFramePr>
        <xdr:cNvPr id="10" name="Chart 16"/>
        <xdr:cNvGraphicFramePr/>
      </xdr:nvGraphicFramePr>
      <xdr:xfrm>
        <a:off x="3962400" y="20469225"/>
        <a:ext cx="5962650" cy="32289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12</xdr:col>
      <xdr:colOff>0</xdr:colOff>
      <xdr:row>0</xdr:row>
      <xdr:rowOff>0</xdr:rowOff>
    </xdr:to>
    <xdr:sp>
      <xdr:nvSpPr>
        <xdr:cNvPr id="1" name="TextBox 1"/>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7</xdr:col>
      <xdr:colOff>0</xdr:colOff>
      <xdr:row>0</xdr:row>
      <xdr:rowOff>0</xdr:rowOff>
    </xdr:from>
    <xdr:to>
      <xdr:col>11</xdr:col>
      <xdr:colOff>0</xdr:colOff>
      <xdr:row>0</xdr:row>
      <xdr:rowOff>0</xdr:rowOff>
    </xdr:to>
    <xdr:sp>
      <xdr:nvSpPr>
        <xdr:cNvPr id="2" name="TextBox 2"/>
        <xdr:cNvSpPr txBox="1">
          <a:spLocks noChangeArrowheads="1"/>
        </xdr:cNvSpPr>
      </xdr:nvSpPr>
      <xdr:spPr>
        <a:xfrm>
          <a:off x="5600700" y="0"/>
          <a:ext cx="357187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are available until 2012 only</a:t>
          </a:r>
        </a:p>
      </xdr:txBody>
    </xdr:sp>
    <xdr:clientData/>
  </xdr:twoCellAnchor>
  <xdr:twoCellAnchor>
    <xdr:from>
      <xdr:col>5</xdr:col>
      <xdr:colOff>0</xdr:colOff>
      <xdr:row>0</xdr:row>
      <xdr:rowOff>0</xdr:rowOff>
    </xdr:from>
    <xdr:to>
      <xdr:col>12</xdr:col>
      <xdr:colOff>0</xdr:colOff>
      <xdr:row>0</xdr:row>
      <xdr:rowOff>0</xdr:rowOff>
    </xdr:to>
    <xdr:sp>
      <xdr:nvSpPr>
        <xdr:cNvPr id="3" name="TextBox 3"/>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4" name="TextBox 4"/>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11</xdr:col>
      <xdr:colOff>180975</xdr:colOff>
      <xdr:row>0</xdr:row>
      <xdr:rowOff>0</xdr:rowOff>
    </xdr:to>
    <xdr:sp>
      <xdr:nvSpPr>
        <xdr:cNvPr id="5" name="TextBox 5"/>
        <xdr:cNvSpPr txBox="1">
          <a:spLocks noChangeArrowheads="1"/>
        </xdr:cNvSpPr>
      </xdr:nvSpPr>
      <xdr:spPr>
        <a:xfrm>
          <a:off x="3962400" y="0"/>
          <a:ext cx="53911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5</xdr:col>
      <xdr:colOff>0</xdr:colOff>
      <xdr:row>0</xdr:row>
      <xdr:rowOff>0</xdr:rowOff>
    </xdr:from>
    <xdr:to>
      <xdr:col>12</xdr:col>
      <xdr:colOff>0</xdr:colOff>
      <xdr:row>0</xdr:row>
      <xdr:rowOff>0</xdr:rowOff>
    </xdr:to>
    <xdr:sp>
      <xdr:nvSpPr>
        <xdr:cNvPr id="6" name="TextBox 6"/>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7" name="TextBox 7"/>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11</xdr:col>
      <xdr:colOff>180975</xdr:colOff>
      <xdr:row>0</xdr:row>
      <xdr:rowOff>0</xdr:rowOff>
    </xdr:to>
    <xdr:sp>
      <xdr:nvSpPr>
        <xdr:cNvPr id="8" name="TextBox 8"/>
        <xdr:cNvSpPr txBox="1">
          <a:spLocks noChangeArrowheads="1"/>
        </xdr:cNvSpPr>
      </xdr:nvSpPr>
      <xdr:spPr>
        <a:xfrm>
          <a:off x="3962400" y="0"/>
          <a:ext cx="53911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9" name="TextBox 9"/>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12</xdr:col>
      <xdr:colOff>0</xdr:colOff>
      <xdr:row>0</xdr:row>
      <xdr:rowOff>0</xdr:rowOff>
    </xdr:to>
    <xdr:sp>
      <xdr:nvSpPr>
        <xdr:cNvPr id="10" name="TextBox 10"/>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0</xdr:row>
      <xdr:rowOff>0</xdr:rowOff>
    </xdr:from>
    <xdr:to>
      <xdr:col>12</xdr:col>
      <xdr:colOff>0</xdr:colOff>
      <xdr:row>0</xdr:row>
      <xdr:rowOff>0</xdr:rowOff>
    </xdr:to>
    <xdr:sp>
      <xdr:nvSpPr>
        <xdr:cNvPr id="11" name="TextBox 11"/>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High Demand Growth Szenario</a:t>
          </a:r>
        </a:p>
      </xdr:txBody>
    </xdr:sp>
    <xdr:clientData/>
  </xdr:twoCellAnchor>
  <xdr:twoCellAnchor>
    <xdr:from>
      <xdr:col>4</xdr:col>
      <xdr:colOff>0</xdr:colOff>
      <xdr:row>63</xdr:row>
      <xdr:rowOff>0</xdr:rowOff>
    </xdr:from>
    <xdr:to>
      <xdr:col>11</xdr:col>
      <xdr:colOff>0</xdr:colOff>
      <xdr:row>67</xdr:row>
      <xdr:rowOff>0</xdr:rowOff>
    </xdr:to>
    <xdr:sp>
      <xdr:nvSpPr>
        <xdr:cNvPr id="12" name="TextBox 12"/>
        <xdr:cNvSpPr txBox="1">
          <a:spLocks noChangeArrowheads="1"/>
        </xdr:cNvSpPr>
      </xdr:nvSpPr>
      <xdr:spPr>
        <a:xfrm>
          <a:off x="2905125" y="10896600"/>
          <a:ext cx="6267450"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75</xdr:row>
      <xdr:rowOff>0</xdr:rowOff>
    </xdr:from>
    <xdr:to>
      <xdr:col>12</xdr:col>
      <xdr:colOff>0</xdr:colOff>
      <xdr:row>80</xdr:row>
      <xdr:rowOff>0</xdr:rowOff>
    </xdr:to>
    <xdr:sp>
      <xdr:nvSpPr>
        <xdr:cNvPr id="13" name="TextBox 13"/>
        <xdr:cNvSpPr txBox="1">
          <a:spLocks noChangeArrowheads="1"/>
        </xdr:cNvSpPr>
      </xdr:nvSpPr>
      <xdr:spPr>
        <a:xfrm>
          <a:off x="3962400" y="12649200"/>
          <a:ext cx="6029325" cy="762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46</xdr:row>
      <xdr:rowOff>0</xdr:rowOff>
    </xdr:from>
    <xdr:to>
      <xdr:col>12</xdr:col>
      <xdr:colOff>0</xdr:colOff>
      <xdr:row>48</xdr:row>
      <xdr:rowOff>0</xdr:rowOff>
    </xdr:to>
    <xdr:sp>
      <xdr:nvSpPr>
        <xdr:cNvPr id="14" name="TextBox 14"/>
        <xdr:cNvSpPr txBox="1">
          <a:spLocks noChangeArrowheads="1"/>
        </xdr:cNvSpPr>
      </xdr:nvSpPr>
      <xdr:spPr>
        <a:xfrm>
          <a:off x="3962400" y="7981950"/>
          <a:ext cx="60293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Low Demand Growth Scenario</a:t>
          </a:r>
        </a:p>
      </xdr:txBody>
    </xdr:sp>
    <xdr:clientData/>
  </xdr:twoCellAnchor>
  <xdr:twoCellAnchor>
    <xdr:from>
      <xdr:col>5</xdr:col>
      <xdr:colOff>0</xdr:colOff>
      <xdr:row>127</xdr:row>
      <xdr:rowOff>0</xdr:rowOff>
    </xdr:from>
    <xdr:to>
      <xdr:col>12</xdr:col>
      <xdr:colOff>0</xdr:colOff>
      <xdr:row>147</xdr:row>
      <xdr:rowOff>0</xdr:rowOff>
    </xdr:to>
    <xdr:graphicFrame>
      <xdr:nvGraphicFramePr>
        <xdr:cNvPr id="15" name="Chart 15"/>
        <xdr:cNvGraphicFramePr/>
      </xdr:nvGraphicFramePr>
      <xdr:xfrm>
        <a:off x="3962400" y="20459700"/>
        <a:ext cx="6029325" cy="3209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12</xdr:col>
      <xdr:colOff>0</xdr:colOff>
      <xdr:row>0</xdr:row>
      <xdr:rowOff>0</xdr:rowOff>
    </xdr:to>
    <xdr:sp>
      <xdr:nvSpPr>
        <xdr:cNvPr id="1" name="TextBox 1"/>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7</xdr:col>
      <xdr:colOff>0</xdr:colOff>
      <xdr:row>0</xdr:row>
      <xdr:rowOff>0</xdr:rowOff>
    </xdr:from>
    <xdr:to>
      <xdr:col>11</xdr:col>
      <xdr:colOff>0</xdr:colOff>
      <xdr:row>0</xdr:row>
      <xdr:rowOff>0</xdr:rowOff>
    </xdr:to>
    <xdr:sp>
      <xdr:nvSpPr>
        <xdr:cNvPr id="2" name="TextBox 2"/>
        <xdr:cNvSpPr txBox="1">
          <a:spLocks noChangeArrowheads="1"/>
        </xdr:cNvSpPr>
      </xdr:nvSpPr>
      <xdr:spPr>
        <a:xfrm>
          <a:off x="5600700" y="0"/>
          <a:ext cx="357187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are available until 2012 only</a:t>
          </a:r>
        </a:p>
      </xdr:txBody>
    </xdr:sp>
    <xdr:clientData/>
  </xdr:twoCellAnchor>
  <xdr:twoCellAnchor>
    <xdr:from>
      <xdr:col>5</xdr:col>
      <xdr:colOff>0</xdr:colOff>
      <xdr:row>0</xdr:row>
      <xdr:rowOff>0</xdr:rowOff>
    </xdr:from>
    <xdr:to>
      <xdr:col>12</xdr:col>
      <xdr:colOff>0</xdr:colOff>
      <xdr:row>0</xdr:row>
      <xdr:rowOff>0</xdr:rowOff>
    </xdr:to>
    <xdr:sp>
      <xdr:nvSpPr>
        <xdr:cNvPr id="3" name="TextBox 3"/>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4" name="TextBox 4"/>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11</xdr:col>
      <xdr:colOff>180975</xdr:colOff>
      <xdr:row>0</xdr:row>
      <xdr:rowOff>0</xdr:rowOff>
    </xdr:to>
    <xdr:sp>
      <xdr:nvSpPr>
        <xdr:cNvPr id="5" name="TextBox 5"/>
        <xdr:cNvSpPr txBox="1">
          <a:spLocks noChangeArrowheads="1"/>
        </xdr:cNvSpPr>
      </xdr:nvSpPr>
      <xdr:spPr>
        <a:xfrm>
          <a:off x="3962400" y="0"/>
          <a:ext cx="53911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5</xdr:col>
      <xdr:colOff>0</xdr:colOff>
      <xdr:row>0</xdr:row>
      <xdr:rowOff>0</xdr:rowOff>
    </xdr:from>
    <xdr:to>
      <xdr:col>12</xdr:col>
      <xdr:colOff>0</xdr:colOff>
      <xdr:row>0</xdr:row>
      <xdr:rowOff>0</xdr:rowOff>
    </xdr:to>
    <xdr:sp>
      <xdr:nvSpPr>
        <xdr:cNvPr id="6" name="TextBox 6"/>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7" name="TextBox 7"/>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11</xdr:col>
      <xdr:colOff>180975</xdr:colOff>
      <xdr:row>0</xdr:row>
      <xdr:rowOff>0</xdr:rowOff>
    </xdr:to>
    <xdr:sp>
      <xdr:nvSpPr>
        <xdr:cNvPr id="8" name="TextBox 8"/>
        <xdr:cNvSpPr txBox="1">
          <a:spLocks noChangeArrowheads="1"/>
        </xdr:cNvSpPr>
      </xdr:nvSpPr>
      <xdr:spPr>
        <a:xfrm>
          <a:off x="3962400" y="0"/>
          <a:ext cx="53911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2005 to 2007 are MCC Funds for Rehabilitaion of the North-South Pipeline
Investment in the years from 2008 to 2014 are GGIC Funds for continued Rehabilitation in the Pipeline network.</a:t>
          </a:r>
        </a:p>
      </xdr:txBody>
    </xdr:sp>
    <xdr:clientData/>
  </xdr:twoCellAnchor>
  <xdr:twoCellAnchor>
    <xdr:from>
      <xdr:col>6</xdr:col>
      <xdr:colOff>0</xdr:colOff>
      <xdr:row>0</xdr:row>
      <xdr:rowOff>0</xdr:rowOff>
    </xdr:from>
    <xdr:to>
      <xdr:col>13</xdr:col>
      <xdr:colOff>0</xdr:colOff>
      <xdr:row>0</xdr:row>
      <xdr:rowOff>0</xdr:rowOff>
    </xdr:to>
    <xdr:sp>
      <xdr:nvSpPr>
        <xdr:cNvPr id="9" name="TextBox 9"/>
        <xdr:cNvSpPr txBox="1">
          <a:spLocks noChangeArrowheads="1"/>
        </xdr:cNvSpPr>
      </xdr:nvSpPr>
      <xdr:spPr>
        <a:xfrm>
          <a:off x="4772025" y="0"/>
          <a:ext cx="603885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0</xdr:row>
      <xdr:rowOff>0</xdr:rowOff>
    </xdr:from>
    <xdr:to>
      <xdr:col>12</xdr:col>
      <xdr:colOff>0</xdr:colOff>
      <xdr:row>0</xdr:row>
      <xdr:rowOff>0</xdr:rowOff>
    </xdr:to>
    <xdr:sp>
      <xdr:nvSpPr>
        <xdr:cNvPr id="10" name="TextBox 10"/>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0</xdr:row>
      <xdr:rowOff>0</xdr:rowOff>
    </xdr:from>
    <xdr:to>
      <xdr:col>12</xdr:col>
      <xdr:colOff>0</xdr:colOff>
      <xdr:row>0</xdr:row>
      <xdr:rowOff>0</xdr:rowOff>
    </xdr:to>
    <xdr:sp>
      <xdr:nvSpPr>
        <xdr:cNvPr id="11" name="TextBox 11"/>
        <xdr:cNvSpPr txBox="1">
          <a:spLocks noChangeArrowheads="1"/>
        </xdr:cNvSpPr>
      </xdr:nvSpPr>
      <xdr:spPr>
        <a:xfrm>
          <a:off x="3962400" y="0"/>
          <a:ext cx="60293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High Demand Growth Szenario</a:t>
          </a:r>
        </a:p>
      </xdr:txBody>
    </xdr:sp>
    <xdr:clientData/>
  </xdr:twoCellAnchor>
  <xdr:twoCellAnchor>
    <xdr:from>
      <xdr:col>4</xdr:col>
      <xdr:colOff>0</xdr:colOff>
      <xdr:row>63</xdr:row>
      <xdr:rowOff>0</xdr:rowOff>
    </xdr:from>
    <xdr:to>
      <xdr:col>11</xdr:col>
      <xdr:colOff>0</xdr:colOff>
      <xdr:row>67</xdr:row>
      <xdr:rowOff>0</xdr:rowOff>
    </xdr:to>
    <xdr:sp>
      <xdr:nvSpPr>
        <xdr:cNvPr id="12" name="TextBox 12"/>
        <xdr:cNvSpPr txBox="1">
          <a:spLocks noChangeArrowheads="1"/>
        </xdr:cNvSpPr>
      </xdr:nvSpPr>
      <xdr:spPr>
        <a:xfrm>
          <a:off x="2905125" y="10896600"/>
          <a:ext cx="6267450"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that:
Carbon Funds will be disbursed in a 12 month delay i.e. emmission reductions in 2006 will be paid in 2007
Carbon Funds are available until 2012 only, however emmission reductions in 2012 will be paid in 2013</a:t>
          </a:r>
        </a:p>
      </xdr:txBody>
    </xdr:sp>
    <xdr:clientData/>
  </xdr:twoCellAnchor>
  <xdr:twoCellAnchor>
    <xdr:from>
      <xdr:col>5</xdr:col>
      <xdr:colOff>0</xdr:colOff>
      <xdr:row>75</xdr:row>
      <xdr:rowOff>0</xdr:rowOff>
    </xdr:from>
    <xdr:to>
      <xdr:col>12</xdr:col>
      <xdr:colOff>0</xdr:colOff>
      <xdr:row>80</xdr:row>
      <xdr:rowOff>0</xdr:rowOff>
    </xdr:to>
    <xdr:sp>
      <xdr:nvSpPr>
        <xdr:cNvPr id="13" name="TextBox 13"/>
        <xdr:cNvSpPr txBox="1">
          <a:spLocks noChangeArrowheads="1"/>
        </xdr:cNvSpPr>
      </xdr:nvSpPr>
      <xdr:spPr>
        <a:xfrm>
          <a:off x="3962400" y="12649200"/>
          <a:ext cx="6029325" cy="762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Please note: 
Investment in the years from 2006 to 2007 are MCC Funds for Rehabilitaion of the North-South Pipeline
Investment in the years from 2008 to 2015 and further are GGIC Funds for continued Rehabilitation in the Pipeline network.</a:t>
          </a:r>
        </a:p>
      </xdr:txBody>
    </xdr:sp>
    <xdr:clientData/>
  </xdr:twoCellAnchor>
  <xdr:twoCellAnchor>
    <xdr:from>
      <xdr:col>5</xdr:col>
      <xdr:colOff>0</xdr:colOff>
      <xdr:row>46</xdr:row>
      <xdr:rowOff>0</xdr:rowOff>
    </xdr:from>
    <xdr:to>
      <xdr:col>12</xdr:col>
      <xdr:colOff>0</xdr:colOff>
      <xdr:row>48</xdr:row>
      <xdr:rowOff>0</xdr:rowOff>
    </xdr:to>
    <xdr:sp>
      <xdr:nvSpPr>
        <xdr:cNvPr id="14" name="TextBox 14"/>
        <xdr:cNvSpPr txBox="1">
          <a:spLocks noChangeArrowheads="1"/>
        </xdr:cNvSpPr>
      </xdr:nvSpPr>
      <xdr:spPr>
        <a:xfrm>
          <a:off x="3962400" y="7981950"/>
          <a:ext cx="60293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Carbon Credits and Cash Flow of Project for Low Demand Growth Scenario</a:t>
          </a:r>
        </a:p>
      </xdr:txBody>
    </xdr:sp>
    <xdr:clientData/>
  </xdr:twoCellAnchor>
  <xdr:twoCellAnchor>
    <xdr:from>
      <xdr:col>5</xdr:col>
      <xdr:colOff>0</xdr:colOff>
      <xdr:row>127</xdr:row>
      <xdr:rowOff>0</xdr:rowOff>
    </xdr:from>
    <xdr:to>
      <xdr:col>12</xdr:col>
      <xdr:colOff>0</xdr:colOff>
      <xdr:row>147</xdr:row>
      <xdr:rowOff>0</xdr:rowOff>
    </xdr:to>
    <xdr:graphicFrame>
      <xdr:nvGraphicFramePr>
        <xdr:cNvPr id="15" name="Chart 15"/>
        <xdr:cNvGraphicFramePr/>
      </xdr:nvGraphicFramePr>
      <xdr:xfrm>
        <a:off x="3962400" y="20459700"/>
        <a:ext cx="60293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54"/>
  <sheetViews>
    <sheetView showGridLines="0" workbookViewId="0" topLeftCell="A1">
      <selection activeCell="A8" sqref="A8:A9"/>
    </sheetView>
  </sheetViews>
  <sheetFormatPr defaultColWidth="9.140625" defaultRowHeight="12.75"/>
  <cols>
    <col min="1" max="1" width="39.57421875" style="0" customWidth="1"/>
    <col min="2" max="2" width="106.421875" style="0" customWidth="1"/>
    <col min="6" max="6" width="42.421875" style="0" customWidth="1"/>
  </cols>
  <sheetData>
    <row r="1" ht="12.75">
      <c r="B1" s="207" t="s">
        <v>165</v>
      </c>
    </row>
    <row r="2" ht="20.25" customHeight="1">
      <c r="B2" s="271" t="s">
        <v>109</v>
      </c>
    </row>
    <row r="3" ht="12.75">
      <c r="B3" s="271"/>
    </row>
    <row r="4" ht="12.75">
      <c r="B4" s="271"/>
    </row>
    <row r="5" ht="12.75">
      <c r="B5" s="271"/>
    </row>
    <row r="6" ht="12.75">
      <c r="B6" s="271"/>
    </row>
    <row r="7" spans="1:2" ht="13.5" thickBot="1">
      <c r="A7" s="114"/>
      <c r="B7" s="114"/>
    </row>
    <row r="8" spans="1:2" ht="18" customHeight="1" thickTop="1">
      <c r="A8" s="272" t="s">
        <v>112</v>
      </c>
      <c r="B8" s="262" t="s">
        <v>192</v>
      </c>
    </row>
    <row r="9" spans="1:2" ht="18" customHeight="1" thickBot="1">
      <c r="A9" s="273"/>
      <c r="B9" s="263" t="s">
        <v>193</v>
      </c>
    </row>
    <row r="10" spans="1:2" ht="18" customHeight="1" thickTop="1">
      <c r="A10" s="260" t="s">
        <v>122</v>
      </c>
      <c r="B10" s="261" t="s">
        <v>124</v>
      </c>
    </row>
    <row r="11" spans="1:2" ht="18" customHeight="1">
      <c r="A11" s="154" t="s">
        <v>123</v>
      </c>
      <c r="B11" s="250">
        <v>38540</v>
      </c>
    </row>
    <row r="12" spans="1:2" ht="18" customHeight="1">
      <c r="A12" s="153" t="s">
        <v>113</v>
      </c>
      <c r="B12" s="198" t="s">
        <v>114</v>
      </c>
    </row>
    <row r="13" spans="1:2" ht="46.5" customHeight="1">
      <c r="A13" s="154" t="s">
        <v>118</v>
      </c>
      <c r="B13" s="199" t="s">
        <v>197</v>
      </c>
    </row>
    <row r="14" spans="1:2" ht="18" customHeight="1">
      <c r="A14" s="267" t="s">
        <v>116</v>
      </c>
      <c r="B14" s="200" t="s">
        <v>119</v>
      </c>
    </row>
    <row r="15" spans="1:2" ht="18" customHeight="1">
      <c r="A15" s="268"/>
      <c r="B15" s="201" t="s">
        <v>120</v>
      </c>
    </row>
    <row r="16" spans="1:2" ht="27" customHeight="1">
      <c r="A16" s="153" t="s">
        <v>117</v>
      </c>
      <c r="B16" s="202" t="s">
        <v>121</v>
      </c>
    </row>
    <row r="17" spans="1:2" ht="18" customHeight="1">
      <c r="A17" s="154" t="s">
        <v>115</v>
      </c>
      <c r="B17" s="197" t="s">
        <v>150</v>
      </c>
    </row>
    <row r="18" spans="1:2" ht="6.75" customHeight="1">
      <c r="A18" s="153"/>
      <c r="B18" s="264"/>
    </row>
    <row r="19" spans="1:3" ht="12.75">
      <c r="A19" s="269" t="s">
        <v>125</v>
      </c>
      <c r="B19" s="205" t="s">
        <v>187</v>
      </c>
      <c r="C19" s="173"/>
    </row>
    <row r="20" spans="1:3" ht="25.5">
      <c r="A20" s="269"/>
      <c r="B20" s="252" t="s">
        <v>189</v>
      </c>
      <c r="C20" s="173"/>
    </row>
    <row r="21" spans="1:3" ht="12.75">
      <c r="A21" s="269"/>
      <c r="B21" s="264"/>
      <c r="C21" s="173"/>
    </row>
    <row r="22" spans="1:3" ht="12.75">
      <c r="A22" s="269"/>
      <c r="B22" s="203" t="s">
        <v>126</v>
      </c>
      <c r="C22" s="173"/>
    </row>
    <row r="23" spans="1:3" ht="12.75">
      <c r="A23" s="269"/>
      <c r="B23" s="202" t="s">
        <v>151</v>
      </c>
      <c r="C23" s="173"/>
    </row>
    <row r="24" spans="1:3" ht="12.75">
      <c r="A24" s="269"/>
      <c r="B24" s="204"/>
      <c r="C24" s="173"/>
    </row>
    <row r="25" spans="1:3" ht="12.75">
      <c r="A25" s="269"/>
      <c r="B25" s="205" t="s">
        <v>152</v>
      </c>
      <c r="C25" s="173"/>
    </row>
    <row r="26" spans="1:3" ht="38.25">
      <c r="A26" s="269"/>
      <c r="B26" s="204" t="s">
        <v>153</v>
      </c>
      <c r="C26" s="173"/>
    </row>
    <row r="27" spans="1:3" ht="12.75">
      <c r="A27" s="269"/>
      <c r="B27" s="204"/>
      <c r="C27" s="173"/>
    </row>
    <row r="28" spans="1:3" ht="12.75">
      <c r="A28" s="269"/>
      <c r="B28" s="205" t="s">
        <v>108</v>
      </c>
      <c r="C28" s="173"/>
    </row>
    <row r="29" spans="1:3" ht="25.5">
      <c r="A29" s="269"/>
      <c r="B29" s="204" t="s">
        <v>198</v>
      </c>
      <c r="C29" s="173"/>
    </row>
    <row r="30" spans="1:3" ht="12.75">
      <c r="A30" s="269"/>
      <c r="B30" s="204"/>
      <c r="C30" s="173"/>
    </row>
    <row r="31" spans="1:3" ht="12.75">
      <c r="A31" s="269"/>
      <c r="B31" s="205" t="s">
        <v>127</v>
      </c>
      <c r="C31" s="173"/>
    </row>
    <row r="32" spans="1:3" ht="25.5">
      <c r="A32" s="269"/>
      <c r="B32" s="204" t="s">
        <v>158</v>
      </c>
      <c r="C32" s="173"/>
    </row>
    <row r="33" spans="1:3" ht="12.75">
      <c r="A33" s="269"/>
      <c r="B33" s="204"/>
      <c r="C33" s="173"/>
    </row>
    <row r="34" spans="1:3" ht="12.75">
      <c r="A34" s="269"/>
      <c r="B34" s="205" t="s">
        <v>128</v>
      </c>
      <c r="C34" s="173"/>
    </row>
    <row r="35" spans="1:3" ht="25.5">
      <c r="A35" s="269"/>
      <c r="B35" s="204" t="s">
        <v>159</v>
      </c>
      <c r="C35" s="173"/>
    </row>
    <row r="36" spans="1:3" ht="12.75">
      <c r="A36" s="269"/>
      <c r="B36" s="204"/>
      <c r="C36" s="173"/>
    </row>
    <row r="37" spans="1:3" ht="12.75">
      <c r="A37" s="269"/>
      <c r="B37" s="205" t="s">
        <v>129</v>
      </c>
      <c r="C37" s="173"/>
    </row>
    <row r="38" spans="1:3" ht="12.75">
      <c r="A38" s="269"/>
      <c r="B38" s="204" t="s">
        <v>160</v>
      </c>
      <c r="C38" s="173"/>
    </row>
    <row r="39" spans="1:3" ht="12.75">
      <c r="A39" s="269"/>
      <c r="B39" s="204"/>
      <c r="C39" s="173"/>
    </row>
    <row r="40" spans="1:3" ht="12.75">
      <c r="A40" s="269"/>
      <c r="B40" s="205" t="s">
        <v>130</v>
      </c>
      <c r="C40" s="173"/>
    </row>
    <row r="41" spans="1:3" ht="12.75">
      <c r="A41" s="269"/>
      <c r="B41" s="204" t="s">
        <v>161</v>
      </c>
      <c r="C41" s="173"/>
    </row>
    <row r="42" spans="1:3" ht="12.75">
      <c r="A42" s="269"/>
      <c r="B42" s="204"/>
      <c r="C42" s="173"/>
    </row>
    <row r="43" spans="1:3" ht="12.75">
      <c r="A43" s="269"/>
      <c r="B43" s="205" t="s">
        <v>131</v>
      </c>
      <c r="C43" s="173"/>
    </row>
    <row r="44" spans="1:3" ht="12.75">
      <c r="A44" s="269"/>
      <c r="B44" s="204" t="s">
        <v>162</v>
      </c>
      <c r="C44" s="173"/>
    </row>
    <row r="45" spans="1:3" ht="12.75">
      <c r="A45" s="269"/>
      <c r="B45" s="204"/>
      <c r="C45" s="173"/>
    </row>
    <row r="46" spans="1:3" ht="12.75">
      <c r="A46" s="269"/>
      <c r="B46" s="205" t="s">
        <v>132</v>
      </c>
      <c r="C46" s="173"/>
    </row>
    <row r="47" spans="1:3" ht="25.5">
      <c r="A47" s="269"/>
      <c r="B47" s="204" t="s">
        <v>199</v>
      </c>
      <c r="C47" s="173"/>
    </row>
    <row r="48" spans="1:3" ht="12.75">
      <c r="A48" s="269"/>
      <c r="B48" s="204"/>
      <c r="C48" s="173"/>
    </row>
    <row r="49" spans="1:3" ht="12.75">
      <c r="A49" s="269"/>
      <c r="B49" s="205" t="s">
        <v>134</v>
      </c>
      <c r="C49" s="173"/>
    </row>
    <row r="50" spans="1:3" ht="12.75">
      <c r="A50" s="269"/>
      <c r="B50" s="204" t="s">
        <v>164</v>
      </c>
      <c r="C50" s="173"/>
    </row>
    <row r="51" spans="1:3" ht="12.75">
      <c r="A51" s="269"/>
      <c r="B51" s="204"/>
      <c r="C51" s="173"/>
    </row>
    <row r="52" spans="1:3" ht="12.75">
      <c r="A52" s="269"/>
      <c r="B52" s="205" t="s">
        <v>133</v>
      </c>
      <c r="C52" s="173"/>
    </row>
    <row r="53" spans="1:3" ht="12.75">
      <c r="A53" s="269"/>
      <c r="B53" s="204" t="s">
        <v>163</v>
      </c>
      <c r="C53" s="173"/>
    </row>
    <row r="54" spans="1:3" ht="6.75" customHeight="1" thickBot="1">
      <c r="A54" s="270"/>
      <c r="B54" s="206"/>
      <c r="C54" s="173"/>
    </row>
    <row r="55" ht="13.5" thickTop="1"/>
  </sheetData>
  <mergeCells count="4">
    <mergeCell ref="A14:A15"/>
    <mergeCell ref="A19:A54"/>
    <mergeCell ref="B2:B6"/>
    <mergeCell ref="A8:A9"/>
  </mergeCells>
  <hyperlinks>
    <hyperlink ref="B22" location="'ERR &amp; Sensitivity Analysis'!A1" display="ERR &amp; Sensitivity Analysis"/>
    <hyperlink ref="B28" location="'Cost Assumptions'!A1" display="Cost Assumptions"/>
    <hyperlink ref="B31" location="Demand!A1" display="Demand"/>
    <hyperlink ref="B34" location="Transit!A1" display="Transit"/>
    <hyperlink ref="B37" location="'IRR-high'!A1" display="IRR-high"/>
    <hyperlink ref="B40" location="'IRR-medium'!A1" display="IRR-medium"/>
    <hyperlink ref="B43" location="'IRR-low'!A1" display="IRR-low"/>
    <hyperlink ref="B46" location="'IRR-low (2)'!A1" display="IRR-low (2)"/>
    <hyperlink ref="B52" location="'Financial Impact'!A1" display="Financial Impact"/>
    <hyperlink ref="B49" location="'IRR-sensitivities'!A1" display="IRR-sensitivities"/>
    <hyperlink ref="B25" location="'ERR Pipeline'!A1" display="ERR Pipeline"/>
    <hyperlink ref="B19" location="'Activity Description'!A1" display="Activity Description"/>
  </hyperlinks>
  <printOptions/>
  <pageMargins left="0.75" right="0.75" top="1.23" bottom="1" header="0.5" footer="0.5"/>
  <pageSetup fitToHeight="1" fitToWidth="1" horizontalDpi="600" verticalDpi="600" orientation="portrait" scale="62" r:id="rId2"/>
  <drawing r:id="rId1"/>
</worksheet>
</file>

<file path=xl/worksheets/sheet10.xml><?xml version="1.0" encoding="utf-8"?>
<worksheet xmlns="http://schemas.openxmlformats.org/spreadsheetml/2006/main" xmlns:r="http://schemas.openxmlformats.org/officeDocument/2006/relationships">
  <sheetPr codeName="Sheet10"/>
  <dimension ref="B1:N139"/>
  <sheetViews>
    <sheetView workbookViewId="0" topLeftCell="A1">
      <selection activeCell="A1" sqref="A1"/>
    </sheetView>
  </sheetViews>
  <sheetFormatPr defaultColWidth="9.140625" defaultRowHeight="12.75"/>
  <cols>
    <col min="1" max="1" width="0.9921875" style="16" customWidth="1"/>
    <col min="2" max="2" width="13.57421875" style="16" bestFit="1" customWidth="1"/>
    <col min="3" max="3" width="15.140625" style="16" bestFit="1" customWidth="1"/>
    <col min="4" max="4" width="13.8515625" style="16" bestFit="1" customWidth="1"/>
    <col min="5" max="5" width="15.8515625" style="16" bestFit="1" customWidth="1"/>
    <col min="6" max="6" width="12.140625" style="16" bestFit="1" customWidth="1"/>
    <col min="7" max="8" width="12.421875" style="16" bestFit="1" customWidth="1"/>
    <col min="9" max="9" width="14.140625" style="16" bestFit="1" customWidth="1"/>
    <col min="10" max="10" width="14.57421875" style="16" bestFit="1" customWidth="1"/>
    <col min="11" max="11" width="12.421875" style="16" bestFit="1" customWidth="1"/>
    <col min="12" max="13" width="12.28125" style="16" customWidth="1"/>
    <col min="14" max="14" width="12.57421875" style="16" customWidth="1"/>
    <col min="15" max="15" width="11.421875" style="16" customWidth="1"/>
    <col min="16" max="16384" width="9.140625" style="16" customWidth="1"/>
  </cols>
  <sheetData>
    <row r="1" spans="2:8" ht="12.75">
      <c r="B1" s="275">
        <f>IF('ERR &amp; Sensitivity Analysis'!$I$10="N","Note: Current calculations are based on user input and are not the original MCC estimates.",IF('ERR &amp; Sensitivity Analysis'!$I$11="N","Note: Current calculations are based on user input and are not the original MCC estimates.",0))</f>
        <v>0</v>
      </c>
      <c r="C1" s="275"/>
      <c r="D1" s="275"/>
      <c r="E1" s="275"/>
      <c r="F1" s="275"/>
      <c r="G1" s="275"/>
      <c r="H1" s="275"/>
    </row>
    <row r="2" s="94" customFormat="1" ht="20.25">
      <c r="B2" s="112" t="s">
        <v>109</v>
      </c>
    </row>
    <row r="3" s="94" customFormat="1" ht="20.25">
      <c r="B3" s="112"/>
    </row>
    <row r="4" ht="5.25" customHeight="1" thickBot="1"/>
    <row r="5" spans="2:11" ht="38.25">
      <c r="B5" s="17" t="s">
        <v>22</v>
      </c>
      <c r="C5" s="18" t="str">
        <f>Demand!C33</f>
        <v>Chemical Plant</v>
      </c>
      <c r="D5" s="18" t="str">
        <f>Demand!D33</f>
        <v>Power</v>
      </c>
      <c r="E5" s="18" t="str">
        <f>Demand!E33</f>
        <v>Tbilgazi</v>
      </c>
      <c r="F5" s="18" t="str">
        <f>Demand!F33</f>
        <v>Saktsementi</v>
      </c>
      <c r="G5" s="18" t="str">
        <f>Demand!G33</f>
        <v>Itera</v>
      </c>
      <c r="H5" s="18" t="str">
        <f>Demand!H33</f>
        <v>West Georgia</v>
      </c>
      <c r="I5" s="18" t="str">
        <f>Demand!I33</f>
        <v>Transit Armenia</v>
      </c>
      <c r="J5" s="19" t="s">
        <v>32</v>
      </c>
      <c r="K5" s="91" t="s">
        <v>90</v>
      </c>
    </row>
    <row r="6" spans="2:13" ht="12.75">
      <c r="B6" s="20">
        <f>Demand!A34</f>
        <v>2004</v>
      </c>
      <c r="C6" s="21">
        <f>Demand!C89</f>
        <v>0.21</v>
      </c>
      <c r="D6" s="21">
        <f>Demand!D89</f>
        <v>0.248</v>
      </c>
      <c r="E6" s="21">
        <f>Demand!E89</f>
        <v>0.356</v>
      </c>
      <c r="F6" s="21">
        <f>Demand!F89</f>
        <v>0.115</v>
      </c>
      <c r="G6" s="21">
        <f>Demand!G89</f>
        <v>0.1</v>
      </c>
      <c r="H6" s="21">
        <f>Demand!H89</f>
        <v>0</v>
      </c>
      <c r="I6" s="21">
        <f>Demand!I89</f>
        <v>1</v>
      </c>
      <c r="J6" s="22">
        <f>SUM(C6:I6)</f>
        <v>2.029</v>
      </c>
      <c r="K6" s="80"/>
      <c r="L6" s="23"/>
      <c r="M6" s="23"/>
    </row>
    <row r="7" spans="2:13" ht="12.75">
      <c r="B7" s="20">
        <f>Demand!A35</f>
        <v>2005</v>
      </c>
      <c r="C7" s="21">
        <f>Demand!C90</f>
        <v>0.25</v>
      </c>
      <c r="D7" s="21">
        <f>Demand!D90</f>
        <v>0.3</v>
      </c>
      <c r="E7" s="21">
        <f>Demand!E90</f>
        <v>0.39</v>
      </c>
      <c r="F7" s="21">
        <f>Demand!F90</f>
        <v>0.18</v>
      </c>
      <c r="G7" s="21">
        <f>Demand!G90</f>
        <v>0.11</v>
      </c>
      <c r="H7" s="21">
        <f>Demand!H90</f>
        <v>0.05</v>
      </c>
      <c r="I7" s="21">
        <f>Demand!I90</f>
        <v>1.015</v>
      </c>
      <c r="J7" s="22">
        <f aca="true" t="shared" si="0" ref="J7:J22">SUM(C7:I7)</f>
        <v>2.295</v>
      </c>
      <c r="K7" s="104">
        <f>(J7-J6)/J6</f>
        <v>0.13109906357811732</v>
      </c>
      <c r="L7" s="23"/>
      <c r="M7" s="23"/>
    </row>
    <row r="8" spans="2:13" ht="12.75">
      <c r="B8" s="20">
        <f>Demand!A36</f>
        <v>2006</v>
      </c>
      <c r="C8" s="21">
        <f>Demand!C91</f>
        <v>0.3</v>
      </c>
      <c r="D8" s="21">
        <f>Demand!D91</f>
        <v>0.35</v>
      </c>
      <c r="E8" s="21">
        <f>Demand!E91</f>
        <v>0.42</v>
      </c>
      <c r="F8" s="21">
        <f>Demand!F91</f>
        <v>0.198</v>
      </c>
      <c r="G8" s="21">
        <f>Demand!G91</f>
        <v>0.12</v>
      </c>
      <c r="H8" s="21">
        <f>Demand!H91</f>
        <v>0.07</v>
      </c>
      <c r="I8" s="21">
        <f>Demand!I91</f>
        <v>1.0302249999999997</v>
      </c>
      <c r="J8" s="22">
        <f t="shared" si="0"/>
        <v>2.488225</v>
      </c>
      <c r="K8" s="104">
        <f aca="true" t="shared" si="1" ref="K8:K22">(J8-J7)/J7</f>
        <v>0.08419389978213507</v>
      </c>
      <c r="L8" s="23"/>
      <c r="M8" s="23"/>
    </row>
    <row r="9" spans="2:11" ht="12.75">
      <c r="B9" s="20">
        <f>Demand!A37</f>
        <v>2007</v>
      </c>
      <c r="C9" s="21">
        <f>Demand!C92</f>
        <v>0.35</v>
      </c>
      <c r="D9" s="21">
        <f>Demand!D92</f>
        <v>0.4</v>
      </c>
      <c r="E9" s="21">
        <f>Demand!E92</f>
        <v>0.46</v>
      </c>
      <c r="F9" s="21">
        <f>Demand!F92</f>
        <v>0.2</v>
      </c>
      <c r="G9" s="21">
        <f>Demand!G92</f>
        <v>0.14</v>
      </c>
      <c r="H9" s="21">
        <f>Demand!H92</f>
        <v>0.07105</v>
      </c>
      <c r="I9" s="21">
        <f>Demand!I92</f>
        <v>1.0456783749999996</v>
      </c>
      <c r="J9" s="22">
        <f t="shared" si="0"/>
        <v>2.6667283749999995</v>
      </c>
      <c r="K9" s="104">
        <f t="shared" si="1"/>
        <v>0.07173924182901449</v>
      </c>
    </row>
    <row r="10" spans="2:11" ht="12.75">
      <c r="B10" s="20">
        <f>Demand!A38</f>
        <v>2008</v>
      </c>
      <c r="C10" s="21">
        <f>Demand!C93</f>
        <v>0.4</v>
      </c>
      <c r="D10" s="21">
        <f>Demand!D93</f>
        <v>0.45</v>
      </c>
      <c r="E10" s="21">
        <f>Demand!E93</f>
        <v>0.5</v>
      </c>
      <c r="F10" s="21">
        <f>Demand!F93</f>
        <v>0.22</v>
      </c>
      <c r="G10" s="21">
        <f>Demand!G93</f>
        <v>0.15</v>
      </c>
      <c r="H10" s="21">
        <f>Demand!H93</f>
        <v>0.07211574999999999</v>
      </c>
      <c r="I10" s="21">
        <f>Demand!I93</f>
        <v>1.0613635506249994</v>
      </c>
      <c r="J10" s="22">
        <f t="shared" si="0"/>
        <v>2.8534793006249997</v>
      </c>
      <c r="K10" s="104">
        <f t="shared" si="1"/>
        <v>0.07002997657194847</v>
      </c>
    </row>
    <row r="11" spans="2:11" ht="12.75">
      <c r="B11" s="20">
        <f>Demand!A39</f>
        <v>2009</v>
      </c>
      <c r="C11" s="21">
        <f>Demand!C94</f>
        <v>0.45</v>
      </c>
      <c r="D11" s="21">
        <f>Demand!D94</f>
        <v>0.5</v>
      </c>
      <c r="E11" s="21">
        <f>Demand!E94</f>
        <v>0.55</v>
      </c>
      <c r="F11" s="21">
        <f>Demand!F94</f>
        <v>0.242</v>
      </c>
      <c r="G11" s="21">
        <f>Demand!G94</f>
        <v>0.16</v>
      </c>
      <c r="H11" s="21">
        <f>Demand!H94</f>
        <v>0.07319748624999999</v>
      </c>
      <c r="I11" s="21">
        <f>Demand!I94</f>
        <v>1.0772840038843743</v>
      </c>
      <c r="J11" s="22">
        <f t="shared" si="0"/>
        <v>3.052481490134374</v>
      </c>
      <c r="K11" s="104">
        <f t="shared" si="1"/>
        <v>0.06974019032336662</v>
      </c>
    </row>
    <row r="12" spans="2:11" ht="12.75">
      <c r="B12" s="20">
        <f>Demand!A40</f>
        <v>2010</v>
      </c>
      <c r="C12" s="21">
        <f>Demand!C95</f>
        <v>0.5</v>
      </c>
      <c r="D12" s="21">
        <f>Demand!D95</f>
        <v>0.55</v>
      </c>
      <c r="E12" s="21">
        <f>Demand!E95</f>
        <v>0.55825</v>
      </c>
      <c r="F12" s="21">
        <f>Demand!F95</f>
        <v>0.248</v>
      </c>
      <c r="G12" s="21">
        <f>Demand!G95</f>
        <v>0.1624</v>
      </c>
      <c r="H12" s="21">
        <f>Demand!H95</f>
        <v>0.07429544854374998</v>
      </c>
      <c r="I12" s="21">
        <f>Demand!I95</f>
        <v>1.0934432639426397</v>
      </c>
      <c r="J12" s="22">
        <f t="shared" si="0"/>
        <v>3.18638871248639</v>
      </c>
      <c r="K12" s="104">
        <f t="shared" si="1"/>
        <v>0.04386831592093321</v>
      </c>
    </row>
    <row r="13" spans="2:11" ht="12.75">
      <c r="B13" s="20">
        <f>Demand!A41</f>
        <v>2011</v>
      </c>
      <c r="C13" s="21">
        <f>Demand!C96</f>
        <v>0.55</v>
      </c>
      <c r="D13" s="21">
        <f>Demand!D96</f>
        <v>0.55</v>
      </c>
      <c r="E13" s="21">
        <f>Demand!E96</f>
        <v>0.56662375</v>
      </c>
      <c r="F13" s="21">
        <f>Demand!F96</f>
        <v>0.25</v>
      </c>
      <c r="G13" s="21">
        <f>Demand!G96</f>
        <v>0.16483599999999998</v>
      </c>
      <c r="H13" s="21">
        <f>Demand!H96</f>
        <v>0.07540988027190622</v>
      </c>
      <c r="I13" s="21">
        <f>Demand!I96</f>
        <v>1.1098449129017791</v>
      </c>
      <c r="J13" s="22">
        <f t="shared" si="0"/>
        <v>3.266714543173685</v>
      </c>
      <c r="K13" s="104">
        <f t="shared" si="1"/>
        <v>0.02520904947112232</v>
      </c>
    </row>
    <row r="14" spans="2:11" ht="12.75">
      <c r="B14" s="20">
        <f>Demand!A42</f>
        <v>2012</v>
      </c>
      <c r="C14" s="21">
        <f>Demand!C97</f>
        <v>0.6</v>
      </c>
      <c r="D14" s="21">
        <f>Demand!D97</f>
        <v>0.55</v>
      </c>
      <c r="E14" s="21">
        <f>Demand!E97</f>
        <v>0.57512310625</v>
      </c>
      <c r="F14" s="21">
        <f>Demand!F97</f>
        <v>0.25</v>
      </c>
      <c r="G14" s="21">
        <f>Demand!G97</f>
        <v>0.16730853999999998</v>
      </c>
      <c r="H14" s="21">
        <f>Demand!H97</f>
        <v>0.0765410284759848</v>
      </c>
      <c r="I14" s="21">
        <f>Demand!I97</f>
        <v>1.1264925865953057</v>
      </c>
      <c r="J14" s="22">
        <f t="shared" si="0"/>
        <v>3.3454652613212907</v>
      </c>
      <c r="K14" s="104">
        <f t="shared" si="1"/>
        <v>0.024107009384143386</v>
      </c>
    </row>
    <row r="15" spans="2:11" ht="12.75">
      <c r="B15" s="20">
        <f>Demand!A43</f>
        <v>2013</v>
      </c>
      <c r="C15" s="21">
        <f>Demand!C98</f>
        <v>0.65</v>
      </c>
      <c r="D15" s="21">
        <f>Demand!D98</f>
        <v>0.55</v>
      </c>
      <c r="E15" s="21">
        <f>Demand!E98</f>
        <v>0.5837499528437499</v>
      </c>
      <c r="F15" s="21">
        <f>Demand!F98</f>
        <v>0.25</v>
      </c>
      <c r="G15" s="21">
        <f>Demand!G98</f>
        <v>0.16981816809999997</v>
      </c>
      <c r="H15" s="21">
        <f>Demand!H98</f>
        <v>0.07768914390312456</v>
      </c>
      <c r="I15" s="21">
        <f>Demand!I98</f>
        <v>1.1433899753942351</v>
      </c>
      <c r="J15" s="22">
        <f t="shared" si="0"/>
        <v>3.4246472402411094</v>
      </c>
      <c r="K15" s="104">
        <f t="shared" si="1"/>
        <v>0.0236684504948486</v>
      </c>
    </row>
    <row r="16" spans="2:11" ht="12.75">
      <c r="B16" s="20">
        <f>Demand!A44</f>
        <v>2014</v>
      </c>
      <c r="C16" s="21">
        <f>Demand!C99</f>
        <v>0.7</v>
      </c>
      <c r="D16" s="21">
        <f>Demand!D99</f>
        <v>0.55</v>
      </c>
      <c r="E16" s="21">
        <f>Demand!E99</f>
        <v>0.592506202136406</v>
      </c>
      <c r="F16" s="21">
        <f>Demand!F99</f>
        <v>0.25</v>
      </c>
      <c r="G16" s="21">
        <f>Demand!G99</f>
        <v>0.17236544062149994</v>
      </c>
      <c r="H16" s="21">
        <f>Demand!H99</f>
        <v>0.07885448106167142</v>
      </c>
      <c r="I16" s="21">
        <f>Demand!I99</f>
        <v>1.1605408250251485</v>
      </c>
      <c r="J16" s="22">
        <f t="shared" si="0"/>
        <v>3.504266948844726</v>
      </c>
      <c r="K16" s="104">
        <f t="shared" si="1"/>
        <v>0.02324902479532776</v>
      </c>
    </row>
    <row r="17" spans="2:11" ht="12.75">
      <c r="B17" s="20">
        <f>Demand!A45</f>
        <v>2015</v>
      </c>
      <c r="C17" s="21">
        <f>Demand!C100</f>
        <v>0.75</v>
      </c>
      <c r="D17" s="21">
        <f>Demand!D100</f>
        <v>0.55</v>
      </c>
      <c r="E17" s="21">
        <f>Demand!E100</f>
        <v>0.601393795168452</v>
      </c>
      <c r="F17" s="21">
        <f>Demand!F100</f>
        <v>0.25</v>
      </c>
      <c r="G17" s="21">
        <f>Demand!G100</f>
        <v>0.17495092223082243</v>
      </c>
      <c r="H17" s="21">
        <f>Demand!H100</f>
        <v>0.08003729827759648</v>
      </c>
      <c r="I17" s="21">
        <f>Demand!I100</f>
        <v>1.1779489374005256</v>
      </c>
      <c r="J17" s="22">
        <f t="shared" si="0"/>
        <v>3.584330953077396</v>
      </c>
      <c r="K17" s="104">
        <f t="shared" si="1"/>
        <v>0.022847575656034298</v>
      </c>
    </row>
    <row r="18" spans="2:11" ht="12.75">
      <c r="B18" s="20">
        <f>Demand!A46</f>
        <v>2016</v>
      </c>
      <c r="C18" s="21">
        <f>Demand!C101</f>
        <v>0.75</v>
      </c>
      <c r="D18" s="21">
        <f>Demand!D101</f>
        <v>0.55</v>
      </c>
      <c r="E18" s="21">
        <f>Demand!E101</f>
        <v>0.6104147020959788</v>
      </c>
      <c r="F18" s="21">
        <f>Demand!F101</f>
        <v>0.25</v>
      </c>
      <c r="G18" s="21">
        <f>Demand!G101</f>
        <v>0.17757518606428474</v>
      </c>
      <c r="H18" s="21">
        <f>Demand!H101</f>
        <v>0.08123785775176041</v>
      </c>
      <c r="I18" s="21">
        <f>Demand!I101</f>
        <v>1.1956181714615335</v>
      </c>
      <c r="J18" s="22">
        <f t="shared" si="0"/>
        <v>3.614845917373558</v>
      </c>
      <c r="K18" s="104">
        <f t="shared" si="1"/>
        <v>0.008513433802747074</v>
      </c>
    </row>
    <row r="19" spans="2:11" ht="12.75">
      <c r="B19" s="20">
        <f>Demand!A47</f>
        <v>2017</v>
      </c>
      <c r="C19" s="21">
        <f>Demand!C102</f>
        <v>0.75</v>
      </c>
      <c r="D19" s="21">
        <f>Demand!D102</f>
        <v>0.55</v>
      </c>
      <c r="E19" s="21">
        <f>Demand!E102</f>
        <v>0.6195709226274184</v>
      </c>
      <c r="F19" s="21">
        <f>Demand!F102</f>
        <v>0.25</v>
      </c>
      <c r="G19" s="21">
        <f>Demand!G102</f>
        <v>0.18023881385524898</v>
      </c>
      <c r="H19" s="21">
        <f>Demand!H102</f>
        <v>0.08245642561803682</v>
      </c>
      <c r="I19" s="21">
        <f>Demand!I102</f>
        <v>1.2135524440334564</v>
      </c>
      <c r="J19" s="22">
        <f t="shared" si="0"/>
        <v>3.645818606134161</v>
      </c>
      <c r="K19" s="104">
        <f t="shared" si="1"/>
        <v>0.008568190586421137</v>
      </c>
    </row>
    <row r="20" spans="2:11" ht="12.75">
      <c r="B20" s="20">
        <f>Demand!A48</f>
        <v>2018</v>
      </c>
      <c r="C20" s="21">
        <f>Demand!C103</f>
        <v>0.75</v>
      </c>
      <c r="D20" s="21">
        <f>Demand!D103</f>
        <v>0.55</v>
      </c>
      <c r="E20" s="21">
        <f>Demand!E103</f>
        <v>0.6288644864668297</v>
      </c>
      <c r="F20" s="21">
        <f>Demand!F103</f>
        <v>0.25</v>
      </c>
      <c r="G20" s="21">
        <f>Demand!G103</f>
        <v>0.1829423960630777</v>
      </c>
      <c r="H20" s="21">
        <f>Demand!H103</f>
        <v>0.08369327200230736</v>
      </c>
      <c r="I20" s="21">
        <f>Demand!I103</f>
        <v>1.2317557306939582</v>
      </c>
      <c r="J20" s="22">
        <f t="shared" si="0"/>
        <v>3.677255885226173</v>
      </c>
      <c r="K20" s="104">
        <f t="shared" si="1"/>
        <v>0.008622831382537319</v>
      </c>
    </row>
    <row r="21" spans="2:11" ht="12.75">
      <c r="B21" s="20">
        <f>Demand!A49</f>
        <v>2019</v>
      </c>
      <c r="C21" s="21">
        <f>Demand!C104</f>
        <v>0.75</v>
      </c>
      <c r="D21" s="21">
        <f>Demand!D104</f>
        <v>0.55</v>
      </c>
      <c r="E21" s="21">
        <f>Demand!E104</f>
        <v>0.6382974537638321</v>
      </c>
      <c r="F21" s="21">
        <f>Demand!F104</f>
        <v>0.25</v>
      </c>
      <c r="G21" s="21">
        <f>Demand!G104</f>
        <v>0.18568653200402382</v>
      </c>
      <c r="H21" s="21">
        <f>Demand!H104</f>
        <v>0.08494867108234197</v>
      </c>
      <c r="I21" s="21">
        <f>Demand!I104</f>
        <v>1.2502320666543674</v>
      </c>
      <c r="J21" s="22">
        <f t="shared" si="0"/>
        <v>3.7091647235045655</v>
      </c>
      <c r="K21" s="104">
        <f t="shared" si="1"/>
        <v>0.008677350522869567</v>
      </c>
    </row>
    <row r="22" spans="2:11" ht="12.75">
      <c r="B22" s="20">
        <f>Demand!A50</f>
        <v>2020</v>
      </c>
      <c r="C22" s="21">
        <f>Demand!C105</f>
        <v>0.75</v>
      </c>
      <c r="D22" s="21">
        <f>Demand!D105</f>
        <v>0.55</v>
      </c>
      <c r="E22" s="21">
        <f>Demand!E105</f>
        <v>0.6478719155702894</v>
      </c>
      <c r="F22" s="21">
        <f>Demand!F105</f>
        <v>0.25</v>
      </c>
      <c r="G22" s="21">
        <f>Demand!G105</f>
        <v>0.18847182998408415</v>
      </c>
      <c r="H22" s="21">
        <f>Demand!H105</f>
        <v>0.08622290114857709</v>
      </c>
      <c r="I22" s="21">
        <f>Demand!I105</f>
        <v>1.2689855476541827</v>
      </c>
      <c r="J22" s="22">
        <f t="shared" si="0"/>
        <v>3.741552194357133</v>
      </c>
      <c r="K22" s="104">
        <f t="shared" si="1"/>
        <v>0.0087317423913076</v>
      </c>
    </row>
    <row r="23" spans="2:10" ht="11.25">
      <c r="B23" s="99"/>
      <c r="C23" s="100"/>
      <c r="D23" s="100"/>
      <c r="E23" s="100"/>
      <c r="F23" s="100"/>
      <c r="G23" s="100"/>
      <c r="H23" s="100"/>
      <c r="I23" s="100"/>
      <c r="J23" s="100"/>
    </row>
    <row r="24" spans="2:7" ht="13.5" thickBot="1">
      <c r="B24" s="101" t="s">
        <v>69</v>
      </c>
      <c r="C24" s="24"/>
      <c r="D24" s="24"/>
      <c r="E24" s="24"/>
      <c r="F24" s="24"/>
      <c r="G24" s="24"/>
    </row>
    <row r="25" spans="2:10" ht="48" customHeight="1">
      <c r="B25" s="17" t="s">
        <v>22</v>
      </c>
      <c r="C25" s="18" t="s">
        <v>32</v>
      </c>
      <c r="D25" s="281" t="s">
        <v>31</v>
      </c>
      <c r="E25" s="281"/>
      <c r="F25" s="281" t="s">
        <v>33</v>
      </c>
      <c r="G25" s="281"/>
      <c r="H25" s="18" t="s">
        <v>53</v>
      </c>
      <c r="I25" s="18" t="s">
        <v>42</v>
      </c>
      <c r="J25" s="19" t="s">
        <v>52</v>
      </c>
    </row>
    <row r="26" spans="2:12" ht="11.25">
      <c r="B26" s="25">
        <f>B6</f>
        <v>2004</v>
      </c>
      <c r="C26" s="21">
        <f>J6</f>
        <v>2.029</v>
      </c>
      <c r="D26" s="26">
        <v>0.05</v>
      </c>
      <c r="E26" s="27">
        <f>D26*1000000*C26</f>
        <v>101450</v>
      </c>
      <c r="F26" s="28">
        <v>0.05</v>
      </c>
      <c r="G26" s="27">
        <f>F26*C26*1000000</f>
        <v>101450</v>
      </c>
      <c r="H26" s="27">
        <f>E26-G26</f>
        <v>0</v>
      </c>
      <c r="I26" s="29">
        <v>65</v>
      </c>
      <c r="J26" s="30">
        <f>I26*H26</f>
        <v>0</v>
      </c>
      <c r="K26" s="168">
        <f>'ERR &amp; Sensitivity Analysis'!D17</f>
        <v>0.02</v>
      </c>
      <c r="L26" s="70" t="s">
        <v>142</v>
      </c>
    </row>
    <row r="27" spans="2:10" ht="11.25">
      <c r="B27" s="25">
        <f>B7</f>
        <v>2005</v>
      </c>
      <c r="C27" s="21">
        <f>J7</f>
        <v>2.295</v>
      </c>
      <c r="D27" s="26">
        <v>0.05</v>
      </c>
      <c r="E27" s="27">
        <f>D27*1000000*C27</f>
        <v>114750</v>
      </c>
      <c r="F27" s="28">
        <v>0.05</v>
      </c>
      <c r="G27" s="27">
        <f>F27*C27*1000000</f>
        <v>114750</v>
      </c>
      <c r="H27" s="27">
        <f>E27-G27</f>
        <v>0</v>
      </c>
      <c r="I27" s="29">
        <v>65</v>
      </c>
      <c r="J27" s="30">
        <f>I27*H27</f>
        <v>0</v>
      </c>
    </row>
    <row r="28" spans="2:10" ht="11.25">
      <c r="B28" s="25">
        <f>B8</f>
        <v>2006</v>
      </c>
      <c r="C28" s="21">
        <f>J8</f>
        <v>2.488225</v>
      </c>
      <c r="D28" s="26">
        <v>0.05</v>
      </c>
      <c r="E28" s="27">
        <f>D28*1000000*C28</f>
        <v>124411.25</v>
      </c>
      <c r="F28" s="28">
        <v>0.04</v>
      </c>
      <c r="G28" s="27">
        <f>F28*C28*1000000</f>
        <v>99528.99999999999</v>
      </c>
      <c r="H28" s="27">
        <f>E28-G28</f>
        <v>24882.250000000015</v>
      </c>
      <c r="I28" s="29">
        <f>I27+(I27*$K$26)</f>
        <v>66.3</v>
      </c>
      <c r="J28" s="30">
        <f>I28*H28</f>
        <v>1649693.175000001</v>
      </c>
    </row>
    <row r="29" spans="2:10" ht="11.25">
      <c r="B29" s="25">
        <f>B9</f>
        <v>2007</v>
      </c>
      <c r="C29" s="21">
        <f>J9</f>
        <v>2.6667283749999995</v>
      </c>
      <c r="D29" s="26">
        <v>0.05</v>
      </c>
      <c r="E29" s="27">
        <f>D29*1000000*C29</f>
        <v>133336.41874999998</v>
      </c>
      <c r="F29" s="28">
        <v>0.03</v>
      </c>
      <c r="G29" s="27">
        <f>F29*C29*1000000</f>
        <v>80001.85124999998</v>
      </c>
      <c r="H29" s="27">
        <f>E29-G29</f>
        <v>53334.567500000005</v>
      </c>
      <c r="I29" s="29">
        <f aca="true" t="shared" si="2" ref="I29:I42">I28+(I28*$K$26)</f>
        <v>67.62599999999999</v>
      </c>
      <c r="J29" s="30">
        <f>I29*H29</f>
        <v>3606803.4617549996</v>
      </c>
    </row>
    <row r="30" spans="2:10" ht="11.25">
      <c r="B30" s="25">
        <f aca="true" t="shared" si="3" ref="B30:B42">B10</f>
        <v>2008</v>
      </c>
      <c r="C30" s="21">
        <f aca="true" t="shared" si="4" ref="C30:C42">J10</f>
        <v>2.8534793006249997</v>
      </c>
      <c r="D30" s="26">
        <v>0.05</v>
      </c>
      <c r="E30" s="27">
        <f aca="true" t="shared" si="5" ref="E30:E42">D30*1000000*C30</f>
        <v>142673.96503124997</v>
      </c>
      <c r="F30" s="28">
        <v>0.02</v>
      </c>
      <c r="G30" s="27">
        <f aca="true" t="shared" si="6" ref="G30:G42">F30*C30*1000000</f>
        <v>57069.58601249999</v>
      </c>
      <c r="H30" s="27">
        <f aca="true" t="shared" si="7" ref="H30:H42">E30-G30</f>
        <v>85604.37901874998</v>
      </c>
      <c r="I30" s="29">
        <f t="shared" si="2"/>
        <v>68.97851999999999</v>
      </c>
      <c r="J30" s="30">
        <f aca="true" t="shared" si="8" ref="J30:J42">I30*H30</f>
        <v>5904863.370232426</v>
      </c>
    </row>
    <row r="31" spans="2:10" ht="11.25">
      <c r="B31" s="25">
        <f t="shared" si="3"/>
        <v>2009</v>
      </c>
      <c r="C31" s="21">
        <f t="shared" si="4"/>
        <v>3.052481490134374</v>
      </c>
      <c r="D31" s="26">
        <v>0.05</v>
      </c>
      <c r="E31" s="27">
        <f t="shared" si="5"/>
        <v>152624.07450671872</v>
      </c>
      <c r="F31" s="28">
        <v>0.02</v>
      </c>
      <c r="G31" s="27">
        <f t="shared" si="6"/>
        <v>61049.62980268749</v>
      </c>
      <c r="H31" s="27">
        <f t="shared" si="7"/>
        <v>91574.44470403124</v>
      </c>
      <c r="I31" s="29">
        <f t="shared" si="2"/>
        <v>70.3580904</v>
      </c>
      <c r="J31" s="30">
        <f t="shared" si="8"/>
        <v>6443003.058816031</v>
      </c>
    </row>
    <row r="32" spans="2:10" ht="11.25">
      <c r="B32" s="25">
        <f t="shared" si="3"/>
        <v>2010</v>
      </c>
      <c r="C32" s="21">
        <f t="shared" si="4"/>
        <v>3.18638871248639</v>
      </c>
      <c r="D32" s="26">
        <v>0.05</v>
      </c>
      <c r="E32" s="27">
        <f t="shared" si="5"/>
        <v>159319.4356243195</v>
      </c>
      <c r="F32" s="28">
        <v>0.02</v>
      </c>
      <c r="G32" s="27">
        <f t="shared" si="6"/>
        <v>63727.774249727794</v>
      </c>
      <c r="H32" s="27">
        <f t="shared" si="7"/>
        <v>95591.66137459171</v>
      </c>
      <c r="I32" s="29">
        <f t="shared" si="2"/>
        <v>71.76525220799999</v>
      </c>
      <c r="J32" s="30">
        <f t="shared" si="8"/>
        <v>6860159.687529306</v>
      </c>
    </row>
    <row r="33" spans="2:10" ht="11.25">
      <c r="B33" s="25">
        <f t="shared" si="3"/>
        <v>2011</v>
      </c>
      <c r="C33" s="21">
        <f t="shared" si="4"/>
        <v>3.266714543173685</v>
      </c>
      <c r="D33" s="26">
        <v>0.05</v>
      </c>
      <c r="E33" s="27">
        <f t="shared" si="5"/>
        <v>163335.72715868425</v>
      </c>
      <c r="F33" s="28">
        <v>0.02</v>
      </c>
      <c r="G33" s="27">
        <f t="shared" si="6"/>
        <v>65334.290863473696</v>
      </c>
      <c r="H33" s="27">
        <f t="shared" si="7"/>
        <v>98001.43629521056</v>
      </c>
      <c r="I33" s="29">
        <f t="shared" si="2"/>
        <v>73.20055725216</v>
      </c>
      <c r="J33" s="30">
        <f t="shared" si="8"/>
        <v>7173759.748321471</v>
      </c>
    </row>
    <row r="34" spans="2:10" ht="11.25">
      <c r="B34" s="25">
        <f t="shared" si="3"/>
        <v>2012</v>
      </c>
      <c r="C34" s="21">
        <f t="shared" si="4"/>
        <v>3.3454652613212907</v>
      </c>
      <c r="D34" s="26">
        <v>0.05</v>
      </c>
      <c r="E34" s="27">
        <f t="shared" si="5"/>
        <v>167273.26306606454</v>
      </c>
      <c r="F34" s="28">
        <v>0.02</v>
      </c>
      <c r="G34" s="27">
        <f>F34*C34*1000000</f>
        <v>66909.30522642581</v>
      </c>
      <c r="H34" s="27">
        <f t="shared" si="7"/>
        <v>100363.95783963872</v>
      </c>
      <c r="I34" s="29">
        <f t="shared" si="2"/>
        <v>74.6645683972032</v>
      </c>
      <c r="J34" s="30">
        <f t="shared" si="8"/>
        <v>7493631.594731724</v>
      </c>
    </row>
    <row r="35" spans="2:10" ht="11.25">
      <c r="B35" s="25">
        <f t="shared" si="3"/>
        <v>2013</v>
      </c>
      <c r="C35" s="21">
        <f t="shared" si="4"/>
        <v>3.4246472402411094</v>
      </c>
      <c r="D35" s="26">
        <v>0.05</v>
      </c>
      <c r="E35" s="27">
        <f t="shared" si="5"/>
        <v>171232.36201205547</v>
      </c>
      <c r="F35" s="28">
        <v>0.02</v>
      </c>
      <c r="G35" s="27">
        <f t="shared" si="6"/>
        <v>68492.9448048222</v>
      </c>
      <c r="H35" s="27">
        <f t="shared" si="7"/>
        <v>102739.41720723327</v>
      </c>
      <c r="I35" s="29">
        <f t="shared" si="2"/>
        <v>76.15785976514726</v>
      </c>
      <c r="J35" s="30">
        <f t="shared" si="8"/>
        <v>7824414.128021429</v>
      </c>
    </row>
    <row r="36" spans="2:10" ht="11.25">
      <c r="B36" s="25">
        <f t="shared" si="3"/>
        <v>2014</v>
      </c>
      <c r="C36" s="21">
        <f t="shared" si="4"/>
        <v>3.504266948844726</v>
      </c>
      <c r="D36" s="26">
        <v>0.05</v>
      </c>
      <c r="E36" s="27">
        <f t="shared" si="5"/>
        <v>175213.3474422363</v>
      </c>
      <c r="F36" s="28">
        <v>0.02</v>
      </c>
      <c r="G36" s="27">
        <f t="shared" si="6"/>
        <v>70085.33897689452</v>
      </c>
      <c r="H36" s="27">
        <f t="shared" si="7"/>
        <v>105128.00846534177</v>
      </c>
      <c r="I36" s="29">
        <f t="shared" si="2"/>
        <v>77.68101696045021</v>
      </c>
      <c r="J36" s="30">
        <f t="shared" si="8"/>
        <v>8166450.608614568</v>
      </c>
    </row>
    <row r="37" spans="2:10" ht="11.25">
      <c r="B37" s="25">
        <f t="shared" si="3"/>
        <v>2015</v>
      </c>
      <c r="C37" s="21">
        <f t="shared" si="4"/>
        <v>3.584330953077396</v>
      </c>
      <c r="D37" s="26">
        <v>0.05</v>
      </c>
      <c r="E37" s="27">
        <f t="shared" si="5"/>
        <v>179216.5476538698</v>
      </c>
      <c r="F37" s="28">
        <v>0.02</v>
      </c>
      <c r="G37" s="27">
        <f t="shared" si="6"/>
        <v>71686.61906154793</v>
      </c>
      <c r="H37" s="27">
        <f t="shared" si="7"/>
        <v>107529.92859232188</v>
      </c>
      <c r="I37" s="29">
        <f t="shared" si="2"/>
        <v>79.23463729965921</v>
      </c>
      <c r="J37" s="30">
        <f t="shared" si="8"/>
        <v>8520094.890870878</v>
      </c>
    </row>
    <row r="38" spans="2:10" ht="11.25">
      <c r="B38" s="25">
        <f t="shared" si="3"/>
        <v>2016</v>
      </c>
      <c r="C38" s="21">
        <f t="shared" si="4"/>
        <v>3.614845917373558</v>
      </c>
      <c r="D38" s="26">
        <v>0.05</v>
      </c>
      <c r="E38" s="27">
        <f t="shared" si="5"/>
        <v>180742.2958686779</v>
      </c>
      <c r="F38" s="28">
        <v>0.02</v>
      </c>
      <c r="G38" s="27">
        <f t="shared" si="6"/>
        <v>72296.91834747116</v>
      </c>
      <c r="H38" s="27">
        <f t="shared" si="7"/>
        <v>108445.37752120674</v>
      </c>
      <c r="I38" s="29">
        <f t="shared" si="2"/>
        <v>80.81933004565239</v>
      </c>
      <c r="J38" s="30">
        <f t="shared" si="8"/>
        <v>8764482.757811781</v>
      </c>
    </row>
    <row r="39" spans="2:10" ht="11.25">
      <c r="B39" s="25">
        <f t="shared" si="3"/>
        <v>2017</v>
      </c>
      <c r="C39" s="21">
        <f t="shared" si="4"/>
        <v>3.645818606134161</v>
      </c>
      <c r="D39" s="26">
        <v>0.05</v>
      </c>
      <c r="E39" s="27">
        <f t="shared" si="5"/>
        <v>182290.93030670803</v>
      </c>
      <c r="F39" s="28">
        <v>0.02</v>
      </c>
      <c r="G39" s="27">
        <f t="shared" si="6"/>
        <v>72916.37212268321</v>
      </c>
      <c r="H39" s="27">
        <f t="shared" si="7"/>
        <v>109374.55818402482</v>
      </c>
      <c r="I39" s="29">
        <f t="shared" si="2"/>
        <v>82.43571664656544</v>
      </c>
      <c r="J39" s="30">
        <f t="shared" si="8"/>
        <v>9016370.086801555</v>
      </c>
    </row>
    <row r="40" spans="2:10" ht="11.25">
      <c r="B40" s="25">
        <f t="shared" si="3"/>
        <v>2018</v>
      </c>
      <c r="C40" s="21">
        <f t="shared" si="4"/>
        <v>3.677255885226173</v>
      </c>
      <c r="D40" s="26">
        <v>0.05</v>
      </c>
      <c r="E40" s="27">
        <f t="shared" si="5"/>
        <v>183862.79426130865</v>
      </c>
      <c r="F40" s="28">
        <v>0.02</v>
      </c>
      <c r="G40" s="27">
        <f t="shared" si="6"/>
        <v>73545.11770452347</v>
      </c>
      <c r="H40" s="27">
        <f t="shared" si="7"/>
        <v>110317.67655678518</v>
      </c>
      <c r="I40" s="29">
        <f t="shared" si="2"/>
        <v>84.08443097949674</v>
      </c>
      <c r="J40" s="30">
        <f t="shared" si="8"/>
        <v>9275999.06025745</v>
      </c>
    </row>
    <row r="41" spans="2:10" ht="11.25">
      <c r="B41" s="25">
        <f t="shared" si="3"/>
        <v>2019</v>
      </c>
      <c r="C41" s="21">
        <f t="shared" si="4"/>
        <v>3.7091647235045655</v>
      </c>
      <c r="D41" s="26">
        <v>0.05</v>
      </c>
      <c r="E41" s="27">
        <f t="shared" si="5"/>
        <v>185458.2361752283</v>
      </c>
      <c r="F41" s="28">
        <v>0.02</v>
      </c>
      <c r="G41" s="27">
        <f t="shared" si="6"/>
        <v>74183.2944700913</v>
      </c>
      <c r="H41" s="27">
        <f t="shared" si="7"/>
        <v>111274.94170513698</v>
      </c>
      <c r="I41" s="29">
        <f t="shared" si="2"/>
        <v>85.76611959908668</v>
      </c>
      <c r="J41" s="30">
        <f t="shared" si="8"/>
        <v>9543619.958664177</v>
      </c>
    </row>
    <row r="42" spans="2:10" ht="11.25">
      <c r="B42" s="25">
        <f t="shared" si="3"/>
        <v>2020</v>
      </c>
      <c r="C42" s="21">
        <f t="shared" si="4"/>
        <v>3.741552194357133</v>
      </c>
      <c r="D42" s="26">
        <v>0.05</v>
      </c>
      <c r="E42" s="27">
        <f t="shared" si="5"/>
        <v>187077.60971785666</v>
      </c>
      <c r="F42" s="28">
        <v>0.02</v>
      </c>
      <c r="G42" s="27">
        <f t="shared" si="6"/>
        <v>74831.04388714266</v>
      </c>
      <c r="H42" s="27">
        <f t="shared" si="7"/>
        <v>112246.565830714</v>
      </c>
      <c r="I42" s="29">
        <f t="shared" si="2"/>
        <v>87.48144199106841</v>
      </c>
      <c r="J42" s="30">
        <f t="shared" si="8"/>
        <v>9819491.437416248</v>
      </c>
    </row>
    <row r="43" spans="2:10" s="36" customFormat="1" ht="11.25" thickBot="1">
      <c r="B43" s="31" t="s">
        <v>23</v>
      </c>
      <c r="C43" s="32">
        <f>SUM(C26:C42)</f>
        <v>54.085365151499566</v>
      </c>
      <c r="D43" s="33"/>
      <c r="E43" s="34">
        <f>SUM(E26:E42)</f>
        <v>2704268.257574978</v>
      </c>
      <c r="F43" s="33"/>
      <c r="G43" s="34">
        <f>SUM(G26:G42)</f>
        <v>1287859.086779991</v>
      </c>
      <c r="H43" s="34">
        <f>SUM(H26:H42)</f>
        <v>1416409.170794987</v>
      </c>
      <c r="I43" s="33"/>
      <c r="J43" s="35">
        <f>SUM(J26:J42)</f>
        <v>110062837.02484405</v>
      </c>
    </row>
    <row r="45" ht="12" thickBot="1"/>
    <row r="46" spans="2:13" ht="15">
      <c r="B46" s="37"/>
      <c r="C46" s="38" t="s">
        <v>61</v>
      </c>
      <c r="D46" s="39">
        <v>17.4</v>
      </c>
      <c r="E46" s="39" t="s">
        <v>62</v>
      </c>
      <c r="F46" s="40"/>
      <c r="G46" s="39"/>
      <c r="H46" s="39"/>
      <c r="I46" s="39"/>
      <c r="J46" s="39"/>
      <c r="K46" s="39"/>
      <c r="L46" s="39"/>
      <c r="M46" s="41"/>
    </row>
    <row r="47" spans="2:13" ht="12.75">
      <c r="B47" s="282">
        <f>H43*1000</f>
        <v>1416409170.794987</v>
      </c>
      <c r="C47" s="283"/>
      <c r="D47" s="42">
        <f>B47*D46</f>
        <v>24645519571.83277</v>
      </c>
      <c r="E47" s="43" t="s">
        <v>62</v>
      </c>
      <c r="F47" s="43"/>
      <c r="G47" s="43"/>
      <c r="H47" s="43"/>
      <c r="I47" s="43"/>
      <c r="J47" s="43"/>
      <c r="K47" s="43"/>
      <c r="L47" s="43"/>
      <c r="M47" s="44"/>
    </row>
    <row r="48" spans="2:13" ht="12.75">
      <c r="B48" s="45"/>
      <c r="C48" s="43"/>
      <c r="D48" s="42">
        <f>D47/1000</f>
        <v>24645519.571832772</v>
      </c>
      <c r="E48" s="43" t="s">
        <v>63</v>
      </c>
      <c r="F48" s="43"/>
      <c r="G48" s="43"/>
      <c r="H48" s="43"/>
      <c r="I48" s="43"/>
      <c r="J48" s="43"/>
      <c r="K48" s="43"/>
      <c r="L48" s="43"/>
      <c r="M48" s="44"/>
    </row>
    <row r="49" spans="2:13" ht="11.25">
      <c r="B49" s="45"/>
      <c r="C49" s="43"/>
      <c r="D49" s="169">
        <v>5</v>
      </c>
      <c r="E49" s="43" t="s">
        <v>25</v>
      </c>
      <c r="F49" s="43"/>
      <c r="G49" s="43"/>
      <c r="H49" s="43"/>
      <c r="I49" s="43"/>
      <c r="J49" s="43"/>
      <c r="K49" s="43"/>
      <c r="L49" s="43"/>
      <c r="M49" s="44"/>
    </row>
    <row r="50" spans="2:13" ht="12" thickBot="1">
      <c r="B50" s="45"/>
      <c r="C50" s="46" t="s">
        <v>24</v>
      </c>
      <c r="D50" s="47"/>
      <c r="E50" s="43"/>
      <c r="F50" s="43"/>
      <c r="G50" s="43"/>
      <c r="H50" s="43"/>
      <c r="I50" s="43"/>
      <c r="J50" s="43"/>
      <c r="K50" s="43"/>
      <c r="L50" s="43"/>
      <c r="M50" s="44"/>
    </row>
    <row r="51" spans="2:13" ht="45">
      <c r="B51" s="48" t="s">
        <v>22</v>
      </c>
      <c r="C51" s="49" t="s">
        <v>64</v>
      </c>
      <c r="D51" s="49" t="s">
        <v>65</v>
      </c>
      <c r="E51" s="49" t="s">
        <v>50</v>
      </c>
      <c r="F51" s="49" t="s">
        <v>54</v>
      </c>
      <c r="G51" s="49" t="s">
        <v>54</v>
      </c>
      <c r="H51" s="49" t="s">
        <v>54</v>
      </c>
      <c r="I51" s="49" t="s">
        <v>54</v>
      </c>
      <c r="J51" s="49" t="s">
        <v>54</v>
      </c>
      <c r="K51" s="49" t="s">
        <v>54</v>
      </c>
      <c r="L51" s="43"/>
      <c r="M51" s="44"/>
    </row>
    <row r="52" spans="2:13" ht="11.25">
      <c r="B52" s="50"/>
      <c r="C52" s="51"/>
      <c r="D52" s="51"/>
      <c r="E52" s="51"/>
      <c r="F52" s="51">
        <f>$D$49</f>
        <v>5</v>
      </c>
      <c r="G52" s="51">
        <f>F52-1</f>
        <v>4</v>
      </c>
      <c r="H52" s="51">
        <f>G52-1</f>
        <v>3</v>
      </c>
      <c r="I52" s="51">
        <f>H52-1</f>
        <v>2</v>
      </c>
      <c r="J52" s="51">
        <f>I52-1</f>
        <v>1</v>
      </c>
      <c r="K52" s="51">
        <f>J52-1</f>
        <v>0</v>
      </c>
      <c r="L52" s="43"/>
      <c r="M52" s="44"/>
    </row>
    <row r="53" spans="2:13" ht="11.25">
      <c r="B53" s="25">
        <f aca="true" t="shared" si="9" ref="B53:B61">B27</f>
        <v>2005</v>
      </c>
      <c r="C53" s="52">
        <f aca="true" t="shared" si="10" ref="C53:C61">H27*1000</f>
        <v>0</v>
      </c>
      <c r="D53" s="52">
        <f aca="true" t="shared" si="11" ref="D53:D61">C53*$D$46/1000</f>
        <v>0</v>
      </c>
      <c r="E53" s="53">
        <f>$D$49*C53</f>
        <v>0</v>
      </c>
      <c r="F53" s="53">
        <v>0</v>
      </c>
      <c r="G53" s="53">
        <v>0</v>
      </c>
      <c r="H53" s="53">
        <f>$D52*$H$52</f>
        <v>0</v>
      </c>
      <c r="I53" s="53">
        <f>H53</f>
        <v>0</v>
      </c>
      <c r="J53" s="53">
        <f>I53</f>
        <v>0</v>
      </c>
      <c r="K53" s="54">
        <f>J53</f>
        <v>0</v>
      </c>
      <c r="L53" s="43"/>
      <c r="M53" s="44"/>
    </row>
    <row r="54" spans="2:13" ht="11.25">
      <c r="B54" s="25">
        <f t="shared" si="9"/>
        <v>2006</v>
      </c>
      <c r="C54" s="52">
        <f t="shared" si="10"/>
        <v>24882250.000000015</v>
      </c>
      <c r="D54" s="52">
        <f t="shared" si="11"/>
        <v>432951.15000000026</v>
      </c>
      <c r="E54" s="53">
        <f aca="true" t="shared" si="12" ref="E54:E60">$D$49*D54</f>
        <v>2164755.7500000014</v>
      </c>
      <c r="F54" s="53">
        <f>E53</f>
        <v>0</v>
      </c>
      <c r="G54" s="53">
        <f>$D53*$G$52</f>
        <v>0</v>
      </c>
      <c r="H54" s="53">
        <f>$D53*$H$52</f>
        <v>0</v>
      </c>
      <c r="I54" s="53">
        <f aca="true" t="shared" si="13" ref="I54:I61">$D53*$I$52</f>
        <v>0</v>
      </c>
      <c r="J54" s="53">
        <f aca="true" t="shared" si="14" ref="J54:J61">$D53*$J$52</f>
        <v>0</v>
      </c>
      <c r="K54" s="54">
        <f>$D53*4</f>
        <v>0</v>
      </c>
      <c r="L54" s="43"/>
      <c r="M54" s="44"/>
    </row>
    <row r="55" spans="2:13" ht="11.25">
      <c r="B55" s="25">
        <f t="shared" si="9"/>
        <v>2007</v>
      </c>
      <c r="C55" s="52">
        <f t="shared" si="10"/>
        <v>53334567.50000001</v>
      </c>
      <c r="D55" s="52">
        <f t="shared" si="11"/>
        <v>928021.4745</v>
      </c>
      <c r="E55" s="53">
        <f t="shared" si="12"/>
        <v>4640107.3725000005</v>
      </c>
      <c r="F55" s="53">
        <f aca="true" t="shared" si="15" ref="F55:F61">E54</f>
        <v>2164755.7500000014</v>
      </c>
      <c r="G55" s="53">
        <f aca="true" t="shared" si="16" ref="G55:G61">$D54*$G$52</f>
        <v>1731804.600000001</v>
      </c>
      <c r="H55" s="53">
        <f>$D54*$H$52</f>
        <v>1298853.4500000007</v>
      </c>
      <c r="I55" s="53">
        <f t="shared" si="13"/>
        <v>865902.3000000005</v>
      </c>
      <c r="J55" s="53">
        <f t="shared" si="14"/>
        <v>432951.15000000026</v>
      </c>
      <c r="K55" s="54">
        <f>$D54*$K$52</f>
        <v>0</v>
      </c>
      <c r="L55" s="43"/>
      <c r="M55" s="44"/>
    </row>
    <row r="56" spans="2:13" ht="11.25">
      <c r="B56" s="25">
        <f t="shared" si="9"/>
        <v>2008</v>
      </c>
      <c r="C56" s="52">
        <f t="shared" si="10"/>
        <v>85604379.01874998</v>
      </c>
      <c r="D56" s="52">
        <f t="shared" si="11"/>
        <v>1489516.1949262496</v>
      </c>
      <c r="E56" s="53">
        <f t="shared" si="12"/>
        <v>7447580.974631248</v>
      </c>
      <c r="F56" s="53">
        <f t="shared" si="15"/>
        <v>4640107.3725000005</v>
      </c>
      <c r="G56" s="53">
        <f t="shared" si="16"/>
        <v>3712085.898</v>
      </c>
      <c r="H56" s="53">
        <f aca="true" t="shared" si="17" ref="H56:H61">$D55*$H$52</f>
        <v>2784064.4235</v>
      </c>
      <c r="I56" s="53">
        <f t="shared" si="13"/>
        <v>1856042.949</v>
      </c>
      <c r="J56" s="53">
        <f t="shared" si="14"/>
        <v>928021.4745</v>
      </c>
      <c r="K56" s="54">
        <f aca="true" t="shared" si="18" ref="K56:K61">$D55*$K$52</f>
        <v>0</v>
      </c>
      <c r="L56" s="43"/>
      <c r="M56" s="44"/>
    </row>
    <row r="57" spans="2:13" ht="11.25">
      <c r="B57" s="25">
        <f t="shared" si="9"/>
        <v>2009</v>
      </c>
      <c r="C57" s="52">
        <f t="shared" si="10"/>
        <v>91574444.70403124</v>
      </c>
      <c r="D57" s="52">
        <f t="shared" si="11"/>
        <v>1593395.3378501434</v>
      </c>
      <c r="E57" s="53">
        <f t="shared" si="12"/>
        <v>7966976.689250717</v>
      </c>
      <c r="F57" s="53">
        <f t="shared" si="15"/>
        <v>7447580.974631248</v>
      </c>
      <c r="G57" s="53">
        <f t="shared" si="16"/>
        <v>5958064.779704998</v>
      </c>
      <c r="H57" s="53">
        <f t="shared" si="17"/>
        <v>4468548.584778748</v>
      </c>
      <c r="I57" s="53">
        <f t="shared" si="13"/>
        <v>2979032.389852499</v>
      </c>
      <c r="J57" s="53">
        <f t="shared" si="14"/>
        <v>1489516.1949262496</v>
      </c>
      <c r="K57" s="54">
        <f t="shared" si="18"/>
        <v>0</v>
      </c>
      <c r="L57" s="43"/>
      <c r="M57" s="44"/>
    </row>
    <row r="58" spans="2:13" ht="11.25">
      <c r="B58" s="25">
        <f t="shared" si="9"/>
        <v>2010</v>
      </c>
      <c r="C58" s="52">
        <f t="shared" si="10"/>
        <v>95591661.37459171</v>
      </c>
      <c r="D58" s="52">
        <f t="shared" si="11"/>
        <v>1663294.9079178956</v>
      </c>
      <c r="E58" s="53">
        <f t="shared" si="12"/>
        <v>8316474.539589478</v>
      </c>
      <c r="F58" s="53">
        <f t="shared" si="15"/>
        <v>7966976.689250717</v>
      </c>
      <c r="G58" s="53">
        <f t="shared" si="16"/>
        <v>6373581.351400574</v>
      </c>
      <c r="H58" s="53">
        <f t="shared" si="17"/>
        <v>4780186.013550431</v>
      </c>
      <c r="I58" s="53">
        <f t="shared" si="13"/>
        <v>3186790.675700287</v>
      </c>
      <c r="J58" s="53">
        <f t="shared" si="14"/>
        <v>1593395.3378501434</v>
      </c>
      <c r="K58" s="54">
        <f t="shared" si="18"/>
        <v>0</v>
      </c>
      <c r="L58" s="43"/>
      <c r="M58" s="44"/>
    </row>
    <row r="59" spans="2:13" ht="11.25">
      <c r="B59" s="25">
        <f t="shared" si="9"/>
        <v>2011</v>
      </c>
      <c r="C59" s="52">
        <f t="shared" si="10"/>
        <v>98001436.29521056</v>
      </c>
      <c r="D59" s="52">
        <f t="shared" si="11"/>
        <v>1705224.9915366636</v>
      </c>
      <c r="E59" s="53">
        <f t="shared" si="12"/>
        <v>8526124.957683317</v>
      </c>
      <c r="F59" s="53">
        <f t="shared" si="15"/>
        <v>8316474.539589478</v>
      </c>
      <c r="G59" s="53">
        <f t="shared" si="16"/>
        <v>6653179.631671582</v>
      </c>
      <c r="H59" s="53">
        <f t="shared" si="17"/>
        <v>4989884.723753687</v>
      </c>
      <c r="I59" s="53">
        <f t="shared" si="13"/>
        <v>3326589.815835791</v>
      </c>
      <c r="J59" s="53">
        <f t="shared" si="14"/>
        <v>1663294.9079178956</v>
      </c>
      <c r="K59" s="54">
        <f t="shared" si="18"/>
        <v>0</v>
      </c>
      <c r="L59" s="43"/>
      <c r="M59" s="44"/>
    </row>
    <row r="60" spans="2:13" ht="11.25">
      <c r="B60" s="25">
        <f t="shared" si="9"/>
        <v>2012</v>
      </c>
      <c r="C60" s="52">
        <f t="shared" si="10"/>
        <v>100363957.83963872</v>
      </c>
      <c r="D60" s="52">
        <f t="shared" si="11"/>
        <v>1746332.8664097136</v>
      </c>
      <c r="E60" s="53">
        <f t="shared" si="12"/>
        <v>8731664.332048569</v>
      </c>
      <c r="F60" s="53">
        <f t="shared" si="15"/>
        <v>8526124.957683317</v>
      </c>
      <c r="G60" s="53">
        <f t="shared" si="16"/>
        <v>6820899.966146654</v>
      </c>
      <c r="H60" s="53">
        <f t="shared" si="17"/>
        <v>5115674.974609991</v>
      </c>
      <c r="I60" s="53">
        <f t="shared" si="13"/>
        <v>3410449.983073327</v>
      </c>
      <c r="J60" s="53">
        <f t="shared" si="14"/>
        <v>1705224.9915366636</v>
      </c>
      <c r="K60" s="54">
        <f t="shared" si="18"/>
        <v>0</v>
      </c>
      <c r="L60" s="43"/>
      <c r="M60" s="44"/>
    </row>
    <row r="61" spans="2:13" ht="11.25">
      <c r="B61" s="25">
        <f t="shared" si="9"/>
        <v>2013</v>
      </c>
      <c r="C61" s="52">
        <f t="shared" si="10"/>
        <v>102739417.20723328</v>
      </c>
      <c r="D61" s="52">
        <f t="shared" si="11"/>
        <v>1787665.859405859</v>
      </c>
      <c r="E61" s="53"/>
      <c r="F61" s="53">
        <f t="shared" si="15"/>
        <v>8731664.332048569</v>
      </c>
      <c r="G61" s="53">
        <f t="shared" si="16"/>
        <v>6985331.465638855</v>
      </c>
      <c r="H61" s="53">
        <f t="shared" si="17"/>
        <v>5238998.599229141</v>
      </c>
      <c r="I61" s="53">
        <f t="shared" si="13"/>
        <v>3492665.7328194273</v>
      </c>
      <c r="J61" s="53">
        <f t="shared" si="14"/>
        <v>1746332.8664097136</v>
      </c>
      <c r="K61" s="54">
        <f t="shared" si="18"/>
        <v>0</v>
      </c>
      <c r="L61" s="43"/>
      <c r="M61" s="44"/>
    </row>
    <row r="62" spans="2:13" ht="12" thickBot="1">
      <c r="B62" s="31" t="s">
        <v>23</v>
      </c>
      <c r="C62" s="55">
        <f>SUM(C53:C61)</f>
        <v>652092113.9394555</v>
      </c>
      <c r="D62" s="55">
        <f aca="true" t="shared" si="19" ref="D62:K62">SUM(D53:D61)</f>
        <v>11346402.782546524</v>
      </c>
      <c r="E62" s="55">
        <f t="shared" si="19"/>
        <v>47793684.61570333</v>
      </c>
      <c r="F62" s="55">
        <f t="shared" si="19"/>
        <v>47793684.61570333</v>
      </c>
      <c r="G62" s="55">
        <f t="shared" si="19"/>
        <v>38234947.69256266</v>
      </c>
      <c r="H62" s="55">
        <f t="shared" si="19"/>
        <v>28676210.769422</v>
      </c>
      <c r="I62" s="55">
        <f t="shared" si="19"/>
        <v>19117473.84628133</v>
      </c>
      <c r="J62" s="55">
        <f t="shared" si="19"/>
        <v>9558736.923140666</v>
      </c>
      <c r="K62" s="56">
        <f t="shared" si="19"/>
        <v>0</v>
      </c>
      <c r="L62" s="43"/>
      <c r="M62" s="44"/>
    </row>
    <row r="63" spans="2:13" ht="11.25">
      <c r="B63" s="45"/>
      <c r="C63" s="43"/>
      <c r="D63" s="43"/>
      <c r="E63" s="43"/>
      <c r="F63" s="43"/>
      <c r="G63" s="43"/>
      <c r="H63" s="43"/>
      <c r="I63" s="43"/>
      <c r="J63" s="43"/>
      <c r="K63" s="43"/>
      <c r="L63" s="43"/>
      <c r="M63" s="44"/>
    </row>
    <row r="64" spans="2:13" ht="11.25">
      <c r="B64" s="45"/>
      <c r="C64" s="43"/>
      <c r="D64" s="43"/>
      <c r="E64" s="43"/>
      <c r="F64" s="43"/>
      <c r="G64" s="43"/>
      <c r="H64" s="43"/>
      <c r="I64" s="43"/>
      <c r="J64" s="43"/>
      <c r="K64" s="43"/>
      <c r="L64" s="43"/>
      <c r="M64" s="44"/>
    </row>
    <row r="65" spans="2:13" ht="11.25">
      <c r="B65" s="45"/>
      <c r="C65" s="43"/>
      <c r="D65" s="43"/>
      <c r="E65" s="43"/>
      <c r="F65" s="43"/>
      <c r="G65" s="43"/>
      <c r="H65" s="43"/>
      <c r="I65" s="43"/>
      <c r="J65" s="43"/>
      <c r="K65" s="43"/>
      <c r="L65" s="43"/>
      <c r="M65" s="44"/>
    </row>
    <row r="66" spans="2:13" ht="11.25">
      <c r="B66" s="45"/>
      <c r="C66" s="43"/>
      <c r="D66" s="43"/>
      <c r="E66" s="43"/>
      <c r="F66" s="43"/>
      <c r="G66" s="43"/>
      <c r="H66" s="43"/>
      <c r="I66" s="43"/>
      <c r="J66" s="43"/>
      <c r="K66" s="43"/>
      <c r="L66" s="43"/>
      <c r="M66" s="44"/>
    </row>
    <row r="67" spans="2:13" ht="11.25">
      <c r="B67" s="45"/>
      <c r="C67" s="43"/>
      <c r="D67" s="43"/>
      <c r="E67" s="43"/>
      <c r="F67" s="43"/>
      <c r="G67" s="43"/>
      <c r="H67" s="43"/>
      <c r="I67" s="43"/>
      <c r="J67" s="43"/>
      <c r="K67" s="43"/>
      <c r="L67" s="43"/>
      <c r="M67" s="44"/>
    </row>
    <row r="68" spans="2:13" ht="11.25">
      <c r="B68" s="45"/>
      <c r="C68" s="43"/>
      <c r="D68" s="43"/>
      <c r="E68" s="43"/>
      <c r="F68" s="43"/>
      <c r="G68" s="43"/>
      <c r="H68" s="43"/>
      <c r="I68" s="43"/>
      <c r="J68" s="43"/>
      <c r="K68" s="43"/>
      <c r="L68" s="43"/>
      <c r="M68" s="44"/>
    </row>
    <row r="69" spans="2:13" ht="13.5" thickBot="1">
      <c r="B69" s="279" t="s">
        <v>55</v>
      </c>
      <c r="C69" s="280"/>
      <c r="D69" s="57">
        <f>F52</f>
        <v>5</v>
      </c>
      <c r="E69" s="58"/>
      <c r="F69" s="58"/>
      <c r="G69" s="58"/>
      <c r="H69" s="43"/>
      <c r="I69" s="43"/>
      <c r="J69" s="43"/>
      <c r="K69" s="43"/>
      <c r="L69" s="43"/>
      <c r="M69" s="44"/>
    </row>
    <row r="70" spans="2:13" ht="11.25">
      <c r="B70" s="59"/>
      <c r="C70" s="60">
        <v>2005</v>
      </c>
      <c r="D70" s="60">
        <f aca="true" t="shared" si="20" ref="D70:M70">C70+1</f>
        <v>2006</v>
      </c>
      <c r="E70" s="60">
        <f t="shared" si="20"/>
        <v>2007</v>
      </c>
      <c r="F70" s="60">
        <f t="shared" si="20"/>
        <v>2008</v>
      </c>
      <c r="G70" s="60">
        <f t="shared" si="20"/>
        <v>2009</v>
      </c>
      <c r="H70" s="60">
        <f t="shared" si="20"/>
        <v>2010</v>
      </c>
      <c r="I70" s="60">
        <f t="shared" si="20"/>
        <v>2011</v>
      </c>
      <c r="J70" s="60">
        <f t="shared" si="20"/>
        <v>2012</v>
      </c>
      <c r="K70" s="60">
        <f t="shared" si="20"/>
        <v>2013</v>
      </c>
      <c r="L70" s="60">
        <f t="shared" si="20"/>
        <v>2014</v>
      </c>
      <c r="M70" s="61">
        <f t="shared" si="20"/>
        <v>2015</v>
      </c>
    </row>
    <row r="71" spans="2:13" ht="11.25">
      <c r="B71" s="62" t="s">
        <v>26</v>
      </c>
      <c r="C71" s="65">
        <v>0</v>
      </c>
      <c r="D71" s="65">
        <f>-Inv06</f>
        <v>-24926449.275362317</v>
      </c>
      <c r="E71" s="65">
        <f>-Inv07</f>
        <v>-19573550.724637683</v>
      </c>
      <c r="F71" s="65">
        <f>-'Cost Assumptions'!G40</f>
        <v>-2122416</v>
      </c>
      <c r="G71" s="65">
        <f>-'Cost Assumptions'!H40</f>
        <v>-2164864.32</v>
      </c>
      <c r="H71" s="65">
        <f>-'Cost Assumptions'!I40</f>
        <v>-2208161.6064</v>
      </c>
      <c r="I71" s="65">
        <f>-'Cost Assumptions'!J40</f>
        <v>-2252324.838528</v>
      </c>
      <c r="J71" s="65">
        <f>-'Cost Assumptions'!K40</f>
        <v>-2297371.3352985596</v>
      </c>
      <c r="K71" s="65">
        <f>-'Cost Assumptions'!L40</f>
        <v>-2343318.762004531</v>
      </c>
      <c r="L71" s="65">
        <f>-'Cost Assumptions'!M40</f>
        <v>-2390185.1372446218</v>
      </c>
      <c r="M71" s="65">
        <f>-'Cost Assumptions'!N40</f>
        <v>-2437988.839989514</v>
      </c>
    </row>
    <row r="72" spans="2:13" ht="11.25">
      <c r="B72" s="62" t="s">
        <v>27</v>
      </c>
      <c r="C72" s="65">
        <f>J27</f>
        <v>0</v>
      </c>
      <c r="D72" s="65">
        <f>$J28</f>
        <v>1649693.175000001</v>
      </c>
      <c r="E72" s="65">
        <f>$J29</f>
        <v>3606803.4617549996</v>
      </c>
      <c r="F72" s="65">
        <f>$J30</f>
        <v>5904863.370232426</v>
      </c>
      <c r="G72" s="65">
        <f>$J31</f>
        <v>6443003.058816031</v>
      </c>
      <c r="H72" s="65">
        <f>$J32</f>
        <v>6860159.687529306</v>
      </c>
      <c r="I72" s="65">
        <f>$J33</f>
        <v>7173759.748321471</v>
      </c>
      <c r="J72" s="65">
        <f>$J34</f>
        <v>7493631.594731724</v>
      </c>
      <c r="K72" s="65">
        <f>$J35</f>
        <v>7824414.128021429</v>
      </c>
      <c r="L72" s="65">
        <f>$J36</f>
        <v>8166450.608614568</v>
      </c>
      <c r="M72" s="66">
        <f>$J37</f>
        <v>8520094.890870878</v>
      </c>
    </row>
    <row r="73" spans="2:13" ht="11.25">
      <c r="B73" s="62" t="s">
        <v>24</v>
      </c>
      <c r="C73" s="65">
        <f>F53</f>
        <v>0</v>
      </c>
      <c r="D73" s="65">
        <f>F54</f>
        <v>0</v>
      </c>
      <c r="E73" s="65">
        <f>F55</f>
        <v>2164755.7500000014</v>
      </c>
      <c r="F73" s="65">
        <f>F56</f>
        <v>4640107.3725000005</v>
      </c>
      <c r="G73" s="65">
        <f>F57</f>
        <v>7447580.974631248</v>
      </c>
      <c r="H73" s="65">
        <f>F58</f>
        <v>7966976.689250717</v>
      </c>
      <c r="I73" s="65">
        <f>F59</f>
        <v>8316474.539589478</v>
      </c>
      <c r="J73" s="65">
        <f>F60</f>
        <v>8526124.957683317</v>
      </c>
      <c r="K73" s="65">
        <f>F61</f>
        <v>8731664.332048569</v>
      </c>
      <c r="L73" s="65"/>
      <c r="M73" s="66"/>
    </row>
    <row r="74" spans="2:14" ht="12" thickBot="1">
      <c r="B74" s="67" t="s">
        <v>23</v>
      </c>
      <c r="C74" s="68">
        <f>SUM(C71:C73)</f>
        <v>0</v>
      </c>
      <c r="D74" s="68">
        <f aca="true" t="shared" si="21" ref="D74:M74">SUM(D71:D73)</f>
        <v>-23276756.100362316</v>
      </c>
      <c r="E74" s="68">
        <f t="shared" si="21"/>
        <v>-13801991.512882682</v>
      </c>
      <c r="F74" s="68">
        <f t="shared" si="21"/>
        <v>8422554.742732426</v>
      </c>
      <c r="G74" s="68">
        <f t="shared" si="21"/>
        <v>11725719.713447278</v>
      </c>
      <c r="H74" s="68">
        <f t="shared" si="21"/>
        <v>12618974.770380024</v>
      </c>
      <c r="I74" s="68">
        <f t="shared" si="21"/>
        <v>13237909.44938295</v>
      </c>
      <c r="J74" s="68">
        <f t="shared" si="21"/>
        <v>13722385.217116483</v>
      </c>
      <c r="K74" s="68">
        <f t="shared" si="21"/>
        <v>14212759.698065467</v>
      </c>
      <c r="L74" s="68">
        <f t="shared" si="21"/>
        <v>5776265.471369946</v>
      </c>
      <c r="M74" s="69">
        <f t="shared" si="21"/>
        <v>6082106.050881364</v>
      </c>
      <c r="N74" s="70"/>
    </row>
    <row r="75" spans="2:13" ht="11.25">
      <c r="B75" s="45"/>
      <c r="C75" s="71" t="s">
        <v>51</v>
      </c>
      <c r="D75" s="72">
        <f>NPV(0.1,D74:M74)</f>
        <v>15544094.011297781</v>
      </c>
      <c r="E75" s="37"/>
      <c r="F75" s="39"/>
      <c r="G75" s="39"/>
      <c r="H75" s="39"/>
      <c r="I75" s="39"/>
      <c r="J75" s="39"/>
      <c r="K75" s="39"/>
      <c r="L75" s="39"/>
      <c r="M75" s="41"/>
    </row>
    <row r="76" spans="2:13" ht="12" thickBot="1">
      <c r="B76" s="45"/>
      <c r="C76" s="31" t="s">
        <v>43</v>
      </c>
      <c r="D76" s="73">
        <f>IRR(D74:M74)</f>
        <v>0.20282476643173591</v>
      </c>
      <c r="E76" s="45"/>
      <c r="F76" s="43"/>
      <c r="G76" s="43"/>
      <c r="H76" s="43"/>
      <c r="I76" s="43"/>
      <c r="J76" s="43"/>
      <c r="K76" s="43"/>
      <c r="L76" s="43"/>
      <c r="M76" s="44"/>
    </row>
    <row r="77" spans="2:13" ht="12" thickBot="1">
      <c r="B77" s="45"/>
      <c r="C77" s="31" t="s">
        <v>47</v>
      </c>
      <c r="D77" s="73">
        <f>IRR(D74:L74)</f>
        <v>0.1928759659710105</v>
      </c>
      <c r="E77" s="45"/>
      <c r="F77" s="43"/>
      <c r="G77" s="43"/>
      <c r="H77" s="43"/>
      <c r="I77" s="43"/>
      <c r="J77" s="43"/>
      <c r="K77" s="43"/>
      <c r="L77" s="43"/>
      <c r="M77" s="44"/>
    </row>
    <row r="78" spans="2:13" ht="12" thickBot="1">
      <c r="B78" s="45"/>
      <c r="C78" s="31" t="s">
        <v>48</v>
      </c>
      <c r="D78" s="73">
        <f>IRR(D74:K74)</f>
        <v>0.1804461522831379</v>
      </c>
      <c r="E78" s="45"/>
      <c r="F78" s="43"/>
      <c r="G78" s="43"/>
      <c r="H78" s="43"/>
      <c r="I78" s="43"/>
      <c r="J78" s="43"/>
      <c r="K78" s="43"/>
      <c r="L78" s="43"/>
      <c r="M78" s="44"/>
    </row>
    <row r="79" spans="2:13" ht="12" thickBot="1">
      <c r="B79" s="45"/>
      <c r="C79" s="31" t="s">
        <v>45</v>
      </c>
      <c r="D79" s="73">
        <f>IRR(D74:J74)</f>
        <v>0.13651431793332447</v>
      </c>
      <c r="E79" s="45"/>
      <c r="F79" s="43"/>
      <c r="G79" s="43"/>
      <c r="H79" s="43"/>
      <c r="I79" s="43"/>
      <c r="J79" s="43"/>
      <c r="K79" s="43"/>
      <c r="L79" s="43"/>
      <c r="M79" s="44"/>
    </row>
    <row r="80" spans="2:13" ht="12" thickBot="1">
      <c r="B80" s="45"/>
      <c r="C80" s="31" t="s">
        <v>46</v>
      </c>
      <c r="D80" s="73">
        <f>IRR(D74:I74)</f>
        <v>0.06833002224634245</v>
      </c>
      <c r="E80" s="45"/>
      <c r="F80" s="43"/>
      <c r="G80" s="43"/>
      <c r="H80" s="43"/>
      <c r="I80" s="43"/>
      <c r="J80" s="43"/>
      <c r="K80" s="43"/>
      <c r="L80" s="43"/>
      <c r="M80" s="44"/>
    </row>
    <row r="81" spans="2:13" ht="12" thickBot="1">
      <c r="B81" s="74"/>
      <c r="C81" s="31" t="s">
        <v>44</v>
      </c>
      <c r="D81" s="73">
        <f>IRR(D74:H74)</f>
        <v>-0.04372935894669206</v>
      </c>
      <c r="E81" s="74"/>
      <c r="F81" s="75"/>
      <c r="G81" s="75"/>
      <c r="H81" s="75"/>
      <c r="I81" s="75"/>
      <c r="J81" s="75"/>
      <c r="K81" s="75"/>
      <c r="L81" s="75"/>
      <c r="M81" s="76"/>
    </row>
    <row r="83" spans="2:4" ht="13.5" thickBot="1">
      <c r="B83" s="292" t="s">
        <v>55</v>
      </c>
      <c r="C83" s="293"/>
      <c r="D83" s="57">
        <f>G52</f>
        <v>4</v>
      </c>
    </row>
    <row r="84" spans="2:13" ht="11.25">
      <c r="B84" s="59"/>
      <c r="C84" s="60">
        <v>2005</v>
      </c>
      <c r="D84" s="60">
        <f aca="true" t="shared" si="22" ref="D84:M84">C84+1</f>
        <v>2006</v>
      </c>
      <c r="E84" s="60">
        <f t="shared" si="22"/>
        <v>2007</v>
      </c>
      <c r="F84" s="60">
        <f t="shared" si="22"/>
        <v>2008</v>
      </c>
      <c r="G84" s="60">
        <f t="shared" si="22"/>
        <v>2009</v>
      </c>
      <c r="H84" s="60">
        <f t="shared" si="22"/>
        <v>2010</v>
      </c>
      <c r="I84" s="60">
        <f t="shared" si="22"/>
        <v>2011</v>
      </c>
      <c r="J84" s="60">
        <f t="shared" si="22"/>
        <v>2012</v>
      </c>
      <c r="K84" s="60">
        <f t="shared" si="22"/>
        <v>2013</v>
      </c>
      <c r="L84" s="60">
        <f t="shared" si="22"/>
        <v>2014</v>
      </c>
      <c r="M84" s="61">
        <f t="shared" si="22"/>
        <v>2015</v>
      </c>
    </row>
    <row r="85" spans="2:13" ht="11.25">
      <c r="B85" s="62" t="s">
        <v>26</v>
      </c>
      <c r="C85" s="65">
        <v>0</v>
      </c>
      <c r="D85" s="65">
        <f>-Inv06</f>
        <v>-24926449.275362317</v>
      </c>
      <c r="E85" s="65">
        <f>-Inv07</f>
        <v>-19573550.724637683</v>
      </c>
      <c r="F85" s="65">
        <f>-'Cost Assumptions'!G40</f>
        <v>-2122416</v>
      </c>
      <c r="G85" s="65">
        <f>-'Cost Assumptions'!H40</f>
        <v>-2164864.32</v>
      </c>
      <c r="H85" s="65">
        <f>-'Cost Assumptions'!I40</f>
        <v>-2208161.6064</v>
      </c>
      <c r="I85" s="65">
        <f>-'Cost Assumptions'!J40</f>
        <v>-2252324.838528</v>
      </c>
      <c r="J85" s="65">
        <f>-'Cost Assumptions'!K40</f>
        <v>-2297371.3352985596</v>
      </c>
      <c r="K85" s="65">
        <f>-'Cost Assumptions'!L40</f>
        <v>-2343318.762004531</v>
      </c>
      <c r="L85" s="65">
        <f>-'Cost Assumptions'!M40</f>
        <v>-2390185.1372446218</v>
      </c>
      <c r="M85" s="65">
        <f>-'Cost Assumptions'!N40</f>
        <v>-2437988.839989514</v>
      </c>
    </row>
    <row r="86" spans="2:13" ht="11.25">
      <c r="B86" s="62" t="s">
        <v>27</v>
      </c>
      <c r="C86" s="65">
        <f>C72</f>
        <v>0</v>
      </c>
      <c r="D86" s="65">
        <f>$D$72</f>
        <v>1649693.175000001</v>
      </c>
      <c r="E86" s="65">
        <f>$E$72</f>
        <v>3606803.4617549996</v>
      </c>
      <c r="F86" s="65">
        <f>$F$72</f>
        <v>5904863.370232426</v>
      </c>
      <c r="G86" s="65">
        <f>$G$72</f>
        <v>6443003.058816031</v>
      </c>
      <c r="H86" s="65">
        <f>$H$72</f>
        <v>6860159.687529306</v>
      </c>
      <c r="I86" s="65">
        <f>$I$72</f>
        <v>7173759.748321471</v>
      </c>
      <c r="J86" s="65">
        <f>$J$72</f>
        <v>7493631.594731724</v>
      </c>
      <c r="K86" s="65">
        <f>$K$72</f>
        <v>7824414.128021429</v>
      </c>
      <c r="L86" s="65">
        <f>$L$72</f>
        <v>8166450.608614568</v>
      </c>
      <c r="M86" s="66">
        <f>$M$72</f>
        <v>8520094.890870878</v>
      </c>
    </row>
    <row r="87" spans="2:13" ht="11.25">
      <c r="B87" s="62" t="s">
        <v>24</v>
      </c>
      <c r="C87" s="65">
        <f>$G53</f>
        <v>0</v>
      </c>
      <c r="D87" s="65">
        <f>$G$54</f>
        <v>0</v>
      </c>
      <c r="E87" s="65">
        <f>$G$55</f>
        <v>1731804.600000001</v>
      </c>
      <c r="F87" s="65">
        <f>$G$56</f>
        <v>3712085.898</v>
      </c>
      <c r="G87" s="65">
        <f>$G$57</f>
        <v>5958064.779704998</v>
      </c>
      <c r="H87" s="65">
        <f>$G$58</f>
        <v>6373581.351400574</v>
      </c>
      <c r="I87" s="65">
        <f>$G$59</f>
        <v>6653179.631671582</v>
      </c>
      <c r="J87" s="65">
        <f>$G$60</f>
        <v>6820899.966146654</v>
      </c>
      <c r="K87" s="65">
        <f>$G$61</f>
        <v>6985331.465638855</v>
      </c>
      <c r="L87" s="65"/>
      <c r="M87" s="66"/>
    </row>
    <row r="88" spans="2:13" ht="12" thickBot="1">
      <c r="B88" s="67" t="s">
        <v>23</v>
      </c>
      <c r="C88" s="68">
        <f>SUM(C85:C87)</f>
        <v>0</v>
      </c>
      <c r="D88" s="68">
        <f aca="true" t="shared" si="23" ref="D88:M88">SUM(D85:D87)</f>
        <v>-23276756.100362316</v>
      </c>
      <c r="E88" s="68">
        <f t="shared" si="23"/>
        <v>-14234942.662882682</v>
      </c>
      <c r="F88" s="68">
        <f t="shared" si="23"/>
        <v>7494533.268232426</v>
      </c>
      <c r="G88" s="68">
        <f t="shared" si="23"/>
        <v>10236203.51852103</v>
      </c>
      <c r="H88" s="68">
        <f t="shared" si="23"/>
        <v>11025579.43252988</v>
      </c>
      <c r="I88" s="68">
        <f t="shared" si="23"/>
        <v>11574614.541465053</v>
      </c>
      <c r="J88" s="68">
        <f t="shared" si="23"/>
        <v>12017160.225579819</v>
      </c>
      <c r="K88" s="68">
        <f t="shared" si="23"/>
        <v>12466426.831655752</v>
      </c>
      <c r="L88" s="68">
        <f t="shared" si="23"/>
        <v>5776265.471369946</v>
      </c>
      <c r="M88" s="69">
        <f t="shared" si="23"/>
        <v>6082106.050881364</v>
      </c>
    </row>
    <row r="89" spans="2:14" ht="11.25">
      <c r="B89" s="43"/>
      <c r="C89" s="71" t="s">
        <v>51</v>
      </c>
      <c r="D89" s="72">
        <f>NPV(0.1,D88:M88)</f>
        <v>9853700.297919096</v>
      </c>
      <c r="E89" s="45"/>
      <c r="F89" s="43"/>
      <c r="G89" s="43"/>
      <c r="H89" s="43"/>
      <c r="I89" s="43"/>
      <c r="J89" s="43"/>
      <c r="K89" s="43"/>
      <c r="L89" s="43"/>
      <c r="M89" s="43"/>
      <c r="N89" s="43"/>
    </row>
    <row r="90" spans="2:14" ht="12" thickBot="1">
      <c r="B90" s="43"/>
      <c r="C90" s="31" t="s">
        <v>43</v>
      </c>
      <c r="D90" s="73">
        <f>IRR(D88:M88)</f>
        <v>0.16655863197897097</v>
      </c>
      <c r="E90" s="45"/>
      <c r="F90" s="43"/>
      <c r="G90" s="43"/>
      <c r="H90" s="43"/>
      <c r="I90" s="43"/>
      <c r="J90" s="43"/>
      <c r="K90" s="43"/>
      <c r="L90" s="43"/>
      <c r="M90" s="43"/>
      <c r="N90" s="43"/>
    </row>
    <row r="91" spans="13:14" ht="11.25">
      <c r="M91" s="43"/>
      <c r="N91" s="43"/>
    </row>
    <row r="92" spans="2:4" ht="13.5" thickBot="1">
      <c r="B92" s="292" t="s">
        <v>55</v>
      </c>
      <c r="C92" s="293"/>
      <c r="D92" s="57">
        <f>H52</f>
        <v>3</v>
      </c>
    </row>
    <row r="93" spans="2:13" ht="11.25">
      <c r="B93" s="59"/>
      <c r="C93" s="60">
        <v>2005</v>
      </c>
      <c r="D93" s="60">
        <f aca="true" t="shared" si="24" ref="D93:M93">C93+1</f>
        <v>2006</v>
      </c>
      <c r="E93" s="60">
        <f t="shared" si="24"/>
        <v>2007</v>
      </c>
      <c r="F93" s="60">
        <f t="shared" si="24"/>
        <v>2008</v>
      </c>
      <c r="G93" s="60">
        <f t="shared" si="24"/>
        <v>2009</v>
      </c>
      <c r="H93" s="60">
        <f t="shared" si="24"/>
        <v>2010</v>
      </c>
      <c r="I93" s="60">
        <f t="shared" si="24"/>
        <v>2011</v>
      </c>
      <c r="J93" s="60">
        <f t="shared" si="24"/>
        <v>2012</v>
      </c>
      <c r="K93" s="60">
        <f t="shared" si="24"/>
        <v>2013</v>
      </c>
      <c r="L93" s="60">
        <f t="shared" si="24"/>
        <v>2014</v>
      </c>
      <c r="M93" s="61">
        <f t="shared" si="24"/>
        <v>2015</v>
      </c>
    </row>
    <row r="94" spans="2:13" ht="11.25">
      <c r="B94" s="62" t="s">
        <v>26</v>
      </c>
      <c r="C94" s="65">
        <v>0</v>
      </c>
      <c r="D94" s="65">
        <f>-Inv06</f>
        <v>-24926449.275362317</v>
      </c>
      <c r="E94" s="65">
        <f>-Inv07</f>
        <v>-19573550.724637683</v>
      </c>
      <c r="F94" s="65">
        <f>-'Cost Assumptions'!G40</f>
        <v>-2122416</v>
      </c>
      <c r="G94" s="65">
        <f>-'Cost Assumptions'!H40</f>
        <v>-2164864.32</v>
      </c>
      <c r="H94" s="65">
        <f>-'Cost Assumptions'!I40</f>
        <v>-2208161.6064</v>
      </c>
      <c r="I94" s="65">
        <f>-'Cost Assumptions'!J40</f>
        <v>-2252324.838528</v>
      </c>
      <c r="J94" s="65">
        <f>-'Cost Assumptions'!K40</f>
        <v>-2297371.3352985596</v>
      </c>
      <c r="K94" s="65">
        <f>-'Cost Assumptions'!L40</f>
        <v>-2343318.762004531</v>
      </c>
      <c r="L94" s="65">
        <f>-'Cost Assumptions'!M40</f>
        <v>-2390185.1372446218</v>
      </c>
      <c r="M94" s="65">
        <f>-'Cost Assumptions'!N40</f>
        <v>-2437988.839989514</v>
      </c>
    </row>
    <row r="95" spans="2:13" ht="11.25">
      <c r="B95" s="62" t="s">
        <v>27</v>
      </c>
      <c r="C95" s="65">
        <f>C82</f>
        <v>0</v>
      </c>
      <c r="D95" s="65">
        <f>$D$72</f>
        <v>1649693.175000001</v>
      </c>
      <c r="E95" s="65">
        <f>$E$72</f>
        <v>3606803.4617549996</v>
      </c>
      <c r="F95" s="65">
        <f>$F$72</f>
        <v>5904863.370232426</v>
      </c>
      <c r="G95" s="65">
        <f>$G$72</f>
        <v>6443003.058816031</v>
      </c>
      <c r="H95" s="65">
        <f>$H$72</f>
        <v>6860159.687529306</v>
      </c>
      <c r="I95" s="65">
        <f>$I$72</f>
        <v>7173759.748321471</v>
      </c>
      <c r="J95" s="65">
        <f>$J$72</f>
        <v>7493631.594731724</v>
      </c>
      <c r="K95" s="65">
        <f>$K$72</f>
        <v>7824414.128021429</v>
      </c>
      <c r="L95" s="65">
        <f>$L$72</f>
        <v>8166450.608614568</v>
      </c>
      <c r="M95" s="66">
        <f>$M$72</f>
        <v>8520094.890870878</v>
      </c>
    </row>
    <row r="96" spans="2:13" ht="11.25">
      <c r="B96" s="62" t="s">
        <v>24</v>
      </c>
      <c r="C96" s="65">
        <f>$H$53</f>
        <v>0</v>
      </c>
      <c r="D96" s="65">
        <f>$H$54</f>
        <v>0</v>
      </c>
      <c r="E96" s="65">
        <f>$H$55</f>
        <v>1298853.4500000007</v>
      </c>
      <c r="F96" s="65">
        <f>$H$56</f>
        <v>2784064.4235</v>
      </c>
      <c r="G96" s="65">
        <f>$H$57</f>
        <v>4468548.584778748</v>
      </c>
      <c r="H96" s="65">
        <f>$H$58</f>
        <v>4780186.013550431</v>
      </c>
      <c r="I96" s="65">
        <f>$H$59</f>
        <v>4989884.723753687</v>
      </c>
      <c r="J96" s="65">
        <f>$H$60</f>
        <v>5115674.974609991</v>
      </c>
      <c r="K96" s="65">
        <f>$H$61</f>
        <v>5238998.599229141</v>
      </c>
      <c r="L96" s="65"/>
      <c r="M96" s="66"/>
    </row>
    <row r="97" spans="2:13" ht="12" thickBot="1">
      <c r="B97" s="67" t="s">
        <v>23</v>
      </c>
      <c r="C97" s="68">
        <f>SUM(C94:C96)</f>
        <v>0</v>
      </c>
      <c r="D97" s="68">
        <f aca="true" t="shared" si="25" ref="D97:M97">SUM(D94:D96)</f>
        <v>-23276756.100362316</v>
      </c>
      <c r="E97" s="68">
        <f t="shared" si="25"/>
        <v>-14667893.812882682</v>
      </c>
      <c r="F97" s="68">
        <f t="shared" si="25"/>
        <v>6566511.793732425</v>
      </c>
      <c r="G97" s="68">
        <f t="shared" si="25"/>
        <v>8746687.323594779</v>
      </c>
      <c r="H97" s="68">
        <f t="shared" si="25"/>
        <v>9432184.094679736</v>
      </c>
      <c r="I97" s="68">
        <f t="shared" si="25"/>
        <v>9911319.633547157</v>
      </c>
      <c r="J97" s="68">
        <f t="shared" si="25"/>
        <v>10311935.234043155</v>
      </c>
      <c r="K97" s="68">
        <f t="shared" si="25"/>
        <v>10720093.96524604</v>
      </c>
      <c r="L97" s="68">
        <f t="shared" si="25"/>
        <v>5776265.471369946</v>
      </c>
      <c r="M97" s="69">
        <f t="shared" si="25"/>
        <v>6082106.050881364</v>
      </c>
    </row>
    <row r="98" spans="2:14" ht="11.25">
      <c r="B98" s="43"/>
      <c r="C98" s="71" t="s">
        <v>51</v>
      </c>
      <c r="D98" s="72">
        <f>NPV(0.1,D97:M97)</f>
        <v>4163306.5845404053</v>
      </c>
      <c r="E98" s="45"/>
      <c r="F98" s="43"/>
      <c r="G98" s="43"/>
      <c r="H98" s="43"/>
      <c r="I98" s="43"/>
      <c r="J98" s="43"/>
      <c r="K98" s="43"/>
      <c r="L98" s="43"/>
      <c r="M98" s="43"/>
      <c r="N98" s="43"/>
    </row>
    <row r="99" spans="2:14" ht="12" thickBot="1">
      <c r="B99" s="43"/>
      <c r="C99" s="31" t="s">
        <v>43</v>
      </c>
      <c r="D99" s="73">
        <f>IRR(D97:M97)</f>
        <v>0.12874674196639976</v>
      </c>
      <c r="E99" s="45"/>
      <c r="F99" s="43"/>
      <c r="G99" s="43"/>
      <c r="H99" s="43"/>
      <c r="I99" s="43"/>
      <c r="J99" s="43"/>
      <c r="K99" s="43"/>
      <c r="L99" s="43"/>
      <c r="M99" s="43"/>
      <c r="N99" s="43"/>
    </row>
    <row r="101" spans="2:4" ht="13.5" thickBot="1">
      <c r="B101" s="292" t="s">
        <v>55</v>
      </c>
      <c r="C101" s="293"/>
      <c r="D101" s="57">
        <f>I52</f>
        <v>2</v>
      </c>
    </row>
    <row r="102" spans="2:13" ht="11.25">
      <c r="B102" s="59"/>
      <c r="C102" s="60">
        <v>2005</v>
      </c>
      <c r="D102" s="60">
        <f aca="true" t="shared" si="26" ref="D102:M102">C102+1</f>
        <v>2006</v>
      </c>
      <c r="E102" s="60">
        <f t="shared" si="26"/>
        <v>2007</v>
      </c>
      <c r="F102" s="60">
        <f t="shared" si="26"/>
        <v>2008</v>
      </c>
      <c r="G102" s="60">
        <f t="shared" si="26"/>
        <v>2009</v>
      </c>
      <c r="H102" s="60">
        <f t="shared" si="26"/>
        <v>2010</v>
      </c>
      <c r="I102" s="60">
        <f t="shared" si="26"/>
        <v>2011</v>
      </c>
      <c r="J102" s="60">
        <f t="shared" si="26"/>
        <v>2012</v>
      </c>
      <c r="K102" s="60">
        <f t="shared" si="26"/>
        <v>2013</v>
      </c>
      <c r="L102" s="60">
        <f t="shared" si="26"/>
        <v>2014</v>
      </c>
      <c r="M102" s="61">
        <f t="shared" si="26"/>
        <v>2015</v>
      </c>
    </row>
    <row r="103" spans="2:13" ht="11.25">
      <c r="B103" s="62" t="s">
        <v>26</v>
      </c>
      <c r="C103" s="65">
        <v>0</v>
      </c>
      <c r="D103" s="65">
        <f>-Inv06</f>
        <v>-24926449.275362317</v>
      </c>
      <c r="E103" s="65">
        <f>-Inv07</f>
        <v>-19573550.724637683</v>
      </c>
      <c r="F103" s="65">
        <f>-'Cost Assumptions'!G40</f>
        <v>-2122416</v>
      </c>
      <c r="G103" s="65">
        <f>-'Cost Assumptions'!H40</f>
        <v>-2164864.32</v>
      </c>
      <c r="H103" s="65">
        <f>-'Cost Assumptions'!I40</f>
        <v>-2208161.6064</v>
      </c>
      <c r="I103" s="65">
        <f>-'Cost Assumptions'!J40</f>
        <v>-2252324.838528</v>
      </c>
      <c r="J103" s="65">
        <f>-'Cost Assumptions'!K40</f>
        <v>-2297371.3352985596</v>
      </c>
      <c r="K103" s="65">
        <f>-'Cost Assumptions'!L40</f>
        <v>-2343318.762004531</v>
      </c>
      <c r="L103" s="65">
        <f>-'Cost Assumptions'!M40</f>
        <v>-2390185.1372446218</v>
      </c>
      <c r="M103" s="65">
        <f>-'Cost Assumptions'!N40</f>
        <v>-2437988.839989514</v>
      </c>
    </row>
    <row r="104" spans="2:13" ht="11.25">
      <c r="B104" s="62" t="s">
        <v>27</v>
      </c>
      <c r="C104" s="65">
        <f>C91</f>
        <v>0</v>
      </c>
      <c r="D104" s="65">
        <f>$D$72</f>
        <v>1649693.175000001</v>
      </c>
      <c r="E104" s="65">
        <f>$E$72</f>
        <v>3606803.4617549996</v>
      </c>
      <c r="F104" s="65">
        <f>$F$72</f>
        <v>5904863.370232426</v>
      </c>
      <c r="G104" s="65">
        <f>$G$72</f>
        <v>6443003.058816031</v>
      </c>
      <c r="H104" s="65">
        <f>$H$72</f>
        <v>6860159.687529306</v>
      </c>
      <c r="I104" s="65">
        <f>$I$72</f>
        <v>7173759.748321471</v>
      </c>
      <c r="J104" s="65">
        <f>$J$72</f>
        <v>7493631.594731724</v>
      </c>
      <c r="K104" s="65">
        <f>$K$72</f>
        <v>7824414.128021429</v>
      </c>
      <c r="L104" s="65">
        <f>$L$72</f>
        <v>8166450.608614568</v>
      </c>
      <c r="M104" s="66">
        <f>$M$72</f>
        <v>8520094.890870878</v>
      </c>
    </row>
    <row r="105" spans="2:13" ht="11.25">
      <c r="B105" s="62" t="s">
        <v>24</v>
      </c>
      <c r="C105" s="65">
        <f>$I$53</f>
        <v>0</v>
      </c>
      <c r="D105" s="65">
        <f>$I$54</f>
        <v>0</v>
      </c>
      <c r="E105" s="65">
        <f>$I$55</f>
        <v>865902.3000000005</v>
      </c>
      <c r="F105" s="65">
        <f>$I$56</f>
        <v>1856042.949</v>
      </c>
      <c r="G105" s="65">
        <f>$I$57</f>
        <v>2979032.389852499</v>
      </c>
      <c r="H105" s="65">
        <f>$I$58</f>
        <v>3186790.675700287</v>
      </c>
      <c r="I105" s="65">
        <f>$I$59</f>
        <v>3326589.815835791</v>
      </c>
      <c r="J105" s="65">
        <f>$I$60</f>
        <v>3410449.983073327</v>
      </c>
      <c r="K105" s="65">
        <f>$I$61</f>
        <v>3492665.7328194273</v>
      </c>
      <c r="L105" s="65"/>
      <c r="M105" s="66"/>
    </row>
    <row r="106" spans="2:13" ht="12" thickBot="1">
      <c r="B106" s="67" t="s">
        <v>23</v>
      </c>
      <c r="C106" s="68">
        <f>SUM(C103:C105)</f>
        <v>0</v>
      </c>
      <c r="D106" s="68">
        <f aca="true" t="shared" si="27" ref="D106:M106">SUM(D103:D105)</f>
        <v>-23276756.100362316</v>
      </c>
      <c r="E106" s="68">
        <f t="shared" si="27"/>
        <v>-15100844.962882683</v>
      </c>
      <c r="F106" s="68">
        <f t="shared" si="27"/>
        <v>5638490.319232426</v>
      </c>
      <c r="G106" s="68">
        <f t="shared" si="27"/>
        <v>7257171.12866853</v>
      </c>
      <c r="H106" s="68">
        <f t="shared" si="27"/>
        <v>7838788.756829593</v>
      </c>
      <c r="I106" s="68">
        <f t="shared" si="27"/>
        <v>8248024.725629263</v>
      </c>
      <c r="J106" s="68">
        <f t="shared" si="27"/>
        <v>8606710.242506491</v>
      </c>
      <c r="K106" s="68">
        <f t="shared" si="27"/>
        <v>8973761.098836325</v>
      </c>
      <c r="L106" s="68">
        <f t="shared" si="27"/>
        <v>5776265.471369946</v>
      </c>
      <c r="M106" s="69">
        <f t="shared" si="27"/>
        <v>6082106.050881364</v>
      </c>
    </row>
    <row r="107" spans="2:14" ht="11.25">
      <c r="B107" s="43"/>
      <c r="C107" s="71" t="s">
        <v>51</v>
      </c>
      <c r="D107" s="72">
        <f>NPV(0.1,D106:M106)</f>
        <v>-1527087.1288382744</v>
      </c>
      <c r="E107" s="45"/>
      <c r="F107" s="43"/>
      <c r="G107" s="43"/>
      <c r="H107" s="43"/>
      <c r="I107" s="43"/>
      <c r="J107" s="43"/>
      <c r="K107" s="43"/>
      <c r="L107" s="43"/>
      <c r="M107" s="43"/>
      <c r="N107" s="43"/>
    </row>
    <row r="108" spans="2:14" ht="12" thickBot="1">
      <c r="B108" s="43"/>
      <c r="C108" s="31" t="s">
        <v>43</v>
      </c>
      <c r="D108" s="73">
        <f>IRR(D106:M106)</f>
        <v>0.08921061056984785</v>
      </c>
      <c r="E108" s="45"/>
      <c r="F108" s="43"/>
      <c r="G108" s="43"/>
      <c r="H108" s="43"/>
      <c r="I108" s="43"/>
      <c r="J108" s="43"/>
      <c r="K108" s="43"/>
      <c r="L108" s="43"/>
      <c r="M108" s="43"/>
      <c r="N108" s="43"/>
    </row>
    <row r="110" spans="2:4" ht="13.5" thickBot="1">
      <c r="B110" s="292" t="s">
        <v>55</v>
      </c>
      <c r="C110" s="293"/>
      <c r="D110" s="57">
        <f>J52</f>
        <v>1</v>
      </c>
    </row>
    <row r="111" spans="2:13" ht="11.25">
      <c r="B111" s="59"/>
      <c r="C111" s="60">
        <v>2005</v>
      </c>
      <c r="D111" s="60">
        <f aca="true" t="shared" si="28" ref="D111:M111">C111+1</f>
        <v>2006</v>
      </c>
      <c r="E111" s="60">
        <f t="shared" si="28"/>
        <v>2007</v>
      </c>
      <c r="F111" s="60">
        <f t="shared" si="28"/>
        <v>2008</v>
      </c>
      <c r="G111" s="60">
        <f t="shared" si="28"/>
        <v>2009</v>
      </c>
      <c r="H111" s="60">
        <f t="shared" si="28"/>
        <v>2010</v>
      </c>
      <c r="I111" s="60">
        <f t="shared" si="28"/>
        <v>2011</v>
      </c>
      <c r="J111" s="60">
        <f t="shared" si="28"/>
        <v>2012</v>
      </c>
      <c r="K111" s="60">
        <f t="shared" si="28"/>
        <v>2013</v>
      </c>
      <c r="L111" s="60">
        <f t="shared" si="28"/>
        <v>2014</v>
      </c>
      <c r="M111" s="61">
        <f t="shared" si="28"/>
        <v>2015</v>
      </c>
    </row>
    <row r="112" spans="2:13" ht="11.25">
      <c r="B112" s="62" t="s">
        <v>26</v>
      </c>
      <c r="C112" s="65">
        <v>0</v>
      </c>
      <c r="D112" s="65">
        <f>-Inv06</f>
        <v>-24926449.275362317</v>
      </c>
      <c r="E112" s="65">
        <f>-Inv07</f>
        <v>-19573550.724637683</v>
      </c>
      <c r="F112" s="65">
        <f>-'Cost Assumptions'!G40</f>
        <v>-2122416</v>
      </c>
      <c r="G112" s="65">
        <f>-'Cost Assumptions'!H40</f>
        <v>-2164864.32</v>
      </c>
      <c r="H112" s="65">
        <f>-'Cost Assumptions'!I40</f>
        <v>-2208161.6064</v>
      </c>
      <c r="I112" s="65">
        <f>-'Cost Assumptions'!J40</f>
        <v>-2252324.838528</v>
      </c>
      <c r="J112" s="65">
        <f>-'Cost Assumptions'!K40</f>
        <v>-2297371.3352985596</v>
      </c>
      <c r="K112" s="65">
        <f>-'Cost Assumptions'!L40</f>
        <v>-2343318.762004531</v>
      </c>
      <c r="L112" s="65">
        <f>-'Cost Assumptions'!M40</f>
        <v>-2390185.1372446218</v>
      </c>
      <c r="M112" s="65">
        <f>-'Cost Assumptions'!N40</f>
        <v>-2437988.839989514</v>
      </c>
    </row>
    <row r="113" spans="2:13" ht="11.25">
      <c r="B113" s="62" t="s">
        <v>27</v>
      </c>
      <c r="C113" s="65">
        <f>C100</f>
        <v>0</v>
      </c>
      <c r="D113" s="65">
        <f>$D$72</f>
        <v>1649693.175000001</v>
      </c>
      <c r="E113" s="65">
        <f>$E$72</f>
        <v>3606803.4617549996</v>
      </c>
      <c r="F113" s="65">
        <f>$F$72</f>
        <v>5904863.370232426</v>
      </c>
      <c r="G113" s="65">
        <f>$G$72</f>
        <v>6443003.058816031</v>
      </c>
      <c r="H113" s="65">
        <f>$H$72</f>
        <v>6860159.687529306</v>
      </c>
      <c r="I113" s="65">
        <f>$I$72</f>
        <v>7173759.748321471</v>
      </c>
      <c r="J113" s="65">
        <f>$J$72</f>
        <v>7493631.594731724</v>
      </c>
      <c r="K113" s="65">
        <f>$K$72</f>
        <v>7824414.128021429</v>
      </c>
      <c r="L113" s="65">
        <f>$L$72</f>
        <v>8166450.608614568</v>
      </c>
      <c r="M113" s="66">
        <f>$M$72</f>
        <v>8520094.890870878</v>
      </c>
    </row>
    <row r="114" spans="2:13" ht="11.25">
      <c r="B114" s="62" t="s">
        <v>24</v>
      </c>
      <c r="C114" s="65">
        <f>$J$53</f>
        <v>0</v>
      </c>
      <c r="D114" s="65">
        <f>$J$54</f>
        <v>0</v>
      </c>
      <c r="E114" s="65">
        <f>$J$55</f>
        <v>432951.15000000026</v>
      </c>
      <c r="F114" s="65">
        <f>$J$56</f>
        <v>928021.4745</v>
      </c>
      <c r="G114" s="65">
        <f>$J$57</f>
        <v>1489516.1949262496</v>
      </c>
      <c r="H114" s="65">
        <f>$J$58</f>
        <v>1593395.3378501434</v>
      </c>
      <c r="I114" s="65">
        <f>$J$59</f>
        <v>1663294.9079178956</v>
      </c>
      <c r="J114" s="65">
        <f>$J$60</f>
        <v>1705224.9915366636</v>
      </c>
      <c r="K114" s="65">
        <f>$J$61</f>
        <v>1746332.8664097136</v>
      </c>
      <c r="L114" s="65"/>
      <c r="M114" s="66"/>
    </row>
    <row r="115" spans="2:13" ht="12" thickBot="1">
      <c r="B115" s="67" t="s">
        <v>23</v>
      </c>
      <c r="C115" s="68">
        <f>SUM(C112:C114)</f>
        <v>0</v>
      </c>
      <c r="D115" s="68">
        <f aca="true" t="shared" si="29" ref="D115:M115">SUM(D112:D114)</f>
        <v>-23276756.100362316</v>
      </c>
      <c r="E115" s="68">
        <f t="shared" si="29"/>
        <v>-15533796.112882683</v>
      </c>
      <c r="F115" s="68">
        <f t="shared" si="29"/>
        <v>4710468.844732426</v>
      </c>
      <c r="G115" s="68">
        <f t="shared" si="29"/>
        <v>5767654.93374228</v>
      </c>
      <c r="H115" s="68">
        <f t="shared" si="29"/>
        <v>6245393.418979449</v>
      </c>
      <c r="I115" s="68">
        <f t="shared" si="29"/>
        <v>6584729.817711366</v>
      </c>
      <c r="J115" s="68">
        <f t="shared" si="29"/>
        <v>6901485.250969828</v>
      </c>
      <c r="K115" s="68">
        <f t="shared" si="29"/>
        <v>7227428.232426612</v>
      </c>
      <c r="L115" s="68">
        <f t="shared" si="29"/>
        <v>5776265.471369946</v>
      </c>
      <c r="M115" s="69">
        <f t="shared" si="29"/>
        <v>6082106.050881364</v>
      </c>
    </row>
    <row r="116" spans="2:14" ht="11.25">
      <c r="B116" s="43"/>
      <c r="C116" s="71" t="s">
        <v>51</v>
      </c>
      <c r="D116" s="72">
        <f>NPV(0.1,D115:M115)</f>
        <v>-7217480.842216971</v>
      </c>
      <c r="E116" s="45"/>
      <c r="F116" s="43"/>
      <c r="G116" s="43"/>
      <c r="H116" s="43"/>
      <c r="I116" s="43"/>
      <c r="J116" s="43"/>
      <c r="K116" s="43"/>
      <c r="L116" s="43"/>
      <c r="M116" s="43"/>
      <c r="N116" s="43"/>
    </row>
    <row r="117" spans="2:14" ht="12" thickBot="1">
      <c r="B117" s="43"/>
      <c r="C117" s="31" t="s">
        <v>43</v>
      </c>
      <c r="D117" s="73">
        <f>IRR(D115:M115)</f>
        <v>0.04777846617877438</v>
      </c>
      <c r="E117" s="45"/>
      <c r="F117" s="43"/>
      <c r="G117" s="43"/>
      <c r="H117" s="43"/>
      <c r="I117" s="43"/>
      <c r="J117" s="43"/>
      <c r="K117" s="43"/>
      <c r="L117" s="43"/>
      <c r="M117" s="43"/>
      <c r="N117" s="43"/>
    </row>
    <row r="119" spans="2:4" ht="13.5" thickBot="1">
      <c r="B119" s="292" t="s">
        <v>55</v>
      </c>
      <c r="C119" s="293"/>
      <c r="D119" s="57">
        <f>K52</f>
        <v>0</v>
      </c>
    </row>
    <row r="120" spans="2:13" ht="11.25">
      <c r="B120" s="59"/>
      <c r="C120" s="60">
        <v>2005</v>
      </c>
      <c r="D120" s="60">
        <f aca="true" t="shared" si="30" ref="D120:M120">C120+1</f>
        <v>2006</v>
      </c>
      <c r="E120" s="60">
        <f t="shared" si="30"/>
        <v>2007</v>
      </c>
      <c r="F120" s="60">
        <f t="shared" si="30"/>
        <v>2008</v>
      </c>
      <c r="G120" s="60">
        <f t="shared" si="30"/>
        <v>2009</v>
      </c>
      <c r="H120" s="60">
        <f t="shared" si="30"/>
        <v>2010</v>
      </c>
      <c r="I120" s="60">
        <f t="shared" si="30"/>
        <v>2011</v>
      </c>
      <c r="J120" s="60">
        <f t="shared" si="30"/>
        <v>2012</v>
      </c>
      <c r="K120" s="60">
        <f t="shared" si="30"/>
        <v>2013</v>
      </c>
      <c r="L120" s="60">
        <f t="shared" si="30"/>
        <v>2014</v>
      </c>
      <c r="M120" s="61">
        <f t="shared" si="30"/>
        <v>2015</v>
      </c>
    </row>
    <row r="121" spans="2:13" ht="11.25">
      <c r="B121" s="62" t="s">
        <v>26</v>
      </c>
      <c r="C121" s="65">
        <v>0</v>
      </c>
      <c r="D121" s="65">
        <f>-Inv06</f>
        <v>-24926449.275362317</v>
      </c>
      <c r="E121" s="65">
        <f>-Inv07</f>
        <v>-19573550.724637683</v>
      </c>
      <c r="F121" s="65">
        <f>-'Cost Assumptions'!G40</f>
        <v>-2122416</v>
      </c>
      <c r="G121" s="65">
        <f>-'Cost Assumptions'!H40</f>
        <v>-2164864.32</v>
      </c>
      <c r="H121" s="65">
        <f>-'Cost Assumptions'!I40</f>
        <v>-2208161.6064</v>
      </c>
      <c r="I121" s="65">
        <f>-'Cost Assumptions'!J40</f>
        <v>-2252324.838528</v>
      </c>
      <c r="J121" s="65">
        <f>-'Cost Assumptions'!K40</f>
        <v>-2297371.3352985596</v>
      </c>
      <c r="K121" s="65">
        <f>-'Cost Assumptions'!L40</f>
        <v>-2343318.762004531</v>
      </c>
      <c r="L121" s="65">
        <f>-'Cost Assumptions'!M40</f>
        <v>-2390185.1372446218</v>
      </c>
      <c r="M121" s="65">
        <f>-'Cost Assumptions'!N40</f>
        <v>-2437988.839989514</v>
      </c>
    </row>
    <row r="122" spans="2:13" ht="11.25">
      <c r="B122" s="62" t="s">
        <v>27</v>
      </c>
      <c r="C122" s="65">
        <f>C109</f>
        <v>0</v>
      </c>
      <c r="D122" s="65">
        <f>$D$72</f>
        <v>1649693.175000001</v>
      </c>
      <c r="E122" s="65">
        <f>$E$72</f>
        <v>3606803.4617549996</v>
      </c>
      <c r="F122" s="65">
        <f>$F$72</f>
        <v>5904863.370232426</v>
      </c>
      <c r="G122" s="65">
        <f>$G$72</f>
        <v>6443003.058816031</v>
      </c>
      <c r="H122" s="65">
        <f>$H$72</f>
        <v>6860159.687529306</v>
      </c>
      <c r="I122" s="65">
        <f>$I$72</f>
        <v>7173759.748321471</v>
      </c>
      <c r="J122" s="65">
        <f>$J$72</f>
        <v>7493631.594731724</v>
      </c>
      <c r="K122" s="65">
        <f>$K$72</f>
        <v>7824414.128021429</v>
      </c>
      <c r="L122" s="65">
        <f>$L$72</f>
        <v>8166450.608614568</v>
      </c>
      <c r="M122" s="66">
        <f>$M$72</f>
        <v>8520094.890870878</v>
      </c>
    </row>
    <row r="123" spans="2:13" ht="11.25">
      <c r="B123" s="62" t="s">
        <v>24</v>
      </c>
      <c r="C123" s="65">
        <f>$K$53</f>
        <v>0</v>
      </c>
      <c r="D123" s="65">
        <f>$K$54</f>
        <v>0</v>
      </c>
      <c r="E123" s="65">
        <f>$K$55</f>
        <v>0</v>
      </c>
      <c r="F123" s="65">
        <f>$K$56</f>
        <v>0</v>
      </c>
      <c r="G123" s="65">
        <f>$K$57</f>
        <v>0</v>
      </c>
      <c r="H123" s="65">
        <f>$K$58</f>
        <v>0</v>
      </c>
      <c r="I123" s="65">
        <f>$K$59</f>
        <v>0</v>
      </c>
      <c r="J123" s="65">
        <f>$K$60</f>
        <v>0</v>
      </c>
      <c r="K123" s="65">
        <f>$K$61</f>
        <v>0</v>
      </c>
      <c r="L123" s="65"/>
      <c r="M123" s="66"/>
    </row>
    <row r="124" spans="2:13" ht="12" thickBot="1">
      <c r="B124" s="67" t="s">
        <v>23</v>
      </c>
      <c r="C124" s="68">
        <f>SUM(C121:C123)</f>
        <v>0</v>
      </c>
      <c r="D124" s="68">
        <f aca="true" t="shared" si="31" ref="D124:M124">SUM(D121:D123)</f>
        <v>-23276756.100362316</v>
      </c>
      <c r="E124" s="68">
        <f t="shared" si="31"/>
        <v>-15966747.262882683</v>
      </c>
      <c r="F124" s="68">
        <f t="shared" si="31"/>
        <v>3782447.3702324256</v>
      </c>
      <c r="G124" s="68">
        <f t="shared" si="31"/>
        <v>4278138.73881603</v>
      </c>
      <c r="H124" s="68">
        <f t="shared" si="31"/>
        <v>4651998.081129306</v>
      </c>
      <c r="I124" s="68">
        <f t="shared" si="31"/>
        <v>4921434.909793471</v>
      </c>
      <c r="J124" s="68">
        <f t="shared" si="31"/>
        <v>5196260.259433164</v>
      </c>
      <c r="K124" s="68">
        <f t="shared" si="31"/>
        <v>5481095.366016898</v>
      </c>
      <c r="L124" s="68">
        <f t="shared" si="31"/>
        <v>5776265.471369946</v>
      </c>
      <c r="M124" s="69">
        <f t="shared" si="31"/>
        <v>6082106.050881364</v>
      </c>
    </row>
    <row r="125" spans="2:14" ht="11.25">
      <c r="B125" s="43"/>
      <c r="C125" s="71" t="s">
        <v>51</v>
      </c>
      <c r="D125" s="72">
        <f>NPV(0.1,D124:M124)</f>
        <v>-12907874.555595657</v>
      </c>
      <c r="E125" s="45"/>
      <c r="F125" s="43"/>
      <c r="G125" s="43"/>
      <c r="H125" s="43"/>
      <c r="I125" s="43"/>
      <c r="J125" s="43"/>
      <c r="K125" s="43"/>
      <c r="L125" s="43"/>
      <c r="M125" s="43"/>
      <c r="N125" s="43"/>
    </row>
    <row r="126" spans="2:14" ht="12" thickBot="1">
      <c r="B126" s="43"/>
      <c r="C126" s="31" t="s">
        <v>43</v>
      </c>
      <c r="D126" s="73">
        <f>IRR($D$124:$M$124)</f>
        <v>0.004320842734923723</v>
      </c>
      <c r="E126" s="45"/>
      <c r="F126" s="43"/>
      <c r="G126" s="43"/>
      <c r="H126" s="43"/>
      <c r="I126" s="43"/>
      <c r="J126" s="43"/>
      <c r="K126" s="43"/>
      <c r="L126" s="43"/>
      <c r="M126" s="43"/>
      <c r="N126" s="43"/>
    </row>
    <row r="127" spans="3:4" ht="12" thickBot="1">
      <c r="C127" s="31" t="s">
        <v>47</v>
      </c>
      <c r="D127" s="73">
        <f>IRR($D$124:$L$124)</f>
        <v>-0.028294244611970876</v>
      </c>
    </row>
    <row r="128" spans="3:4" ht="12" thickBot="1">
      <c r="C128" s="31" t="s">
        <v>48</v>
      </c>
      <c r="D128" s="73">
        <f>IRR($D$124:$K$124)</f>
        <v>-0.07164330987231089</v>
      </c>
    </row>
    <row r="129" spans="3:4" ht="12" thickBot="1">
      <c r="C129" s="31" t="s">
        <v>45</v>
      </c>
      <c r="D129" s="73">
        <f>IRR($D$124:$J$124)</f>
        <v>-0.13083035569686177</v>
      </c>
    </row>
    <row r="130" spans="3:4" ht="12" thickBot="1">
      <c r="C130" s="31" t="s">
        <v>46</v>
      </c>
      <c r="D130" s="73">
        <f>IRR($D$124:$I$124)</f>
        <v>-0.2143389307411842</v>
      </c>
    </row>
    <row r="131" spans="3:4" ht="12" thickBot="1">
      <c r="C131" s="31" t="s">
        <v>44</v>
      </c>
      <c r="D131" s="73" t="str">
        <f>IF(ISERR(IRR($D$124:$H$124)),"Doesn't exist",IRR($D$124:$H$124))</f>
        <v>Doesn't exist</v>
      </c>
    </row>
    <row r="133" spans="3:4" ht="22.5">
      <c r="C133" s="77" t="s">
        <v>56</v>
      </c>
      <c r="D133" s="77" t="s">
        <v>57</v>
      </c>
    </row>
    <row r="134" spans="3:4" ht="11.25">
      <c r="C134" s="78">
        <f>F$52</f>
        <v>5</v>
      </c>
      <c r="D134" s="79">
        <f>D76</f>
        <v>0.20282476643173591</v>
      </c>
    </row>
    <row r="135" spans="3:4" ht="11.25">
      <c r="C135" s="78">
        <f>G$52</f>
        <v>4</v>
      </c>
      <c r="D135" s="79">
        <f>D90</f>
        <v>0.16655863197897097</v>
      </c>
    </row>
    <row r="136" spans="3:4" ht="11.25">
      <c r="C136" s="78">
        <f>H$52</f>
        <v>3</v>
      </c>
      <c r="D136" s="79">
        <f>D99</f>
        <v>0.12874674196639976</v>
      </c>
    </row>
    <row r="137" spans="3:4" ht="11.25">
      <c r="C137" s="78">
        <f>I$52</f>
        <v>2</v>
      </c>
      <c r="D137" s="79">
        <f>D108</f>
        <v>0.08921061056984785</v>
      </c>
    </row>
    <row r="138" spans="3:4" ht="11.25">
      <c r="C138" s="78">
        <f>J$52</f>
        <v>1</v>
      </c>
      <c r="D138" s="79">
        <f>D117</f>
        <v>0.04777846617877438</v>
      </c>
    </row>
    <row r="139" spans="3:4" ht="11.25">
      <c r="C139" s="78">
        <f>K$52</f>
        <v>0</v>
      </c>
      <c r="D139" s="79">
        <f>D126</f>
        <v>0.004320842734923723</v>
      </c>
    </row>
  </sheetData>
  <mergeCells count="10">
    <mergeCell ref="B69:C69"/>
    <mergeCell ref="B119:C119"/>
    <mergeCell ref="B83:C83"/>
    <mergeCell ref="B92:C92"/>
    <mergeCell ref="B101:C101"/>
    <mergeCell ref="B110:C110"/>
    <mergeCell ref="B1:H1"/>
    <mergeCell ref="D25:E25"/>
    <mergeCell ref="F25:G25"/>
    <mergeCell ref="B47:C47"/>
  </mergeCells>
  <conditionalFormatting sqref="B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B1:N139"/>
  <sheetViews>
    <sheetView workbookViewId="0" topLeftCell="A1">
      <selection activeCell="F72" sqref="F72"/>
    </sheetView>
  </sheetViews>
  <sheetFormatPr defaultColWidth="9.140625" defaultRowHeight="12.75"/>
  <cols>
    <col min="1" max="1" width="0.9921875" style="16" customWidth="1"/>
    <col min="2" max="2" width="13.57421875" style="16" bestFit="1" customWidth="1"/>
    <col min="3" max="3" width="15.140625" style="16" bestFit="1" customWidth="1"/>
    <col min="4" max="4" width="13.8515625" style="16" bestFit="1" customWidth="1"/>
    <col min="5" max="5" width="15.8515625" style="16" bestFit="1" customWidth="1"/>
    <col min="6" max="6" width="12.140625" style="16" bestFit="1" customWidth="1"/>
    <col min="7" max="8" width="12.421875" style="16" bestFit="1" customWidth="1"/>
    <col min="9" max="9" width="14.140625" style="16" bestFit="1" customWidth="1"/>
    <col min="10" max="10" width="14.57421875" style="16" bestFit="1" customWidth="1"/>
    <col min="11" max="11" width="12.421875" style="16" bestFit="1" customWidth="1"/>
    <col min="12" max="13" width="12.28125" style="16" customWidth="1"/>
    <col min="14" max="14" width="12.57421875" style="16" customWidth="1"/>
    <col min="15" max="15" width="11.421875" style="16" customWidth="1"/>
    <col min="16" max="16384" width="9.140625" style="16" customWidth="1"/>
  </cols>
  <sheetData>
    <row r="1" spans="2:8" ht="12.75">
      <c r="B1" s="275">
        <f>IF('ERR &amp; Sensitivity Analysis'!$I$10="N","Note: Current calculations are based on user input and are not the original MCC estimates.",IF('ERR &amp; Sensitivity Analysis'!$I$11="N","Note: Current calculations are based on user input and are not the original MCC estimates.",0))</f>
        <v>0</v>
      </c>
      <c r="C1" s="275"/>
      <c r="D1" s="275"/>
      <c r="E1" s="275"/>
      <c r="F1" s="275"/>
      <c r="G1" s="275"/>
      <c r="H1" s="275"/>
    </row>
    <row r="2" s="94" customFormat="1" ht="20.25">
      <c r="B2" s="112" t="s">
        <v>109</v>
      </c>
    </row>
    <row r="3" s="94" customFormat="1" ht="20.25">
      <c r="B3" s="112"/>
    </row>
    <row r="4" ht="5.25" customHeight="1" thickBot="1"/>
    <row r="5" spans="2:11" ht="38.25">
      <c r="B5" s="17" t="s">
        <v>22</v>
      </c>
      <c r="C5" s="18" t="str">
        <f>Demand!C33</f>
        <v>Chemical Plant</v>
      </c>
      <c r="D5" s="18" t="str">
        <f>Demand!D33</f>
        <v>Power</v>
      </c>
      <c r="E5" s="18" t="str">
        <f>Demand!E33</f>
        <v>Tbilgazi</v>
      </c>
      <c r="F5" s="18" t="str">
        <f>Demand!F33</f>
        <v>Saktsementi</v>
      </c>
      <c r="G5" s="18" t="str">
        <f>Demand!G33</f>
        <v>Itera</v>
      </c>
      <c r="H5" s="18" t="str">
        <f>Demand!H33</f>
        <v>West Georgia</v>
      </c>
      <c r="I5" s="18" t="str">
        <f>Demand!I33</f>
        <v>Transit Armenia</v>
      </c>
      <c r="J5" s="19" t="s">
        <v>32</v>
      </c>
      <c r="K5" s="91" t="s">
        <v>90</v>
      </c>
    </row>
    <row r="6" spans="2:13" ht="12.75">
      <c r="B6" s="20">
        <f>Demand!A34</f>
        <v>2004</v>
      </c>
      <c r="C6" s="21">
        <f>Demand!C89</f>
        <v>0.21</v>
      </c>
      <c r="D6" s="21">
        <f>Demand!D89</f>
        <v>0.248</v>
      </c>
      <c r="E6" s="21">
        <f>Demand!E89</f>
        <v>0.356</v>
      </c>
      <c r="F6" s="21">
        <f>Demand!F89</f>
        <v>0.115</v>
      </c>
      <c r="G6" s="21">
        <f>Demand!G89</f>
        <v>0.1</v>
      </c>
      <c r="H6" s="21">
        <f>Demand!H89</f>
        <v>0</v>
      </c>
      <c r="I6" s="21">
        <f>Demand!I89</f>
        <v>1</v>
      </c>
      <c r="J6" s="22">
        <f aca="true" t="shared" si="0" ref="J6:J22">SUM(C6:I6)</f>
        <v>2.029</v>
      </c>
      <c r="K6" s="80"/>
      <c r="L6" s="23"/>
      <c r="M6" s="23"/>
    </row>
    <row r="7" spans="2:13" ht="12.75">
      <c r="B7" s="20">
        <f>Demand!A35</f>
        <v>2005</v>
      </c>
      <c r="C7" s="21">
        <f>Demand!C90</f>
        <v>0.25</v>
      </c>
      <c r="D7" s="21">
        <f>Demand!D90</f>
        <v>0.3</v>
      </c>
      <c r="E7" s="21">
        <f>Demand!E90</f>
        <v>0.39</v>
      </c>
      <c r="F7" s="21">
        <f>Demand!F90</f>
        <v>0.18</v>
      </c>
      <c r="G7" s="21">
        <f>Demand!G90</f>
        <v>0.11</v>
      </c>
      <c r="H7" s="21">
        <f>Demand!H90</f>
        <v>0.05</v>
      </c>
      <c r="I7" s="21">
        <f>Demand!I90</f>
        <v>1.015</v>
      </c>
      <c r="J7" s="22">
        <f t="shared" si="0"/>
        <v>2.295</v>
      </c>
      <c r="K7" s="104">
        <f>(J7-J6)/J6</f>
        <v>0.13109906357811732</v>
      </c>
      <c r="L7" s="23"/>
      <c r="M7" s="23"/>
    </row>
    <row r="8" spans="2:13" ht="12.75">
      <c r="B8" s="20">
        <f>Demand!A36</f>
        <v>2006</v>
      </c>
      <c r="C8" s="21">
        <f>Demand!C91</f>
        <v>0.3</v>
      </c>
      <c r="D8" s="21">
        <f>Demand!D91</f>
        <v>0.35</v>
      </c>
      <c r="E8" s="21">
        <f>Demand!E91</f>
        <v>0.42</v>
      </c>
      <c r="F8" s="21">
        <f>Demand!F91</f>
        <v>0.198</v>
      </c>
      <c r="G8" s="21">
        <f>Demand!G91</f>
        <v>0.12</v>
      </c>
      <c r="H8" s="21">
        <f>Demand!H91</f>
        <v>0.07</v>
      </c>
      <c r="I8" s="21">
        <f>Demand!I91</f>
        <v>1.0302249999999997</v>
      </c>
      <c r="J8" s="22">
        <f t="shared" si="0"/>
        <v>2.488225</v>
      </c>
      <c r="K8" s="104">
        <f aca="true" t="shared" si="1" ref="K8:K22">(J8-J7)/J7</f>
        <v>0.08419389978213507</v>
      </c>
      <c r="L8" s="23"/>
      <c r="M8" s="23"/>
    </row>
    <row r="9" spans="2:11" ht="12.75">
      <c r="B9" s="20">
        <f>Demand!A37</f>
        <v>2007</v>
      </c>
      <c r="C9" s="21">
        <f>Demand!C92</f>
        <v>0.35</v>
      </c>
      <c r="D9" s="21">
        <f>Demand!D92</f>
        <v>0.4</v>
      </c>
      <c r="E9" s="21">
        <f>Demand!E92</f>
        <v>0.46</v>
      </c>
      <c r="F9" s="21">
        <f>Demand!F92</f>
        <v>0.2</v>
      </c>
      <c r="G9" s="21">
        <f>Demand!G92</f>
        <v>0.14</v>
      </c>
      <c r="H9" s="21">
        <f>Demand!H92</f>
        <v>0.07105</v>
      </c>
      <c r="I9" s="21">
        <f>Demand!I92</f>
        <v>1.0456783749999996</v>
      </c>
      <c r="J9" s="22">
        <f t="shared" si="0"/>
        <v>2.6667283749999995</v>
      </c>
      <c r="K9" s="104">
        <f t="shared" si="1"/>
        <v>0.07173924182901449</v>
      </c>
    </row>
    <row r="10" spans="2:11" ht="12.75">
      <c r="B10" s="20">
        <f>Demand!A38</f>
        <v>2008</v>
      </c>
      <c r="C10" s="21">
        <f>Demand!C93</f>
        <v>0.4</v>
      </c>
      <c r="D10" s="21">
        <f>Demand!D93</f>
        <v>0.45</v>
      </c>
      <c r="E10" s="21">
        <f>Demand!E93</f>
        <v>0.5</v>
      </c>
      <c r="F10" s="21">
        <f>Demand!F93</f>
        <v>0.22</v>
      </c>
      <c r="G10" s="21">
        <f>Demand!G93</f>
        <v>0.15</v>
      </c>
      <c r="H10" s="21">
        <f>Demand!H93</f>
        <v>0.07211574999999999</v>
      </c>
      <c r="I10" s="21">
        <f>Demand!I93</f>
        <v>1.0613635506249994</v>
      </c>
      <c r="J10" s="22">
        <f t="shared" si="0"/>
        <v>2.8534793006249997</v>
      </c>
      <c r="K10" s="104">
        <f t="shared" si="1"/>
        <v>0.07002997657194847</v>
      </c>
    </row>
    <row r="11" spans="2:11" ht="12.75">
      <c r="B11" s="20">
        <f>Demand!A39</f>
        <v>2009</v>
      </c>
      <c r="C11" s="21">
        <f>Demand!C94</f>
        <v>0.45</v>
      </c>
      <c r="D11" s="21">
        <f>Demand!D94</f>
        <v>0.5</v>
      </c>
      <c r="E11" s="21">
        <f>Demand!E94</f>
        <v>0.55</v>
      </c>
      <c r="F11" s="21">
        <f>Demand!F94</f>
        <v>0.242</v>
      </c>
      <c r="G11" s="21">
        <f>Demand!G94</f>
        <v>0.16</v>
      </c>
      <c r="H11" s="21">
        <f>Demand!H94</f>
        <v>0.07319748624999999</v>
      </c>
      <c r="I11" s="21">
        <f>Demand!I94</f>
        <v>1.0772840038843743</v>
      </c>
      <c r="J11" s="22">
        <f t="shared" si="0"/>
        <v>3.052481490134374</v>
      </c>
      <c r="K11" s="104">
        <f t="shared" si="1"/>
        <v>0.06974019032336662</v>
      </c>
    </row>
    <row r="12" spans="2:11" ht="12.75">
      <c r="B12" s="20">
        <f>Demand!A40</f>
        <v>2010</v>
      </c>
      <c r="C12" s="21">
        <f>Demand!C95</f>
        <v>0.5</v>
      </c>
      <c r="D12" s="21">
        <f>Demand!D95</f>
        <v>0.55</v>
      </c>
      <c r="E12" s="21">
        <f>Demand!E95</f>
        <v>0.55825</v>
      </c>
      <c r="F12" s="21">
        <f>Demand!F95</f>
        <v>0.248</v>
      </c>
      <c r="G12" s="21">
        <f>Demand!G95</f>
        <v>0.1624</v>
      </c>
      <c r="H12" s="21">
        <f>Demand!H95</f>
        <v>0.07429544854374998</v>
      </c>
      <c r="I12" s="21">
        <f>Demand!I95</f>
        <v>1.0934432639426397</v>
      </c>
      <c r="J12" s="22">
        <f t="shared" si="0"/>
        <v>3.18638871248639</v>
      </c>
      <c r="K12" s="104">
        <f t="shared" si="1"/>
        <v>0.04386831592093321</v>
      </c>
    </row>
    <row r="13" spans="2:11" ht="12.75">
      <c r="B13" s="20">
        <f>Demand!A41</f>
        <v>2011</v>
      </c>
      <c r="C13" s="21">
        <f>Demand!C96</f>
        <v>0.55</v>
      </c>
      <c r="D13" s="21">
        <f>Demand!D96</f>
        <v>0.55</v>
      </c>
      <c r="E13" s="21">
        <f>Demand!E96</f>
        <v>0.56662375</v>
      </c>
      <c r="F13" s="21">
        <f>Demand!F96</f>
        <v>0.25</v>
      </c>
      <c r="G13" s="21">
        <f>Demand!G96</f>
        <v>0.16483599999999998</v>
      </c>
      <c r="H13" s="21">
        <f>Demand!H96</f>
        <v>0.07540988027190622</v>
      </c>
      <c r="I13" s="21">
        <f>Demand!I96</f>
        <v>1.1098449129017791</v>
      </c>
      <c r="J13" s="22">
        <f t="shared" si="0"/>
        <v>3.266714543173685</v>
      </c>
      <c r="K13" s="104">
        <f t="shared" si="1"/>
        <v>0.02520904947112232</v>
      </c>
    </row>
    <row r="14" spans="2:11" ht="12.75">
      <c r="B14" s="20">
        <f>Demand!A42</f>
        <v>2012</v>
      </c>
      <c r="C14" s="21">
        <f>Demand!C97</f>
        <v>0.6</v>
      </c>
      <c r="D14" s="21">
        <f>Demand!D97</f>
        <v>0.55</v>
      </c>
      <c r="E14" s="21">
        <f>Demand!E97</f>
        <v>0.57512310625</v>
      </c>
      <c r="F14" s="21">
        <f>Demand!F97</f>
        <v>0.25</v>
      </c>
      <c r="G14" s="21">
        <f>Demand!G97</f>
        <v>0.16730853999999998</v>
      </c>
      <c r="H14" s="21">
        <f>Demand!H97</f>
        <v>0.0765410284759848</v>
      </c>
      <c r="I14" s="21">
        <f>Demand!I97</f>
        <v>1.1264925865953057</v>
      </c>
      <c r="J14" s="22">
        <f t="shared" si="0"/>
        <v>3.3454652613212907</v>
      </c>
      <c r="K14" s="104">
        <f t="shared" si="1"/>
        <v>0.024107009384143386</v>
      </c>
    </row>
    <row r="15" spans="2:11" ht="12.75">
      <c r="B15" s="20">
        <f>Demand!A43</f>
        <v>2013</v>
      </c>
      <c r="C15" s="21">
        <f>Demand!C98</f>
        <v>0.65</v>
      </c>
      <c r="D15" s="21">
        <f>Demand!D98</f>
        <v>0.55</v>
      </c>
      <c r="E15" s="21">
        <f>Demand!E98</f>
        <v>0.5837499528437499</v>
      </c>
      <c r="F15" s="21">
        <f>Demand!F98</f>
        <v>0.25</v>
      </c>
      <c r="G15" s="21">
        <f>Demand!G98</f>
        <v>0.16981816809999997</v>
      </c>
      <c r="H15" s="21">
        <f>Demand!H98</f>
        <v>0.07768914390312456</v>
      </c>
      <c r="I15" s="21">
        <f>Demand!I98</f>
        <v>1.1433899753942351</v>
      </c>
      <c r="J15" s="22">
        <f t="shared" si="0"/>
        <v>3.4246472402411094</v>
      </c>
      <c r="K15" s="104">
        <f t="shared" si="1"/>
        <v>0.0236684504948486</v>
      </c>
    </row>
    <row r="16" spans="2:11" ht="12.75">
      <c r="B16" s="20">
        <f>Demand!A44</f>
        <v>2014</v>
      </c>
      <c r="C16" s="21">
        <f>Demand!C99</f>
        <v>0.7</v>
      </c>
      <c r="D16" s="21">
        <f>Demand!D99</f>
        <v>0.55</v>
      </c>
      <c r="E16" s="21">
        <f>Demand!E99</f>
        <v>0.592506202136406</v>
      </c>
      <c r="F16" s="21">
        <f>Demand!F99</f>
        <v>0.25</v>
      </c>
      <c r="G16" s="21">
        <f>Demand!G99</f>
        <v>0.17236544062149994</v>
      </c>
      <c r="H16" s="21">
        <f>Demand!H99</f>
        <v>0.07885448106167142</v>
      </c>
      <c r="I16" s="21">
        <f>Demand!I99</f>
        <v>1.1605408250251485</v>
      </c>
      <c r="J16" s="22">
        <f t="shared" si="0"/>
        <v>3.504266948844726</v>
      </c>
      <c r="K16" s="104">
        <f t="shared" si="1"/>
        <v>0.02324902479532776</v>
      </c>
    </row>
    <row r="17" spans="2:11" ht="12.75">
      <c r="B17" s="20">
        <f>Demand!A45</f>
        <v>2015</v>
      </c>
      <c r="C17" s="21">
        <f>Demand!C100</f>
        <v>0.75</v>
      </c>
      <c r="D17" s="21">
        <f>Demand!D100</f>
        <v>0.55</v>
      </c>
      <c r="E17" s="21">
        <f>Demand!E100</f>
        <v>0.601393795168452</v>
      </c>
      <c r="F17" s="21">
        <f>Demand!F100</f>
        <v>0.25</v>
      </c>
      <c r="G17" s="21">
        <f>Demand!G100</f>
        <v>0.17495092223082243</v>
      </c>
      <c r="H17" s="21">
        <f>Demand!H100</f>
        <v>0.08003729827759648</v>
      </c>
      <c r="I17" s="21">
        <f>Demand!I100</f>
        <v>1.1779489374005256</v>
      </c>
      <c r="J17" s="22">
        <f t="shared" si="0"/>
        <v>3.584330953077396</v>
      </c>
      <c r="K17" s="104">
        <f t="shared" si="1"/>
        <v>0.022847575656034298</v>
      </c>
    </row>
    <row r="18" spans="2:11" ht="12.75">
      <c r="B18" s="20">
        <f>Demand!A46</f>
        <v>2016</v>
      </c>
      <c r="C18" s="21">
        <f>Demand!C101</f>
        <v>0.75</v>
      </c>
      <c r="D18" s="21">
        <f>Demand!D101</f>
        <v>0.55</v>
      </c>
      <c r="E18" s="21">
        <f>Demand!E101</f>
        <v>0.6104147020959788</v>
      </c>
      <c r="F18" s="21">
        <f>Demand!F101</f>
        <v>0.25</v>
      </c>
      <c r="G18" s="21">
        <f>Demand!G101</f>
        <v>0.17757518606428474</v>
      </c>
      <c r="H18" s="21">
        <f>Demand!H101</f>
        <v>0.08123785775176041</v>
      </c>
      <c r="I18" s="21">
        <f>Demand!I101</f>
        <v>1.1956181714615335</v>
      </c>
      <c r="J18" s="22">
        <f t="shared" si="0"/>
        <v>3.614845917373558</v>
      </c>
      <c r="K18" s="104">
        <f t="shared" si="1"/>
        <v>0.008513433802747074</v>
      </c>
    </row>
    <row r="19" spans="2:11" ht="12.75">
      <c r="B19" s="20">
        <f>Demand!A47</f>
        <v>2017</v>
      </c>
      <c r="C19" s="21">
        <f>Demand!C102</f>
        <v>0.75</v>
      </c>
      <c r="D19" s="21">
        <f>Demand!D102</f>
        <v>0.55</v>
      </c>
      <c r="E19" s="21">
        <f>Demand!E102</f>
        <v>0.6195709226274184</v>
      </c>
      <c r="F19" s="21">
        <f>Demand!F102</f>
        <v>0.25</v>
      </c>
      <c r="G19" s="21">
        <f>Demand!G102</f>
        <v>0.18023881385524898</v>
      </c>
      <c r="H19" s="21">
        <f>Demand!H102</f>
        <v>0.08245642561803682</v>
      </c>
      <c r="I19" s="21">
        <f>Demand!I102</f>
        <v>1.2135524440334564</v>
      </c>
      <c r="J19" s="22">
        <f t="shared" si="0"/>
        <v>3.645818606134161</v>
      </c>
      <c r="K19" s="104">
        <f t="shared" si="1"/>
        <v>0.008568190586421137</v>
      </c>
    </row>
    <row r="20" spans="2:11" ht="12.75">
      <c r="B20" s="20">
        <f>Demand!A48</f>
        <v>2018</v>
      </c>
      <c r="C20" s="21">
        <f>Demand!C103</f>
        <v>0.75</v>
      </c>
      <c r="D20" s="21">
        <f>Demand!D103</f>
        <v>0.55</v>
      </c>
      <c r="E20" s="21">
        <f>Demand!E103</f>
        <v>0.6288644864668297</v>
      </c>
      <c r="F20" s="21">
        <f>Demand!F103</f>
        <v>0.25</v>
      </c>
      <c r="G20" s="21">
        <f>Demand!G103</f>
        <v>0.1829423960630777</v>
      </c>
      <c r="H20" s="21">
        <f>Demand!H103</f>
        <v>0.08369327200230736</v>
      </c>
      <c r="I20" s="21">
        <f>Demand!I103</f>
        <v>1.2317557306939582</v>
      </c>
      <c r="J20" s="22">
        <f t="shared" si="0"/>
        <v>3.677255885226173</v>
      </c>
      <c r="K20" s="104">
        <f t="shared" si="1"/>
        <v>0.008622831382537319</v>
      </c>
    </row>
    <row r="21" spans="2:11" ht="12.75">
      <c r="B21" s="20">
        <f>Demand!A49</f>
        <v>2019</v>
      </c>
      <c r="C21" s="21">
        <f>Demand!C104</f>
        <v>0.75</v>
      </c>
      <c r="D21" s="21">
        <f>Demand!D104</f>
        <v>0.55</v>
      </c>
      <c r="E21" s="21">
        <f>Demand!E104</f>
        <v>0.6382974537638321</v>
      </c>
      <c r="F21" s="21">
        <f>Demand!F104</f>
        <v>0.25</v>
      </c>
      <c r="G21" s="21">
        <f>Demand!G104</f>
        <v>0.18568653200402382</v>
      </c>
      <c r="H21" s="21">
        <f>Demand!H104</f>
        <v>0.08494867108234197</v>
      </c>
      <c r="I21" s="21">
        <f>Demand!I104</f>
        <v>1.2502320666543674</v>
      </c>
      <c r="J21" s="22">
        <f t="shared" si="0"/>
        <v>3.7091647235045655</v>
      </c>
      <c r="K21" s="104">
        <f t="shared" si="1"/>
        <v>0.008677350522869567</v>
      </c>
    </row>
    <row r="22" spans="2:11" ht="12.75">
      <c r="B22" s="20">
        <f>Demand!A50</f>
        <v>2020</v>
      </c>
      <c r="C22" s="21">
        <f>Demand!C105</f>
        <v>0.75</v>
      </c>
      <c r="D22" s="21">
        <f>Demand!D105</f>
        <v>0.55</v>
      </c>
      <c r="E22" s="21">
        <f>Demand!E105</f>
        <v>0.6478719155702894</v>
      </c>
      <c r="F22" s="21">
        <f>Demand!F105</f>
        <v>0.25</v>
      </c>
      <c r="G22" s="21">
        <f>Demand!G105</f>
        <v>0.18847182998408415</v>
      </c>
      <c r="H22" s="21">
        <f>Demand!H105</f>
        <v>0.08622290114857709</v>
      </c>
      <c r="I22" s="21">
        <f>Demand!I105</f>
        <v>1.2689855476541827</v>
      </c>
      <c r="J22" s="22">
        <f t="shared" si="0"/>
        <v>3.741552194357133</v>
      </c>
      <c r="K22" s="104">
        <f t="shared" si="1"/>
        <v>0.0087317423913076</v>
      </c>
    </row>
    <row r="23" spans="2:10" ht="11.25">
      <c r="B23" s="99"/>
      <c r="C23" s="100"/>
      <c r="D23" s="100"/>
      <c r="E23" s="100"/>
      <c r="F23" s="100"/>
      <c r="G23" s="100"/>
      <c r="H23" s="100"/>
      <c r="I23" s="100"/>
      <c r="J23" s="100"/>
    </row>
    <row r="24" spans="2:7" ht="13.5" thickBot="1">
      <c r="B24" s="101" t="s">
        <v>69</v>
      </c>
      <c r="C24" s="24"/>
      <c r="D24" s="24"/>
      <c r="E24" s="24"/>
      <c r="F24" s="24"/>
      <c r="G24" s="24"/>
    </row>
    <row r="25" spans="2:13" ht="48" customHeight="1">
      <c r="B25" s="17" t="s">
        <v>22</v>
      </c>
      <c r="C25" s="18" t="s">
        <v>32</v>
      </c>
      <c r="D25" s="281" t="s">
        <v>31</v>
      </c>
      <c r="E25" s="281"/>
      <c r="F25" s="281" t="s">
        <v>33</v>
      </c>
      <c r="G25" s="281"/>
      <c r="H25" s="18" t="s">
        <v>53</v>
      </c>
      <c r="I25" s="18" t="s">
        <v>42</v>
      </c>
      <c r="J25" s="19" t="s">
        <v>52</v>
      </c>
      <c r="K25" s="294" t="s">
        <v>93</v>
      </c>
      <c r="L25" s="295"/>
      <c r="M25" s="296"/>
    </row>
    <row r="26" spans="2:13" ht="11.25">
      <c r="B26" s="25">
        <f aca="true" t="shared" si="2" ref="B26:B42">B6</f>
        <v>2004</v>
      </c>
      <c r="C26" s="21">
        <f aca="true" t="shared" si="3" ref="C26:C42">J6</f>
        <v>2.029</v>
      </c>
      <c r="D26" s="26">
        <v>0.05</v>
      </c>
      <c r="E26" s="27">
        <f aca="true" t="shared" si="4" ref="E26:E42">D26*1000000*C26</f>
        <v>101450</v>
      </c>
      <c r="F26" s="28">
        <v>0.05</v>
      </c>
      <c r="G26" s="27">
        <f aca="true" t="shared" si="5" ref="G26:G42">F26*C26*1000000</f>
        <v>101450</v>
      </c>
      <c r="H26" s="27">
        <f aca="true" t="shared" si="6" ref="H26:H42">E26-G26</f>
        <v>0</v>
      </c>
      <c r="I26" s="29">
        <v>65</v>
      </c>
      <c r="J26" s="30">
        <f aca="true" t="shared" si="7" ref="J26:J42">I26*H26</f>
        <v>0</v>
      </c>
      <c r="K26" s="105" t="s">
        <v>94</v>
      </c>
      <c r="L26" s="105" t="s">
        <v>95</v>
      </c>
      <c r="M26" s="105" t="s">
        <v>96</v>
      </c>
    </row>
    <row r="27" spans="2:13" ht="11.25">
      <c r="B27" s="25">
        <f t="shared" si="2"/>
        <v>2005</v>
      </c>
      <c r="C27" s="21">
        <f t="shared" si="3"/>
        <v>2.295</v>
      </c>
      <c r="D27" s="26">
        <v>0.05</v>
      </c>
      <c r="E27" s="27">
        <f t="shared" si="4"/>
        <v>114750</v>
      </c>
      <c r="F27" s="28">
        <v>0.05</v>
      </c>
      <c r="G27" s="27">
        <f t="shared" si="5"/>
        <v>114750</v>
      </c>
      <c r="H27" s="27">
        <f t="shared" si="6"/>
        <v>0</v>
      </c>
      <c r="I27" s="29">
        <v>65</v>
      </c>
      <c r="J27" s="30">
        <f t="shared" si="7"/>
        <v>0</v>
      </c>
      <c r="K27" s="105"/>
      <c r="L27" s="106" t="s">
        <v>97</v>
      </c>
      <c r="M27" s="106" t="s">
        <v>98</v>
      </c>
    </row>
    <row r="28" spans="2:13" ht="11.25">
      <c r="B28" s="25">
        <f t="shared" si="2"/>
        <v>2006</v>
      </c>
      <c r="C28" s="21">
        <f t="shared" si="3"/>
        <v>2.488225</v>
      </c>
      <c r="D28" s="26">
        <v>0.05</v>
      </c>
      <c r="E28" s="27">
        <f t="shared" si="4"/>
        <v>124411.25</v>
      </c>
      <c r="F28" s="28">
        <v>0.04</v>
      </c>
      <c r="G28" s="27">
        <f t="shared" si="5"/>
        <v>99528.99999999999</v>
      </c>
      <c r="H28" s="27">
        <f t="shared" si="6"/>
        <v>24882.250000000015</v>
      </c>
      <c r="I28" s="29">
        <f aca="true" t="shared" si="8" ref="I28:I42">I27*1.02</f>
        <v>66.3</v>
      </c>
      <c r="J28" s="30">
        <f t="shared" si="7"/>
        <v>1649693.175000001</v>
      </c>
      <c r="K28" s="107">
        <v>0.0075</v>
      </c>
      <c r="L28" s="108">
        <f>K28*C28*1000000000</f>
        <v>18661687.5</v>
      </c>
      <c r="M28" s="109">
        <f>L28*$D$46/1000</f>
        <v>324713.3625</v>
      </c>
    </row>
    <row r="29" spans="2:13" ht="11.25">
      <c r="B29" s="25">
        <f t="shared" si="2"/>
        <v>2007</v>
      </c>
      <c r="C29" s="21">
        <f t="shared" si="3"/>
        <v>2.6667283749999995</v>
      </c>
      <c r="D29" s="26">
        <v>0.05</v>
      </c>
      <c r="E29" s="27">
        <f t="shared" si="4"/>
        <v>133336.41874999998</v>
      </c>
      <c r="F29" s="28">
        <v>0.03</v>
      </c>
      <c r="G29" s="27">
        <f t="shared" si="5"/>
        <v>80001.85124999998</v>
      </c>
      <c r="H29" s="27">
        <f t="shared" si="6"/>
        <v>53334.567500000005</v>
      </c>
      <c r="I29" s="29">
        <f t="shared" si="8"/>
        <v>67.626</v>
      </c>
      <c r="J29" s="30">
        <f t="shared" si="7"/>
        <v>3606803.4617550005</v>
      </c>
      <c r="K29" s="107">
        <v>0.015</v>
      </c>
      <c r="L29" s="108">
        <f aca="true" t="shared" si="9" ref="L29:L42">K29*C29*1000000000</f>
        <v>40000925.62499999</v>
      </c>
      <c r="M29" s="109">
        <f aca="true" t="shared" si="10" ref="M29:M42">L29*$D$46/1000</f>
        <v>696016.1058749998</v>
      </c>
    </row>
    <row r="30" spans="2:13" ht="11.25">
      <c r="B30" s="25">
        <f t="shared" si="2"/>
        <v>2008</v>
      </c>
      <c r="C30" s="21">
        <f t="shared" si="3"/>
        <v>2.8534793006249997</v>
      </c>
      <c r="D30" s="26">
        <v>0.05</v>
      </c>
      <c r="E30" s="27">
        <f t="shared" si="4"/>
        <v>142673.96503124997</v>
      </c>
      <c r="F30" s="28">
        <v>0.02</v>
      </c>
      <c r="G30" s="27">
        <f t="shared" si="5"/>
        <v>57069.58601249999</v>
      </c>
      <c r="H30" s="27">
        <f t="shared" si="6"/>
        <v>85604.37901874998</v>
      </c>
      <c r="I30" s="29">
        <f t="shared" si="8"/>
        <v>68.97852</v>
      </c>
      <c r="J30" s="30">
        <f t="shared" si="7"/>
        <v>5904863.370232427</v>
      </c>
      <c r="K30" s="107">
        <v>0.0225</v>
      </c>
      <c r="L30" s="108">
        <f t="shared" si="9"/>
        <v>64203284.264062494</v>
      </c>
      <c r="M30" s="109">
        <f t="shared" si="10"/>
        <v>1117137.1461946873</v>
      </c>
    </row>
    <row r="31" spans="2:13" ht="11.25">
      <c r="B31" s="25">
        <f t="shared" si="2"/>
        <v>2009</v>
      </c>
      <c r="C31" s="21">
        <f t="shared" si="3"/>
        <v>3.052481490134374</v>
      </c>
      <c r="D31" s="26">
        <v>0.05</v>
      </c>
      <c r="E31" s="27">
        <f t="shared" si="4"/>
        <v>152624.07450671872</v>
      </c>
      <c r="F31" s="28">
        <v>0.02</v>
      </c>
      <c r="G31" s="27">
        <f t="shared" si="5"/>
        <v>61049.62980268749</v>
      </c>
      <c r="H31" s="27">
        <f t="shared" si="6"/>
        <v>91574.44470403124</v>
      </c>
      <c r="I31" s="29">
        <f t="shared" si="8"/>
        <v>70.35809040000001</v>
      </c>
      <c r="J31" s="30">
        <f t="shared" si="7"/>
        <v>6443003.058816032</v>
      </c>
      <c r="K31" s="107">
        <v>0.0225</v>
      </c>
      <c r="L31" s="108">
        <f t="shared" si="9"/>
        <v>68680833.5280234</v>
      </c>
      <c r="M31" s="109">
        <f t="shared" si="10"/>
        <v>1195046.5033876072</v>
      </c>
    </row>
    <row r="32" spans="2:13" ht="11.25">
      <c r="B32" s="25">
        <f t="shared" si="2"/>
        <v>2010</v>
      </c>
      <c r="C32" s="21">
        <f t="shared" si="3"/>
        <v>3.18638871248639</v>
      </c>
      <c r="D32" s="26">
        <v>0.05</v>
      </c>
      <c r="E32" s="27">
        <f t="shared" si="4"/>
        <v>159319.4356243195</v>
      </c>
      <c r="F32" s="28">
        <v>0.02</v>
      </c>
      <c r="G32" s="27">
        <f t="shared" si="5"/>
        <v>63727.774249727794</v>
      </c>
      <c r="H32" s="27">
        <f t="shared" si="6"/>
        <v>95591.66137459171</v>
      </c>
      <c r="I32" s="29">
        <f t="shared" si="8"/>
        <v>71.765252208</v>
      </c>
      <c r="J32" s="30">
        <f t="shared" si="7"/>
        <v>6860159.687529307</v>
      </c>
      <c r="K32" s="107">
        <v>0.0225</v>
      </c>
      <c r="L32" s="108">
        <f t="shared" si="9"/>
        <v>71693746.03094377</v>
      </c>
      <c r="M32" s="109">
        <f t="shared" si="10"/>
        <v>1247471.1809384215</v>
      </c>
    </row>
    <row r="33" spans="2:13" ht="11.25">
      <c r="B33" s="25">
        <f t="shared" si="2"/>
        <v>2011</v>
      </c>
      <c r="C33" s="21">
        <f t="shared" si="3"/>
        <v>3.266714543173685</v>
      </c>
      <c r="D33" s="26">
        <v>0.05</v>
      </c>
      <c r="E33" s="27">
        <f t="shared" si="4"/>
        <v>163335.72715868425</v>
      </c>
      <c r="F33" s="28">
        <v>0.02</v>
      </c>
      <c r="G33" s="27">
        <f t="shared" si="5"/>
        <v>65334.290863473696</v>
      </c>
      <c r="H33" s="27">
        <f t="shared" si="6"/>
        <v>98001.43629521056</v>
      </c>
      <c r="I33" s="29">
        <f t="shared" si="8"/>
        <v>73.20055725216001</v>
      </c>
      <c r="J33" s="30">
        <f t="shared" si="7"/>
        <v>7173759.748321473</v>
      </c>
      <c r="K33" s="107">
        <v>0.0225</v>
      </c>
      <c r="L33" s="108">
        <f t="shared" si="9"/>
        <v>73501077.2214079</v>
      </c>
      <c r="M33" s="109">
        <f t="shared" si="10"/>
        <v>1278918.7436524974</v>
      </c>
    </row>
    <row r="34" spans="2:13" ht="11.25">
      <c r="B34" s="25">
        <f t="shared" si="2"/>
        <v>2012</v>
      </c>
      <c r="C34" s="21">
        <f t="shared" si="3"/>
        <v>3.3454652613212907</v>
      </c>
      <c r="D34" s="26">
        <v>0.05</v>
      </c>
      <c r="E34" s="27">
        <f t="shared" si="4"/>
        <v>167273.26306606454</v>
      </c>
      <c r="F34" s="28">
        <v>0.02</v>
      </c>
      <c r="G34" s="27">
        <f t="shared" si="5"/>
        <v>66909.30522642581</v>
      </c>
      <c r="H34" s="27">
        <f t="shared" si="6"/>
        <v>100363.95783963872</v>
      </c>
      <c r="I34" s="29">
        <f t="shared" si="8"/>
        <v>74.66456839720321</v>
      </c>
      <c r="J34" s="30">
        <f t="shared" si="7"/>
        <v>7493631.594731725</v>
      </c>
      <c r="K34" s="107">
        <v>0.0225</v>
      </c>
      <c r="L34" s="108">
        <f t="shared" si="9"/>
        <v>75272968.37972903</v>
      </c>
      <c r="M34" s="109">
        <f t="shared" si="10"/>
        <v>1309749.649807285</v>
      </c>
    </row>
    <row r="35" spans="2:13" ht="11.25">
      <c r="B35" s="25">
        <f t="shared" si="2"/>
        <v>2013</v>
      </c>
      <c r="C35" s="21">
        <f t="shared" si="3"/>
        <v>3.4246472402411094</v>
      </c>
      <c r="D35" s="26">
        <v>0.05</v>
      </c>
      <c r="E35" s="27">
        <f t="shared" si="4"/>
        <v>171232.36201205547</v>
      </c>
      <c r="F35" s="28">
        <v>0.02</v>
      </c>
      <c r="G35" s="27">
        <f t="shared" si="5"/>
        <v>68492.9448048222</v>
      </c>
      <c r="H35" s="27">
        <f t="shared" si="6"/>
        <v>102739.41720723327</v>
      </c>
      <c r="I35" s="29">
        <f t="shared" si="8"/>
        <v>76.15785976514728</v>
      </c>
      <c r="J35" s="30">
        <f t="shared" si="7"/>
        <v>7824414.128021431</v>
      </c>
      <c r="K35" s="107">
        <v>0.0225</v>
      </c>
      <c r="L35" s="108">
        <f t="shared" si="9"/>
        <v>77054562.90542497</v>
      </c>
      <c r="M35" s="109">
        <f t="shared" si="10"/>
        <v>1340749.3945543943</v>
      </c>
    </row>
    <row r="36" spans="2:13" ht="11.25">
      <c r="B36" s="25">
        <f t="shared" si="2"/>
        <v>2014</v>
      </c>
      <c r="C36" s="21">
        <f t="shared" si="3"/>
        <v>3.504266948844726</v>
      </c>
      <c r="D36" s="26">
        <v>0.05</v>
      </c>
      <c r="E36" s="27">
        <f t="shared" si="4"/>
        <v>175213.3474422363</v>
      </c>
      <c r="F36" s="28">
        <v>0.02</v>
      </c>
      <c r="G36" s="27">
        <f t="shared" si="5"/>
        <v>70085.33897689452</v>
      </c>
      <c r="H36" s="27">
        <f t="shared" si="6"/>
        <v>105128.00846534177</v>
      </c>
      <c r="I36" s="29">
        <f t="shared" si="8"/>
        <v>77.68101696045022</v>
      </c>
      <c r="J36" s="30">
        <f t="shared" si="7"/>
        <v>8166450.608614569</v>
      </c>
      <c r="K36" s="107">
        <v>0.0225</v>
      </c>
      <c r="L36" s="108">
        <f t="shared" si="9"/>
        <v>78846006.34900634</v>
      </c>
      <c r="M36" s="109">
        <f t="shared" si="10"/>
        <v>1371920.5104727102</v>
      </c>
    </row>
    <row r="37" spans="2:13" ht="11.25">
      <c r="B37" s="25">
        <f t="shared" si="2"/>
        <v>2015</v>
      </c>
      <c r="C37" s="21">
        <f t="shared" si="3"/>
        <v>3.584330953077396</v>
      </c>
      <c r="D37" s="26">
        <v>0.05</v>
      </c>
      <c r="E37" s="27">
        <f t="shared" si="4"/>
        <v>179216.5476538698</v>
      </c>
      <c r="F37" s="28">
        <v>0.02</v>
      </c>
      <c r="G37" s="27">
        <f t="shared" si="5"/>
        <v>71686.61906154793</v>
      </c>
      <c r="H37" s="27">
        <f t="shared" si="6"/>
        <v>107529.92859232188</v>
      </c>
      <c r="I37" s="29">
        <f t="shared" si="8"/>
        <v>79.23463729965923</v>
      </c>
      <c r="J37" s="30">
        <f t="shared" si="7"/>
        <v>8520094.89087088</v>
      </c>
      <c r="K37" s="107">
        <v>0.0225</v>
      </c>
      <c r="L37" s="108">
        <f t="shared" si="9"/>
        <v>80647446.4442414</v>
      </c>
      <c r="M37" s="109">
        <f t="shared" si="10"/>
        <v>1403265.5681298003</v>
      </c>
    </row>
    <row r="38" spans="2:13" ht="11.25">
      <c r="B38" s="25">
        <f t="shared" si="2"/>
        <v>2016</v>
      </c>
      <c r="C38" s="21">
        <f t="shared" si="3"/>
        <v>3.614845917373558</v>
      </c>
      <c r="D38" s="26">
        <v>0.05</v>
      </c>
      <c r="E38" s="27">
        <f t="shared" si="4"/>
        <v>180742.2958686779</v>
      </c>
      <c r="F38" s="28">
        <v>0.02</v>
      </c>
      <c r="G38" s="27">
        <f t="shared" si="5"/>
        <v>72296.91834747116</v>
      </c>
      <c r="H38" s="27">
        <f t="shared" si="6"/>
        <v>108445.37752120674</v>
      </c>
      <c r="I38" s="29">
        <f t="shared" si="8"/>
        <v>80.8193300456524</v>
      </c>
      <c r="J38" s="30">
        <f t="shared" si="7"/>
        <v>8764482.757811783</v>
      </c>
      <c r="K38" s="107">
        <v>0.0225</v>
      </c>
      <c r="L38" s="108">
        <f t="shared" si="9"/>
        <v>81334033.14090505</v>
      </c>
      <c r="M38" s="109">
        <f t="shared" si="10"/>
        <v>1415212.1766517477</v>
      </c>
    </row>
    <row r="39" spans="2:13" ht="11.25">
      <c r="B39" s="25">
        <f t="shared" si="2"/>
        <v>2017</v>
      </c>
      <c r="C39" s="21">
        <f t="shared" si="3"/>
        <v>3.645818606134161</v>
      </c>
      <c r="D39" s="26">
        <v>0.05</v>
      </c>
      <c r="E39" s="27">
        <f t="shared" si="4"/>
        <v>182290.93030670803</v>
      </c>
      <c r="F39" s="28">
        <v>0.02</v>
      </c>
      <c r="G39" s="27">
        <f t="shared" si="5"/>
        <v>72916.37212268321</v>
      </c>
      <c r="H39" s="27">
        <f t="shared" si="6"/>
        <v>109374.55818402482</v>
      </c>
      <c r="I39" s="29">
        <f t="shared" si="8"/>
        <v>82.43571664656545</v>
      </c>
      <c r="J39" s="30">
        <f t="shared" si="7"/>
        <v>9016370.086801557</v>
      </c>
      <c r="K39" s="107">
        <v>0.0225</v>
      </c>
      <c r="L39" s="108">
        <f t="shared" si="9"/>
        <v>82030918.63801862</v>
      </c>
      <c r="M39" s="109">
        <f t="shared" si="10"/>
        <v>1427337.984301524</v>
      </c>
    </row>
    <row r="40" spans="2:13" ht="11.25">
      <c r="B40" s="25">
        <f t="shared" si="2"/>
        <v>2018</v>
      </c>
      <c r="C40" s="21">
        <f t="shared" si="3"/>
        <v>3.677255885226173</v>
      </c>
      <c r="D40" s="26">
        <v>0.05</v>
      </c>
      <c r="E40" s="27">
        <f t="shared" si="4"/>
        <v>183862.79426130865</v>
      </c>
      <c r="F40" s="28">
        <v>0.02</v>
      </c>
      <c r="G40" s="27">
        <f t="shared" si="5"/>
        <v>73545.11770452347</v>
      </c>
      <c r="H40" s="27">
        <f t="shared" si="6"/>
        <v>110317.67655678518</v>
      </c>
      <c r="I40" s="29">
        <f t="shared" si="8"/>
        <v>84.08443097949676</v>
      </c>
      <c r="J40" s="30">
        <f t="shared" si="7"/>
        <v>9275999.060257452</v>
      </c>
      <c r="K40" s="107">
        <v>0.0225</v>
      </c>
      <c r="L40" s="108">
        <f t="shared" si="9"/>
        <v>82738257.41758889</v>
      </c>
      <c r="M40" s="109">
        <f t="shared" si="10"/>
        <v>1439645.6790660464</v>
      </c>
    </row>
    <row r="41" spans="2:13" ht="11.25">
      <c r="B41" s="25">
        <f t="shared" si="2"/>
        <v>2019</v>
      </c>
      <c r="C41" s="21">
        <f t="shared" si="3"/>
        <v>3.7091647235045655</v>
      </c>
      <c r="D41" s="26">
        <v>0.05</v>
      </c>
      <c r="E41" s="27">
        <f t="shared" si="4"/>
        <v>185458.2361752283</v>
      </c>
      <c r="F41" s="28">
        <v>0.02</v>
      </c>
      <c r="G41" s="27">
        <f t="shared" si="5"/>
        <v>74183.2944700913</v>
      </c>
      <c r="H41" s="27">
        <f t="shared" si="6"/>
        <v>111274.94170513698</v>
      </c>
      <c r="I41" s="29">
        <f t="shared" si="8"/>
        <v>85.7661195990867</v>
      </c>
      <c r="J41" s="30">
        <f t="shared" si="7"/>
        <v>9543619.958664179</v>
      </c>
      <c r="K41" s="107">
        <v>0.0225</v>
      </c>
      <c r="L41" s="108">
        <f t="shared" si="9"/>
        <v>83456206.27885273</v>
      </c>
      <c r="M41" s="109">
        <f t="shared" si="10"/>
        <v>1452137.9892520374</v>
      </c>
    </row>
    <row r="42" spans="2:13" ht="11.25">
      <c r="B42" s="25">
        <f t="shared" si="2"/>
        <v>2020</v>
      </c>
      <c r="C42" s="21">
        <f t="shared" si="3"/>
        <v>3.741552194357133</v>
      </c>
      <c r="D42" s="26">
        <v>0.05</v>
      </c>
      <c r="E42" s="27">
        <f t="shared" si="4"/>
        <v>187077.60971785666</v>
      </c>
      <c r="F42" s="28">
        <v>0.02</v>
      </c>
      <c r="G42" s="27">
        <f t="shared" si="5"/>
        <v>74831.04388714266</v>
      </c>
      <c r="H42" s="27">
        <f t="shared" si="6"/>
        <v>112246.565830714</v>
      </c>
      <c r="I42" s="29">
        <f t="shared" si="8"/>
        <v>87.48144199106842</v>
      </c>
      <c r="J42" s="30">
        <f t="shared" si="7"/>
        <v>9819491.43741625</v>
      </c>
      <c r="K42" s="107">
        <v>0.0225</v>
      </c>
      <c r="L42" s="108">
        <f t="shared" si="9"/>
        <v>84184924.37303549</v>
      </c>
      <c r="M42" s="109">
        <f t="shared" si="10"/>
        <v>1464817.6840908173</v>
      </c>
    </row>
    <row r="43" spans="2:13" s="36" customFormat="1" ht="11.25" thickBot="1">
      <c r="B43" s="31" t="s">
        <v>23</v>
      </c>
      <c r="C43" s="32">
        <f>SUM(C26:C42)</f>
        <v>54.085365151499566</v>
      </c>
      <c r="D43" s="33"/>
      <c r="E43" s="34">
        <f>SUM(E26:E42)</f>
        <v>2704268.257574978</v>
      </c>
      <c r="F43" s="33"/>
      <c r="G43" s="34">
        <f>SUM(G26:G42)</f>
        <v>1287859.086779991</v>
      </c>
      <c r="H43" s="34">
        <f>SUM(H26:H42)</f>
        <v>1416409.170794987</v>
      </c>
      <c r="I43" s="33"/>
      <c r="J43" s="35">
        <f>SUM(J26:J42)</f>
        <v>110062837.02484408</v>
      </c>
      <c r="K43" s="106"/>
      <c r="L43" s="106"/>
      <c r="M43" s="106"/>
    </row>
    <row r="45" ht="12" thickBot="1"/>
    <row r="46" spans="2:13" ht="15">
      <c r="B46" s="37"/>
      <c r="C46" s="38" t="s">
        <v>61</v>
      </c>
      <c r="D46" s="39">
        <v>17.4</v>
      </c>
      <c r="E46" s="39" t="s">
        <v>62</v>
      </c>
      <c r="F46" s="40"/>
      <c r="G46" s="39"/>
      <c r="H46" s="39"/>
      <c r="I46" s="39"/>
      <c r="J46" s="39"/>
      <c r="K46" s="39"/>
      <c r="L46" s="39"/>
      <c r="M46" s="41"/>
    </row>
    <row r="47" spans="2:13" ht="12.75">
      <c r="B47" s="282">
        <f>H43*1000</f>
        <v>1416409170.794987</v>
      </c>
      <c r="C47" s="283"/>
      <c r="D47" s="42">
        <f>B47*D46</f>
        <v>24645519571.83277</v>
      </c>
      <c r="E47" s="43" t="s">
        <v>62</v>
      </c>
      <c r="F47" s="43"/>
      <c r="G47" s="43"/>
      <c r="H47" s="43"/>
      <c r="I47" s="43"/>
      <c r="J47" s="43"/>
      <c r="K47" s="43"/>
      <c r="L47" s="43"/>
      <c r="M47" s="44"/>
    </row>
    <row r="48" spans="2:13" ht="12.75">
      <c r="B48" s="45"/>
      <c r="C48" s="43"/>
      <c r="D48" s="42">
        <f>D47/1000</f>
        <v>24645519.571832772</v>
      </c>
      <c r="E48" s="43" t="s">
        <v>63</v>
      </c>
      <c r="F48" s="43"/>
      <c r="G48" s="43"/>
      <c r="H48" s="43"/>
      <c r="I48" s="43"/>
      <c r="J48" s="43"/>
      <c r="K48" s="43"/>
      <c r="L48" s="43"/>
      <c r="M48" s="44"/>
    </row>
    <row r="49" spans="2:13" ht="11.25">
      <c r="B49" s="45"/>
      <c r="C49" s="43"/>
      <c r="D49" s="169">
        <v>5</v>
      </c>
      <c r="E49" s="43" t="s">
        <v>25</v>
      </c>
      <c r="F49" s="43"/>
      <c r="G49" s="43"/>
      <c r="H49" s="43"/>
      <c r="I49" s="43"/>
      <c r="J49" s="43"/>
      <c r="K49" s="43"/>
      <c r="L49" s="43"/>
      <c r="M49" s="44"/>
    </row>
    <row r="50" spans="2:13" ht="12" thickBot="1">
      <c r="B50" s="45"/>
      <c r="C50" s="46" t="s">
        <v>24</v>
      </c>
      <c r="D50" s="47"/>
      <c r="E50" s="43"/>
      <c r="F50" s="43"/>
      <c r="G50" s="43"/>
      <c r="H50" s="43"/>
      <c r="I50" s="43"/>
      <c r="J50" s="43"/>
      <c r="K50" s="43"/>
      <c r="L50" s="43"/>
      <c r="M50" s="44"/>
    </row>
    <row r="51" spans="2:13" ht="45">
      <c r="B51" s="48" t="s">
        <v>22</v>
      </c>
      <c r="C51" s="49" t="s">
        <v>64</v>
      </c>
      <c r="D51" s="49" t="s">
        <v>65</v>
      </c>
      <c r="E51" s="49" t="s">
        <v>50</v>
      </c>
      <c r="F51" s="49" t="s">
        <v>54</v>
      </c>
      <c r="G51" s="49" t="s">
        <v>54</v>
      </c>
      <c r="H51" s="49" t="s">
        <v>54</v>
      </c>
      <c r="I51" s="49" t="s">
        <v>54</v>
      </c>
      <c r="J51" s="49" t="s">
        <v>54</v>
      </c>
      <c r="K51" s="49" t="s">
        <v>54</v>
      </c>
      <c r="L51" s="43"/>
      <c r="M51" s="44"/>
    </row>
    <row r="52" spans="2:13" ht="11.25">
      <c r="B52" s="50"/>
      <c r="C52" s="51"/>
      <c r="D52" s="51"/>
      <c r="E52" s="51"/>
      <c r="F52" s="51">
        <f>$D$49</f>
        <v>5</v>
      </c>
      <c r="G52" s="51">
        <f>F52-1</f>
        <v>4</v>
      </c>
      <c r="H52" s="51">
        <f>G52-1</f>
        <v>3</v>
      </c>
      <c r="I52" s="51">
        <f>H52-1</f>
        <v>2</v>
      </c>
      <c r="J52" s="51">
        <f>I52-1</f>
        <v>1</v>
      </c>
      <c r="K52" s="51">
        <f>J52-1</f>
        <v>0</v>
      </c>
      <c r="L52" s="43"/>
      <c r="M52" s="44"/>
    </row>
    <row r="53" spans="2:13" ht="11.25">
      <c r="B53" s="25">
        <f aca="true" t="shared" si="11" ref="B53:B61">B27</f>
        <v>2005</v>
      </c>
      <c r="C53" s="52">
        <f aca="true" t="shared" si="12" ref="C53:C61">H27*1000</f>
        <v>0</v>
      </c>
      <c r="D53" s="52">
        <f aca="true" t="shared" si="13" ref="D53:D61">C53*$D$46/1000</f>
        <v>0</v>
      </c>
      <c r="E53" s="53">
        <f>$D$49*C53</f>
        <v>0</v>
      </c>
      <c r="F53" s="53">
        <v>0</v>
      </c>
      <c r="G53" s="53">
        <v>0</v>
      </c>
      <c r="H53" s="53">
        <f aca="true" t="shared" si="14" ref="H53:H61">$D52*$H$52</f>
        <v>0</v>
      </c>
      <c r="I53" s="53">
        <f>H53</f>
        <v>0</v>
      </c>
      <c r="J53" s="53">
        <f>I53</f>
        <v>0</v>
      </c>
      <c r="K53" s="54">
        <f>J53</f>
        <v>0</v>
      </c>
      <c r="L53" s="43"/>
      <c r="M53" s="44"/>
    </row>
    <row r="54" spans="2:13" ht="11.25">
      <c r="B54" s="25">
        <f t="shared" si="11"/>
        <v>2006</v>
      </c>
      <c r="C54" s="52">
        <f t="shared" si="12"/>
        <v>24882250.000000015</v>
      </c>
      <c r="D54" s="52">
        <f t="shared" si="13"/>
        <v>432951.15000000026</v>
      </c>
      <c r="E54" s="53">
        <f aca="true" t="shared" si="15" ref="E54:E60">$D$49*D54</f>
        <v>2164755.7500000014</v>
      </c>
      <c r="F54" s="53">
        <f aca="true" t="shared" si="16" ref="F54:F61">E53</f>
        <v>0</v>
      </c>
      <c r="G54" s="53">
        <f aca="true" t="shared" si="17" ref="G54:G61">$D53*$G$52</f>
        <v>0</v>
      </c>
      <c r="H54" s="53">
        <f t="shared" si="14"/>
        <v>0</v>
      </c>
      <c r="I54" s="53">
        <f aca="true" t="shared" si="18" ref="I54:I61">$D53*$I$52</f>
        <v>0</v>
      </c>
      <c r="J54" s="53">
        <f aca="true" t="shared" si="19" ref="J54:J61">$D53*$J$52</f>
        <v>0</v>
      </c>
      <c r="K54" s="54">
        <f>$D53*4</f>
        <v>0</v>
      </c>
      <c r="L54" s="43"/>
      <c r="M54" s="44"/>
    </row>
    <row r="55" spans="2:13" ht="11.25">
      <c r="B55" s="25">
        <f t="shared" si="11"/>
        <v>2007</v>
      </c>
      <c r="C55" s="52">
        <f t="shared" si="12"/>
        <v>53334567.50000001</v>
      </c>
      <c r="D55" s="52">
        <f t="shared" si="13"/>
        <v>928021.4745</v>
      </c>
      <c r="E55" s="53">
        <f t="shared" si="15"/>
        <v>4640107.3725000005</v>
      </c>
      <c r="F55" s="53">
        <f t="shared" si="16"/>
        <v>2164755.7500000014</v>
      </c>
      <c r="G55" s="53">
        <f t="shared" si="17"/>
        <v>1731804.600000001</v>
      </c>
      <c r="H55" s="53">
        <f t="shared" si="14"/>
        <v>1298853.4500000007</v>
      </c>
      <c r="I55" s="53">
        <f t="shared" si="18"/>
        <v>865902.3000000005</v>
      </c>
      <c r="J55" s="53">
        <f t="shared" si="19"/>
        <v>432951.15000000026</v>
      </c>
      <c r="K55" s="54">
        <f aca="true" t="shared" si="20" ref="K55:K61">$D54*$K$52</f>
        <v>0</v>
      </c>
      <c r="L55" s="43"/>
      <c r="M55" s="44"/>
    </row>
    <row r="56" spans="2:13" ht="11.25">
      <c r="B56" s="25">
        <f t="shared" si="11"/>
        <v>2008</v>
      </c>
      <c r="C56" s="52">
        <f t="shared" si="12"/>
        <v>85604379.01874998</v>
      </c>
      <c r="D56" s="52">
        <f t="shared" si="13"/>
        <v>1489516.1949262496</v>
      </c>
      <c r="E56" s="53">
        <f t="shared" si="15"/>
        <v>7447580.974631248</v>
      </c>
      <c r="F56" s="53">
        <f t="shared" si="16"/>
        <v>4640107.3725000005</v>
      </c>
      <c r="G56" s="53">
        <f t="shared" si="17"/>
        <v>3712085.898</v>
      </c>
      <c r="H56" s="53">
        <f t="shared" si="14"/>
        <v>2784064.4235</v>
      </c>
      <c r="I56" s="53">
        <f t="shared" si="18"/>
        <v>1856042.949</v>
      </c>
      <c r="J56" s="53">
        <f t="shared" si="19"/>
        <v>928021.4745</v>
      </c>
      <c r="K56" s="54">
        <f t="shared" si="20"/>
        <v>0</v>
      </c>
      <c r="L56" s="43"/>
      <c r="M56" s="44"/>
    </row>
    <row r="57" spans="2:13" ht="11.25">
      <c r="B57" s="25">
        <f t="shared" si="11"/>
        <v>2009</v>
      </c>
      <c r="C57" s="52">
        <f t="shared" si="12"/>
        <v>91574444.70403124</v>
      </c>
      <c r="D57" s="52">
        <f t="shared" si="13"/>
        <v>1593395.3378501434</v>
      </c>
      <c r="E57" s="53">
        <f t="shared" si="15"/>
        <v>7966976.689250717</v>
      </c>
      <c r="F57" s="53">
        <f t="shared" si="16"/>
        <v>7447580.974631248</v>
      </c>
      <c r="G57" s="53">
        <f t="shared" si="17"/>
        <v>5958064.779704998</v>
      </c>
      <c r="H57" s="53">
        <f t="shared" si="14"/>
        <v>4468548.584778748</v>
      </c>
      <c r="I57" s="53">
        <f t="shared" si="18"/>
        <v>2979032.389852499</v>
      </c>
      <c r="J57" s="53">
        <f t="shared" si="19"/>
        <v>1489516.1949262496</v>
      </c>
      <c r="K57" s="54">
        <f t="shared" si="20"/>
        <v>0</v>
      </c>
      <c r="L57" s="43"/>
      <c r="M57" s="44"/>
    </row>
    <row r="58" spans="2:13" ht="11.25">
      <c r="B58" s="25">
        <f t="shared" si="11"/>
        <v>2010</v>
      </c>
      <c r="C58" s="52">
        <f t="shared" si="12"/>
        <v>95591661.37459171</v>
      </c>
      <c r="D58" s="52">
        <f t="shared" si="13"/>
        <v>1663294.9079178956</v>
      </c>
      <c r="E58" s="53">
        <f t="shared" si="15"/>
        <v>8316474.539589478</v>
      </c>
      <c r="F58" s="53">
        <f t="shared" si="16"/>
        <v>7966976.689250717</v>
      </c>
      <c r="G58" s="53">
        <f t="shared" si="17"/>
        <v>6373581.351400574</v>
      </c>
      <c r="H58" s="53">
        <f t="shared" si="14"/>
        <v>4780186.013550431</v>
      </c>
      <c r="I58" s="53">
        <f t="shared" si="18"/>
        <v>3186790.675700287</v>
      </c>
      <c r="J58" s="53">
        <f t="shared" si="19"/>
        <v>1593395.3378501434</v>
      </c>
      <c r="K58" s="54">
        <f t="shared" si="20"/>
        <v>0</v>
      </c>
      <c r="L58" s="43"/>
      <c r="M58" s="44"/>
    </row>
    <row r="59" spans="2:13" ht="11.25">
      <c r="B59" s="25">
        <f t="shared" si="11"/>
        <v>2011</v>
      </c>
      <c r="C59" s="52">
        <f t="shared" si="12"/>
        <v>98001436.29521056</v>
      </c>
      <c r="D59" s="52">
        <f t="shared" si="13"/>
        <v>1705224.9915366636</v>
      </c>
      <c r="E59" s="53">
        <f t="shared" si="15"/>
        <v>8526124.957683317</v>
      </c>
      <c r="F59" s="53">
        <f t="shared" si="16"/>
        <v>8316474.539589478</v>
      </c>
      <c r="G59" s="53">
        <f t="shared" si="17"/>
        <v>6653179.631671582</v>
      </c>
      <c r="H59" s="53">
        <f t="shared" si="14"/>
        <v>4989884.723753687</v>
      </c>
      <c r="I59" s="53">
        <f t="shared" si="18"/>
        <v>3326589.815835791</v>
      </c>
      <c r="J59" s="53">
        <f t="shared" si="19"/>
        <v>1663294.9079178956</v>
      </c>
      <c r="K59" s="54">
        <f t="shared" si="20"/>
        <v>0</v>
      </c>
      <c r="L59" s="43"/>
      <c r="M59" s="44"/>
    </row>
    <row r="60" spans="2:13" ht="11.25">
      <c r="B60" s="25">
        <f t="shared" si="11"/>
        <v>2012</v>
      </c>
      <c r="C60" s="52">
        <f t="shared" si="12"/>
        <v>100363957.83963872</v>
      </c>
      <c r="D60" s="52">
        <f t="shared" si="13"/>
        <v>1746332.8664097136</v>
      </c>
      <c r="E60" s="53">
        <f t="shared" si="15"/>
        <v>8731664.332048569</v>
      </c>
      <c r="F60" s="53">
        <f t="shared" si="16"/>
        <v>8526124.957683317</v>
      </c>
      <c r="G60" s="53">
        <f t="shared" si="17"/>
        <v>6820899.966146654</v>
      </c>
      <c r="H60" s="53">
        <f t="shared" si="14"/>
        <v>5115674.974609991</v>
      </c>
      <c r="I60" s="53">
        <f t="shared" si="18"/>
        <v>3410449.983073327</v>
      </c>
      <c r="J60" s="53">
        <f t="shared" si="19"/>
        <v>1705224.9915366636</v>
      </c>
      <c r="K60" s="54">
        <f t="shared" si="20"/>
        <v>0</v>
      </c>
      <c r="L60" s="43"/>
      <c r="M60" s="44"/>
    </row>
    <row r="61" spans="2:13" ht="11.25">
      <c r="B61" s="25">
        <f t="shared" si="11"/>
        <v>2013</v>
      </c>
      <c r="C61" s="52">
        <f t="shared" si="12"/>
        <v>102739417.20723328</v>
      </c>
      <c r="D61" s="52">
        <f t="shared" si="13"/>
        <v>1787665.859405859</v>
      </c>
      <c r="E61" s="53"/>
      <c r="F61" s="53">
        <f t="shared" si="16"/>
        <v>8731664.332048569</v>
      </c>
      <c r="G61" s="53">
        <f t="shared" si="17"/>
        <v>6985331.465638855</v>
      </c>
      <c r="H61" s="53">
        <f t="shared" si="14"/>
        <v>5238998.599229141</v>
      </c>
      <c r="I61" s="53">
        <f t="shared" si="18"/>
        <v>3492665.7328194273</v>
      </c>
      <c r="J61" s="53">
        <f t="shared" si="19"/>
        <v>1746332.8664097136</v>
      </c>
      <c r="K61" s="54">
        <f t="shared" si="20"/>
        <v>0</v>
      </c>
      <c r="L61" s="43"/>
      <c r="M61" s="44"/>
    </row>
    <row r="62" spans="2:13" ht="12" thickBot="1">
      <c r="B62" s="31" t="s">
        <v>23</v>
      </c>
      <c r="C62" s="55">
        <f aca="true" t="shared" si="21" ref="C62:K62">SUM(C53:C61)</f>
        <v>652092113.9394555</v>
      </c>
      <c r="D62" s="55">
        <f t="shared" si="21"/>
        <v>11346402.782546524</v>
      </c>
      <c r="E62" s="55">
        <f t="shared" si="21"/>
        <v>47793684.61570333</v>
      </c>
      <c r="F62" s="55">
        <f t="shared" si="21"/>
        <v>47793684.61570333</v>
      </c>
      <c r="G62" s="55">
        <f t="shared" si="21"/>
        <v>38234947.69256266</v>
      </c>
      <c r="H62" s="55">
        <f t="shared" si="21"/>
        <v>28676210.769422</v>
      </c>
      <c r="I62" s="55">
        <f t="shared" si="21"/>
        <v>19117473.84628133</v>
      </c>
      <c r="J62" s="55">
        <f t="shared" si="21"/>
        <v>9558736.923140666</v>
      </c>
      <c r="K62" s="56">
        <f t="shared" si="21"/>
        <v>0</v>
      </c>
      <c r="L62" s="43"/>
      <c r="M62" s="44"/>
    </row>
    <row r="63" spans="2:13" ht="11.25">
      <c r="B63" s="45"/>
      <c r="C63" s="43"/>
      <c r="D63" s="43"/>
      <c r="E63" s="43"/>
      <c r="F63" s="43"/>
      <c r="G63" s="43"/>
      <c r="H63" s="43"/>
      <c r="I63" s="43"/>
      <c r="J63" s="43"/>
      <c r="K63" s="43"/>
      <c r="L63" s="43"/>
      <c r="M63" s="44"/>
    </row>
    <row r="64" spans="2:13" ht="11.25">
      <c r="B64" s="45"/>
      <c r="C64" s="43"/>
      <c r="D64" s="43"/>
      <c r="E64" s="43"/>
      <c r="F64" s="43"/>
      <c r="G64" s="43"/>
      <c r="H64" s="43"/>
      <c r="I64" s="43"/>
      <c r="J64" s="43"/>
      <c r="K64" s="43"/>
      <c r="L64" s="43"/>
      <c r="M64" s="44"/>
    </row>
    <row r="65" spans="2:13" ht="11.25">
      <c r="B65" s="45"/>
      <c r="C65" s="43"/>
      <c r="D65" s="43"/>
      <c r="E65" s="43"/>
      <c r="F65" s="43"/>
      <c r="G65" s="43"/>
      <c r="H65" s="43"/>
      <c r="I65" s="43"/>
      <c r="J65" s="43"/>
      <c r="K65" s="43"/>
      <c r="L65" s="43"/>
      <c r="M65" s="44"/>
    </row>
    <row r="66" spans="2:13" ht="11.25">
      <c r="B66" s="45"/>
      <c r="C66" s="43"/>
      <c r="D66" s="43"/>
      <c r="E66" s="43"/>
      <c r="F66" s="43"/>
      <c r="G66" s="43"/>
      <c r="H66" s="43"/>
      <c r="I66" s="43"/>
      <c r="J66" s="43"/>
      <c r="K66" s="43"/>
      <c r="L66" s="43"/>
      <c r="M66" s="44"/>
    </row>
    <row r="67" spans="2:13" ht="11.25">
      <c r="B67" s="45"/>
      <c r="C67" s="43"/>
      <c r="D67" s="43"/>
      <c r="E67" s="43"/>
      <c r="F67" s="43"/>
      <c r="G67" s="43"/>
      <c r="H67" s="43"/>
      <c r="I67" s="43"/>
      <c r="J67" s="43"/>
      <c r="K67" s="43"/>
      <c r="L67" s="43"/>
      <c r="M67" s="44"/>
    </row>
    <row r="68" spans="2:13" ht="11.25">
      <c r="B68" s="45"/>
      <c r="C68" s="43"/>
      <c r="D68" s="43"/>
      <c r="E68" s="43"/>
      <c r="F68" s="43"/>
      <c r="G68" s="43"/>
      <c r="H68" s="43"/>
      <c r="I68" s="43"/>
      <c r="J68" s="43"/>
      <c r="K68" s="43"/>
      <c r="L68" s="43"/>
      <c r="M68" s="44"/>
    </row>
    <row r="69" spans="2:13" ht="13.5" thickBot="1">
      <c r="B69" s="279" t="s">
        <v>55</v>
      </c>
      <c r="C69" s="280"/>
      <c r="D69" s="57">
        <f>F52</f>
        <v>5</v>
      </c>
      <c r="E69" s="58"/>
      <c r="F69" s="58"/>
      <c r="G69" s="58"/>
      <c r="H69" s="43"/>
      <c r="I69" s="43"/>
      <c r="J69" s="43"/>
      <c r="K69" s="43"/>
      <c r="L69" s="43"/>
      <c r="M69" s="44"/>
    </row>
    <row r="70" spans="2:13" ht="11.25">
      <c r="B70" s="59"/>
      <c r="C70" s="60">
        <v>2005</v>
      </c>
      <c r="D70" s="60">
        <f aca="true" t="shared" si="22" ref="D70:M70">C70+1</f>
        <v>2006</v>
      </c>
      <c r="E70" s="60">
        <f t="shared" si="22"/>
        <v>2007</v>
      </c>
      <c r="F70" s="60">
        <f t="shared" si="22"/>
        <v>2008</v>
      </c>
      <c r="G70" s="60">
        <f t="shared" si="22"/>
        <v>2009</v>
      </c>
      <c r="H70" s="60">
        <f t="shared" si="22"/>
        <v>2010</v>
      </c>
      <c r="I70" s="60">
        <f t="shared" si="22"/>
        <v>2011</v>
      </c>
      <c r="J70" s="60">
        <f t="shared" si="22"/>
        <v>2012</v>
      </c>
      <c r="K70" s="60">
        <f t="shared" si="22"/>
        <v>2013</v>
      </c>
      <c r="L70" s="60">
        <f t="shared" si="22"/>
        <v>2014</v>
      </c>
      <c r="M70" s="61">
        <f t="shared" si="22"/>
        <v>2015</v>
      </c>
    </row>
    <row r="71" spans="2:13" ht="11.25">
      <c r="B71" s="62" t="s">
        <v>26</v>
      </c>
      <c r="C71" s="63">
        <v>0</v>
      </c>
      <c r="D71" s="63">
        <f>-Inv06</f>
        <v>-24926449.275362317</v>
      </c>
      <c r="E71" s="63">
        <f>-Inv07</f>
        <v>-19573550.724637683</v>
      </c>
      <c r="F71" s="64">
        <f>'Cost Assumptions'!G40</f>
        <v>2122416</v>
      </c>
      <c r="G71" s="64">
        <f aca="true" t="shared" si="23" ref="G71:M71">-Maint08</f>
        <v>-2122416</v>
      </c>
      <c r="H71" s="64">
        <f t="shared" si="23"/>
        <v>-2164864.32</v>
      </c>
      <c r="I71" s="64">
        <f t="shared" si="23"/>
        <v>-2208161.6064</v>
      </c>
      <c r="J71" s="64">
        <f t="shared" si="23"/>
        <v>-2252324.838528</v>
      </c>
      <c r="K71" s="64">
        <f t="shared" si="23"/>
        <v>-2297371.3352985596</v>
      </c>
      <c r="L71" s="64">
        <f t="shared" si="23"/>
        <v>-2343318.762004531</v>
      </c>
      <c r="M71" s="64">
        <f t="shared" si="23"/>
        <v>-2390185.1372446218</v>
      </c>
    </row>
    <row r="72" spans="2:13" ht="11.25">
      <c r="B72" s="62" t="s">
        <v>27</v>
      </c>
      <c r="C72" s="65">
        <f>J27</f>
        <v>0</v>
      </c>
      <c r="D72" s="65">
        <f>$J28</f>
        <v>1649693.175000001</v>
      </c>
      <c r="E72" s="65">
        <f>$J29</f>
        <v>3606803.4617550005</v>
      </c>
      <c r="F72" s="65">
        <f>$J30</f>
        <v>5904863.370232427</v>
      </c>
      <c r="G72" s="65">
        <f>$J31</f>
        <v>6443003.058816032</v>
      </c>
      <c r="H72" s="65">
        <f>$J32</f>
        <v>6860159.687529307</v>
      </c>
      <c r="I72" s="65">
        <f>$J33</f>
        <v>7173759.748321473</v>
      </c>
      <c r="J72" s="65">
        <f>$J34</f>
        <v>7493631.594731725</v>
      </c>
      <c r="K72" s="65">
        <f>$J35</f>
        <v>7824414.128021431</v>
      </c>
      <c r="L72" s="65">
        <f>$J36</f>
        <v>8166450.608614569</v>
      </c>
      <c r="M72" s="66">
        <f>$J37</f>
        <v>8520094.89087088</v>
      </c>
    </row>
    <row r="73" spans="2:13" ht="11.25">
      <c r="B73" s="62" t="s">
        <v>24</v>
      </c>
      <c r="C73" s="65">
        <f>F53</f>
        <v>0</v>
      </c>
      <c r="D73" s="65">
        <f>F54</f>
        <v>0</v>
      </c>
      <c r="E73" s="65">
        <f>F55</f>
        <v>2164755.7500000014</v>
      </c>
      <c r="F73" s="65">
        <f>F56</f>
        <v>4640107.3725000005</v>
      </c>
      <c r="G73" s="65">
        <f>F57</f>
        <v>7447580.974631248</v>
      </c>
      <c r="H73" s="65">
        <f>F58</f>
        <v>7966976.689250717</v>
      </c>
      <c r="I73" s="65">
        <f>F59</f>
        <v>8316474.539589478</v>
      </c>
      <c r="J73" s="65">
        <f>F60</f>
        <v>8526124.957683317</v>
      </c>
      <c r="K73" s="65">
        <f>F61</f>
        <v>8731664.332048569</v>
      </c>
      <c r="L73" s="65"/>
      <c r="M73" s="66"/>
    </row>
    <row r="74" spans="2:14" ht="12" thickBot="1">
      <c r="B74" s="67" t="s">
        <v>23</v>
      </c>
      <c r="C74" s="68">
        <f aca="true" t="shared" si="24" ref="C74:M74">SUM(C71:C73)</f>
        <v>0</v>
      </c>
      <c r="D74" s="68">
        <f t="shared" si="24"/>
        <v>-23276756.100362316</v>
      </c>
      <c r="E74" s="68">
        <f t="shared" si="24"/>
        <v>-13801991.512882682</v>
      </c>
      <c r="F74" s="68">
        <f t="shared" si="24"/>
        <v>12667386.742732428</v>
      </c>
      <c r="G74" s="68">
        <f t="shared" si="24"/>
        <v>11768168.03344728</v>
      </c>
      <c r="H74" s="68">
        <f t="shared" si="24"/>
        <v>12662272.056780024</v>
      </c>
      <c r="I74" s="68">
        <f t="shared" si="24"/>
        <v>13282072.681510951</v>
      </c>
      <c r="J74" s="68">
        <f t="shared" si="24"/>
        <v>13767431.713887043</v>
      </c>
      <c r="K74" s="68">
        <f t="shared" si="24"/>
        <v>14258707.12477144</v>
      </c>
      <c r="L74" s="68">
        <f t="shared" si="24"/>
        <v>5823131.846610038</v>
      </c>
      <c r="M74" s="69">
        <f t="shared" si="24"/>
        <v>6129909.753626259</v>
      </c>
      <c r="N74" s="70"/>
    </row>
    <row r="75" spans="2:13" ht="11.25">
      <c r="B75" s="45"/>
      <c r="C75" s="71" t="s">
        <v>51</v>
      </c>
      <c r="D75" s="72">
        <f>NPV(0.1,D74:M74)</f>
        <v>18896962.1996155</v>
      </c>
      <c r="E75" s="37"/>
      <c r="F75" s="39"/>
      <c r="G75" s="39"/>
      <c r="H75" s="39"/>
      <c r="I75" s="39"/>
      <c r="J75" s="39"/>
      <c r="K75" s="39"/>
      <c r="L75" s="39"/>
      <c r="M75" s="41"/>
    </row>
    <row r="76" spans="2:13" ht="12" thickBot="1">
      <c r="B76" s="45"/>
      <c r="C76" s="31" t="s">
        <v>43</v>
      </c>
      <c r="D76" s="73">
        <f>IRR(D74:M74)</f>
        <v>0.22850424918025938</v>
      </c>
      <c r="E76" s="45"/>
      <c r="F76" s="43"/>
      <c r="G76" s="43"/>
      <c r="H76" s="43"/>
      <c r="I76" s="43"/>
      <c r="J76" s="43"/>
      <c r="K76" s="43"/>
      <c r="L76" s="43"/>
      <c r="M76" s="44"/>
    </row>
    <row r="77" spans="2:13" ht="12" thickBot="1">
      <c r="B77" s="45"/>
      <c r="C77" s="31" t="s">
        <v>47</v>
      </c>
      <c r="D77" s="73">
        <f>IRR(D74:L74)</f>
        <v>0.2194296178497979</v>
      </c>
      <c r="E77" s="45"/>
      <c r="F77" s="43"/>
      <c r="G77" s="43"/>
      <c r="H77" s="43"/>
      <c r="I77" s="43"/>
      <c r="J77" s="43"/>
      <c r="K77" s="43"/>
      <c r="L77" s="43"/>
      <c r="M77" s="44"/>
    </row>
    <row r="78" spans="2:13" ht="12" thickBot="1">
      <c r="B78" s="45"/>
      <c r="C78" s="31" t="s">
        <v>48</v>
      </c>
      <c r="D78" s="73">
        <f>IRR(D74:K74)</f>
        <v>0.20793321954607805</v>
      </c>
      <c r="E78" s="45"/>
      <c r="F78" s="43"/>
      <c r="G78" s="43"/>
      <c r="H78" s="43"/>
      <c r="I78" s="43"/>
      <c r="J78" s="43"/>
      <c r="K78" s="43"/>
      <c r="L78" s="43"/>
      <c r="M78" s="44"/>
    </row>
    <row r="79" spans="2:13" ht="12" thickBot="1">
      <c r="B79" s="45"/>
      <c r="C79" s="31" t="s">
        <v>45</v>
      </c>
      <c r="D79" s="73">
        <f>IRR(D74:J74)</f>
        <v>0.16715535440443158</v>
      </c>
      <c r="E79" s="45"/>
      <c r="F79" s="43"/>
      <c r="G79" s="43"/>
      <c r="H79" s="43"/>
      <c r="I79" s="43"/>
      <c r="J79" s="43"/>
      <c r="K79" s="43"/>
      <c r="L79" s="43"/>
      <c r="M79" s="44"/>
    </row>
    <row r="80" spans="2:13" ht="12" thickBot="1">
      <c r="B80" s="45"/>
      <c r="C80" s="31" t="s">
        <v>46</v>
      </c>
      <c r="D80" s="73">
        <f>IRR(D74:I74)</f>
        <v>0.10382917547466666</v>
      </c>
      <c r="E80" s="45"/>
      <c r="F80" s="43"/>
      <c r="G80" s="43"/>
      <c r="H80" s="43"/>
      <c r="I80" s="43"/>
      <c r="J80" s="43"/>
      <c r="K80" s="43"/>
      <c r="L80" s="43"/>
      <c r="M80" s="44"/>
    </row>
    <row r="81" spans="2:13" ht="12" thickBot="1">
      <c r="B81" s="74"/>
      <c r="C81" s="31" t="s">
        <v>44</v>
      </c>
      <c r="D81" s="73">
        <f>IRR(D74:H74)</f>
        <v>0.0001957987037232664</v>
      </c>
      <c r="E81" s="74"/>
      <c r="F81" s="75"/>
      <c r="G81" s="75"/>
      <c r="H81" s="75"/>
      <c r="I81" s="75"/>
      <c r="J81" s="75"/>
      <c r="K81" s="75"/>
      <c r="L81" s="75"/>
      <c r="M81" s="76"/>
    </row>
    <row r="83" spans="2:4" ht="13.5" thickBot="1">
      <c r="B83" s="292" t="s">
        <v>55</v>
      </c>
      <c r="C83" s="293"/>
      <c r="D83" s="57">
        <f>G52</f>
        <v>4</v>
      </c>
    </row>
    <row r="84" spans="2:13" ht="11.25">
      <c r="B84" s="59"/>
      <c r="C84" s="60">
        <v>2005</v>
      </c>
      <c r="D84" s="60">
        <f aca="true" t="shared" si="25" ref="D84:M84">C84+1</f>
        <v>2006</v>
      </c>
      <c r="E84" s="60">
        <f t="shared" si="25"/>
        <v>2007</v>
      </c>
      <c r="F84" s="60">
        <f t="shared" si="25"/>
        <v>2008</v>
      </c>
      <c r="G84" s="60">
        <f t="shared" si="25"/>
        <v>2009</v>
      </c>
      <c r="H84" s="60">
        <f t="shared" si="25"/>
        <v>2010</v>
      </c>
      <c r="I84" s="60">
        <f t="shared" si="25"/>
        <v>2011</v>
      </c>
      <c r="J84" s="60">
        <f t="shared" si="25"/>
        <v>2012</v>
      </c>
      <c r="K84" s="60">
        <f t="shared" si="25"/>
        <v>2013</v>
      </c>
      <c r="L84" s="60">
        <f t="shared" si="25"/>
        <v>2014</v>
      </c>
      <c r="M84" s="61">
        <f t="shared" si="25"/>
        <v>2015</v>
      </c>
    </row>
    <row r="85" spans="2:13" ht="11.25">
      <c r="B85" s="62" t="s">
        <v>26</v>
      </c>
      <c r="C85" s="63">
        <v>0</v>
      </c>
      <c r="D85" s="63">
        <f>-Inv06</f>
        <v>-24926449.275362317</v>
      </c>
      <c r="E85" s="63">
        <f>-Inv07</f>
        <v>-19573550.724637683</v>
      </c>
      <c r="F85" s="64">
        <f>$F$71</f>
        <v>2122416</v>
      </c>
      <c r="G85" s="64">
        <f>$G$71</f>
        <v>-2122416</v>
      </c>
      <c r="H85" s="64">
        <f>$H$71</f>
        <v>-2164864.32</v>
      </c>
      <c r="I85" s="64">
        <f>$I$71</f>
        <v>-2208161.6064</v>
      </c>
      <c r="J85" s="64">
        <f>$J$71</f>
        <v>-2252324.838528</v>
      </c>
      <c r="K85" s="64">
        <f>$K$71</f>
        <v>-2297371.3352985596</v>
      </c>
      <c r="L85" s="64">
        <f>$L$71</f>
        <v>-2343318.762004531</v>
      </c>
      <c r="M85" s="66">
        <f>$M$71</f>
        <v>-2390185.1372446218</v>
      </c>
    </row>
    <row r="86" spans="2:13" ht="11.25">
      <c r="B86" s="62" t="s">
        <v>27</v>
      </c>
      <c r="C86" s="65">
        <f>C72</f>
        <v>0</v>
      </c>
      <c r="D86" s="65">
        <f>$D$72</f>
        <v>1649693.175000001</v>
      </c>
      <c r="E86" s="65">
        <f>$E$72</f>
        <v>3606803.4617550005</v>
      </c>
      <c r="F86" s="65">
        <f>$F$72</f>
        <v>5904863.370232427</v>
      </c>
      <c r="G86" s="65">
        <f>$G$72</f>
        <v>6443003.058816032</v>
      </c>
      <c r="H86" s="65">
        <f>$H$72</f>
        <v>6860159.687529307</v>
      </c>
      <c r="I86" s="65">
        <f>$I$72</f>
        <v>7173759.748321473</v>
      </c>
      <c r="J86" s="65">
        <f>$J$72</f>
        <v>7493631.594731725</v>
      </c>
      <c r="K86" s="65">
        <f>$K$72</f>
        <v>7824414.128021431</v>
      </c>
      <c r="L86" s="65">
        <f>$L$72</f>
        <v>8166450.608614569</v>
      </c>
      <c r="M86" s="66">
        <f>$M$72</f>
        <v>8520094.89087088</v>
      </c>
    </row>
    <row r="87" spans="2:13" ht="11.25">
      <c r="B87" s="62" t="s">
        <v>24</v>
      </c>
      <c r="C87" s="65">
        <f>$G53</f>
        <v>0</v>
      </c>
      <c r="D87" s="65">
        <f>$G$54</f>
        <v>0</v>
      </c>
      <c r="E87" s="65">
        <f>$G$55</f>
        <v>1731804.600000001</v>
      </c>
      <c r="F87" s="65">
        <f>$G$56</f>
        <v>3712085.898</v>
      </c>
      <c r="G87" s="65">
        <f>$G$57</f>
        <v>5958064.779704998</v>
      </c>
      <c r="H87" s="65">
        <f>$G$58</f>
        <v>6373581.351400574</v>
      </c>
      <c r="I87" s="65">
        <f>$G$59</f>
        <v>6653179.631671582</v>
      </c>
      <c r="J87" s="65">
        <f>$G$60</f>
        <v>6820899.966146654</v>
      </c>
      <c r="K87" s="65">
        <f>$G$61</f>
        <v>6985331.465638855</v>
      </c>
      <c r="L87" s="65"/>
      <c r="M87" s="66"/>
    </row>
    <row r="88" spans="2:13" ht="12" thickBot="1">
      <c r="B88" s="67" t="s">
        <v>23</v>
      </c>
      <c r="C88" s="68">
        <f aca="true" t="shared" si="26" ref="C88:M88">SUM(C85:C87)</f>
        <v>0</v>
      </c>
      <c r="D88" s="68">
        <f t="shared" si="26"/>
        <v>-23276756.100362316</v>
      </c>
      <c r="E88" s="68">
        <f t="shared" si="26"/>
        <v>-14234942.662882682</v>
      </c>
      <c r="F88" s="68">
        <f t="shared" si="26"/>
        <v>11739365.268232428</v>
      </c>
      <c r="G88" s="68">
        <f t="shared" si="26"/>
        <v>10278651.83852103</v>
      </c>
      <c r="H88" s="68">
        <f t="shared" si="26"/>
        <v>11068876.71892988</v>
      </c>
      <c r="I88" s="68">
        <f t="shared" si="26"/>
        <v>11618777.773593055</v>
      </c>
      <c r="J88" s="68">
        <f t="shared" si="26"/>
        <v>12062206.72235038</v>
      </c>
      <c r="K88" s="68">
        <f t="shared" si="26"/>
        <v>12512374.258361727</v>
      </c>
      <c r="L88" s="68">
        <f t="shared" si="26"/>
        <v>5823131.846610038</v>
      </c>
      <c r="M88" s="69">
        <f t="shared" si="26"/>
        <v>6129909.753626259</v>
      </c>
    </row>
    <row r="89" spans="2:14" ht="11.25">
      <c r="B89" s="43"/>
      <c r="C89" s="71" t="s">
        <v>51</v>
      </c>
      <c r="D89" s="72">
        <f>NPV(0.1,D88:M88)</f>
        <v>13206568.486236814</v>
      </c>
      <c r="E89" s="45"/>
      <c r="F89" s="43"/>
      <c r="G89" s="43"/>
      <c r="H89" s="43"/>
      <c r="I89" s="43"/>
      <c r="J89" s="43"/>
      <c r="K89" s="43"/>
      <c r="L89" s="43"/>
      <c r="M89" s="43"/>
      <c r="N89" s="43"/>
    </row>
    <row r="90" spans="2:14" ht="12" thickBot="1">
      <c r="B90" s="43"/>
      <c r="C90" s="31" t="s">
        <v>43</v>
      </c>
      <c r="D90" s="73">
        <f>IRR(D88:M88)</f>
        <v>0.19181527766203396</v>
      </c>
      <c r="E90" s="45"/>
      <c r="F90" s="43"/>
      <c r="G90" s="43"/>
      <c r="H90" s="43"/>
      <c r="I90" s="43"/>
      <c r="J90" s="43"/>
      <c r="K90" s="43"/>
      <c r="L90" s="43"/>
      <c r="M90" s="43"/>
      <c r="N90" s="43"/>
    </row>
    <row r="91" spans="13:14" ht="11.25">
      <c r="M91" s="43"/>
      <c r="N91" s="43"/>
    </row>
    <row r="92" spans="2:4" ht="13.5" thickBot="1">
      <c r="B92" s="292" t="s">
        <v>55</v>
      </c>
      <c r="C92" s="293"/>
      <c r="D92" s="57">
        <f>H52</f>
        <v>3</v>
      </c>
    </row>
    <row r="93" spans="2:13" ht="11.25">
      <c r="B93" s="59"/>
      <c r="C93" s="60">
        <v>2005</v>
      </c>
      <c r="D93" s="60">
        <f aca="true" t="shared" si="27" ref="D93:M93">C93+1</f>
        <v>2006</v>
      </c>
      <c r="E93" s="60">
        <f t="shared" si="27"/>
        <v>2007</v>
      </c>
      <c r="F93" s="60">
        <f t="shared" si="27"/>
        <v>2008</v>
      </c>
      <c r="G93" s="60">
        <f t="shared" si="27"/>
        <v>2009</v>
      </c>
      <c r="H93" s="60">
        <f t="shared" si="27"/>
        <v>2010</v>
      </c>
      <c r="I93" s="60">
        <f t="shared" si="27"/>
        <v>2011</v>
      </c>
      <c r="J93" s="60">
        <f t="shared" si="27"/>
        <v>2012</v>
      </c>
      <c r="K93" s="60">
        <f t="shared" si="27"/>
        <v>2013</v>
      </c>
      <c r="L93" s="60">
        <f t="shared" si="27"/>
        <v>2014</v>
      </c>
      <c r="M93" s="61">
        <f t="shared" si="27"/>
        <v>2015</v>
      </c>
    </row>
    <row r="94" spans="2:13" ht="11.25">
      <c r="B94" s="62" t="s">
        <v>26</v>
      </c>
      <c r="C94" s="63">
        <v>0</v>
      </c>
      <c r="D94" s="63">
        <f>-Inv06</f>
        <v>-24926449.275362317</v>
      </c>
      <c r="E94" s="63">
        <f>-Inv07</f>
        <v>-19573550.724637683</v>
      </c>
      <c r="F94" s="64">
        <f>$F$71</f>
        <v>2122416</v>
      </c>
      <c r="G94" s="64">
        <f>$G$71</f>
        <v>-2122416</v>
      </c>
      <c r="H94" s="64">
        <f>$H$71</f>
        <v>-2164864.32</v>
      </c>
      <c r="I94" s="64">
        <f>$I$71</f>
        <v>-2208161.6064</v>
      </c>
      <c r="J94" s="64">
        <f>$J$71</f>
        <v>-2252324.838528</v>
      </c>
      <c r="K94" s="64">
        <f>$K$71</f>
        <v>-2297371.3352985596</v>
      </c>
      <c r="L94" s="64">
        <f>$L$71</f>
        <v>-2343318.762004531</v>
      </c>
      <c r="M94" s="66">
        <f>$M$71</f>
        <v>-2390185.1372446218</v>
      </c>
    </row>
    <row r="95" spans="2:13" ht="11.25">
      <c r="B95" s="62" t="s">
        <v>27</v>
      </c>
      <c r="C95" s="65">
        <f>C82</f>
        <v>0</v>
      </c>
      <c r="D95" s="65">
        <f>$D$72</f>
        <v>1649693.175000001</v>
      </c>
      <c r="E95" s="65">
        <f>$E$72</f>
        <v>3606803.4617550005</v>
      </c>
      <c r="F95" s="65">
        <f>$F$72</f>
        <v>5904863.370232427</v>
      </c>
      <c r="G95" s="65">
        <f>$G$72</f>
        <v>6443003.058816032</v>
      </c>
      <c r="H95" s="65">
        <f>$H$72</f>
        <v>6860159.687529307</v>
      </c>
      <c r="I95" s="65">
        <f>$I$72</f>
        <v>7173759.748321473</v>
      </c>
      <c r="J95" s="65">
        <f>$J$72</f>
        <v>7493631.594731725</v>
      </c>
      <c r="K95" s="65">
        <f>$K$72</f>
        <v>7824414.128021431</v>
      </c>
      <c r="L95" s="65">
        <f>$L$72</f>
        <v>8166450.608614569</v>
      </c>
      <c r="M95" s="66">
        <f>$M$72</f>
        <v>8520094.89087088</v>
      </c>
    </row>
    <row r="96" spans="2:13" ht="11.25">
      <c r="B96" s="62" t="s">
        <v>24</v>
      </c>
      <c r="C96" s="65">
        <f>$H$53</f>
        <v>0</v>
      </c>
      <c r="D96" s="65">
        <f>$H$54</f>
        <v>0</v>
      </c>
      <c r="E96" s="65">
        <f>$H$55</f>
        <v>1298853.4500000007</v>
      </c>
      <c r="F96" s="65">
        <f>$H$56</f>
        <v>2784064.4235</v>
      </c>
      <c r="G96" s="65">
        <f>$H$57</f>
        <v>4468548.584778748</v>
      </c>
      <c r="H96" s="65">
        <f>$H$58</f>
        <v>4780186.013550431</v>
      </c>
      <c r="I96" s="65">
        <f>$H$59</f>
        <v>4989884.723753687</v>
      </c>
      <c r="J96" s="65">
        <f>$H$60</f>
        <v>5115674.974609991</v>
      </c>
      <c r="K96" s="65">
        <f>$H$61</f>
        <v>5238998.599229141</v>
      </c>
      <c r="L96" s="65"/>
      <c r="M96" s="66"/>
    </row>
    <row r="97" spans="2:13" ht="12" thickBot="1">
      <c r="B97" s="67" t="s">
        <v>23</v>
      </c>
      <c r="C97" s="68">
        <f aca="true" t="shared" si="28" ref="C97:M97">SUM(C94:C96)</f>
        <v>0</v>
      </c>
      <c r="D97" s="68">
        <f t="shared" si="28"/>
        <v>-23276756.100362316</v>
      </c>
      <c r="E97" s="68">
        <f t="shared" si="28"/>
        <v>-14667893.812882682</v>
      </c>
      <c r="F97" s="68">
        <f t="shared" si="28"/>
        <v>10811343.793732427</v>
      </c>
      <c r="G97" s="68">
        <f t="shared" si="28"/>
        <v>8789135.64359478</v>
      </c>
      <c r="H97" s="68">
        <f t="shared" si="28"/>
        <v>9475481.381079737</v>
      </c>
      <c r="I97" s="68">
        <f t="shared" si="28"/>
        <v>9955482.865675159</v>
      </c>
      <c r="J97" s="68">
        <f t="shared" si="28"/>
        <v>10356981.730813716</v>
      </c>
      <c r="K97" s="68">
        <f t="shared" si="28"/>
        <v>10766041.391952012</v>
      </c>
      <c r="L97" s="68">
        <f t="shared" si="28"/>
        <v>5823131.846610038</v>
      </c>
      <c r="M97" s="69">
        <f t="shared" si="28"/>
        <v>6129909.753626259</v>
      </c>
    </row>
    <row r="98" spans="2:14" ht="11.25">
      <c r="B98" s="43"/>
      <c r="C98" s="71" t="s">
        <v>51</v>
      </c>
      <c r="D98" s="72">
        <f>NPV(0.1,D97:M97)</f>
        <v>7516174.772858129</v>
      </c>
      <c r="E98" s="45"/>
      <c r="F98" s="43"/>
      <c r="G98" s="43"/>
      <c r="H98" s="43"/>
      <c r="I98" s="43"/>
      <c r="J98" s="43"/>
      <c r="K98" s="43"/>
      <c r="L98" s="43"/>
      <c r="M98" s="43"/>
      <c r="N98" s="43"/>
    </row>
    <row r="99" spans="2:14" ht="12" thickBot="1">
      <c r="B99" s="43"/>
      <c r="C99" s="31" t="s">
        <v>43</v>
      </c>
      <c r="D99" s="73">
        <f>IRR(D97:M97)</f>
        <v>0.15348945626942098</v>
      </c>
      <c r="E99" s="45"/>
      <c r="F99" s="43"/>
      <c r="G99" s="43"/>
      <c r="H99" s="43"/>
      <c r="I99" s="43"/>
      <c r="J99" s="43"/>
      <c r="K99" s="43"/>
      <c r="L99" s="43"/>
      <c r="M99" s="43"/>
      <c r="N99" s="43"/>
    </row>
    <row r="101" spans="2:4" ht="13.5" thickBot="1">
      <c r="B101" s="292" t="s">
        <v>55</v>
      </c>
      <c r="C101" s="293"/>
      <c r="D101" s="57">
        <f>I52</f>
        <v>2</v>
      </c>
    </row>
    <row r="102" spans="2:13" ht="11.25">
      <c r="B102" s="59"/>
      <c r="C102" s="60">
        <v>2005</v>
      </c>
      <c r="D102" s="60">
        <f aca="true" t="shared" si="29" ref="D102:M102">C102+1</f>
        <v>2006</v>
      </c>
      <c r="E102" s="60">
        <f t="shared" si="29"/>
        <v>2007</v>
      </c>
      <c r="F102" s="60">
        <f t="shared" si="29"/>
        <v>2008</v>
      </c>
      <c r="G102" s="60">
        <f t="shared" si="29"/>
        <v>2009</v>
      </c>
      <c r="H102" s="60">
        <f t="shared" si="29"/>
        <v>2010</v>
      </c>
      <c r="I102" s="60">
        <f t="shared" si="29"/>
        <v>2011</v>
      </c>
      <c r="J102" s="60">
        <f t="shared" si="29"/>
        <v>2012</v>
      </c>
      <c r="K102" s="60">
        <f t="shared" si="29"/>
        <v>2013</v>
      </c>
      <c r="L102" s="60">
        <f t="shared" si="29"/>
        <v>2014</v>
      </c>
      <c r="M102" s="61">
        <f t="shared" si="29"/>
        <v>2015</v>
      </c>
    </row>
    <row r="103" spans="2:13" ht="11.25">
      <c r="B103" s="62" t="s">
        <v>26</v>
      </c>
      <c r="C103" s="63">
        <v>0</v>
      </c>
      <c r="D103" s="63">
        <f>-Inv06</f>
        <v>-24926449.275362317</v>
      </c>
      <c r="E103" s="63">
        <f>-Inv07</f>
        <v>-19573550.724637683</v>
      </c>
      <c r="F103" s="64">
        <f>$F$71</f>
        <v>2122416</v>
      </c>
      <c r="G103" s="64">
        <f>$G$71</f>
        <v>-2122416</v>
      </c>
      <c r="H103" s="64">
        <f>$H$71</f>
        <v>-2164864.32</v>
      </c>
      <c r="I103" s="64">
        <f>$I$71</f>
        <v>-2208161.6064</v>
      </c>
      <c r="J103" s="64">
        <f>$J$71</f>
        <v>-2252324.838528</v>
      </c>
      <c r="K103" s="64">
        <f>$K$71</f>
        <v>-2297371.3352985596</v>
      </c>
      <c r="L103" s="64">
        <f>$L$71</f>
        <v>-2343318.762004531</v>
      </c>
      <c r="M103" s="66">
        <f>$M$71</f>
        <v>-2390185.1372446218</v>
      </c>
    </row>
    <row r="104" spans="2:13" ht="11.25">
      <c r="B104" s="62" t="s">
        <v>27</v>
      </c>
      <c r="C104" s="65">
        <f>C91</f>
        <v>0</v>
      </c>
      <c r="D104" s="65">
        <f>$D$72</f>
        <v>1649693.175000001</v>
      </c>
      <c r="E104" s="65">
        <f>$E$72</f>
        <v>3606803.4617550005</v>
      </c>
      <c r="F104" s="65">
        <f>$F$72</f>
        <v>5904863.370232427</v>
      </c>
      <c r="G104" s="65">
        <f>$G$72</f>
        <v>6443003.058816032</v>
      </c>
      <c r="H104" s="65">
        <f>$H$72</f>
        <v>6860159.687529307</v>
      </c>
      <c r="I104" s="65">
        <f>$I$72</f>
        <v>7173759.748321473</v>
      </c>
      <c r="J104" s="65">
        <f>$J$72</f>
        <v>7493631.594731725</v>
      </c>
      <c r="K104" s="65">
        <f>$K$72</f>
        <v>7824414.128021431</v>
      </c>
      <c r="L104" s="65">
        <f>$L$72</f>
        <v>8166450.608614569</v>
      </c>
      <c r="M104" s="66">
        <f>$M$72</f>
        <v>8520094.89087088</v>
      </c>
    </row>
    <row r="105" spans="2:13" ht="11.25">
      <c r="B105" s="62" t="s">
        <v>24</v>
      </c>
      <c r="C105" s="65">
        <f>$I$53</f>
        <v>0</v>
      </c>
      <c r="D105" s="65">
        <f>$I$54</f>
        <v>0</v>
      </c>
      <c r="E105" s="65">
        <f>$I$55</f>
        <v>865902.3000000005</v>
      </c>
      <c r="F105" s="65">
        <f>$I$56</f>
        <v>1856042.949</v>
      </c>
      <c r="G105" s="65">
        <f>$I$57</f>
        <v>2979032.389852499</v>
      </c>
      <c r="H105" s="65">
        <f>$I$58</f>
        <v>3186790.675700287</v>
      </c>
      <c r="I105" s="65">
        <f>$I$59</f>
        <v>3326589.815835791</v>
      </c>
      <c r="J105" s="65">
        <f>$I$60</f>
        <v>3410449.983073327</v>
      </c>
      <c r="K105" s="65">
        <f>$I$61</f>
        <v>3492665.7328194273</v>
      </c>
      <c r="L105" s="65"/>
      <c r="M105" s="66"/>
    </row>
    <row r="106" spans="2:13" ht="12" thickBot="1">
      <c r="B106" s="67" t="s">
        <v>23</v>
      </c>
      <c r="C106" s="68">
        <f aca="true" t="shared" si="30" ref="C106:M106">SUM(C103:C105)</f>
        <v>0</v>
      </c>
      <c r="D106" s="68">
        <f t="shared" si="30"/>
        <v>-23276756.100362316</v>
      </c>
      <c r="E106" s="68">
        <f t="shared" si="30"/>
        <v>-15100844.962882683</v>
      </c>
      <c r="F106" s="68">
        <f t="shared" si="30"/>
        <v>9883322.319232427</v>
      </c>
      <c r="G106" s="68">
        <f t="shared" si="30"/>
        <v>7299619.44866853</v>
      </c>
      <c r="H106" s="68">
        <f t="shared" si="30"/>
        <v>7882086.043229593</v>
      </c>
      <c r="I106" s="68">
        <f t="shared" si="30"/>
        <v>8292187.957757264</v>
      </c>
      <c r="J106" s="68">
        <f t="shared" si="30"/>
        <v>8651756.739277052</v>
      </c>
      <c r="K106" s="68">
        <f t="shared" si="30"/>
        <v>9019708.525542298</v>
      </c>
      <c r="L106" s="68">
        <f t="shared" si="30"/>
        <v>5823131.846610038</v>
      </c>
      <c r="M106" s="69">
        <f t="shared" si="30"/>
        <v>6129909.753626259</v>
      </c>
    </row>
    <row r="107" spans="2:14" ht="11.25">
      <c r="B107" s="43"/>
      <c r="C107" s="71" t="s">
        <v>51</v>
      </c>
      <c r="D107" s="72">
        <f>NPV(0.1,D106:M106)</f>
        <v>1825781.0594794424</v>
      </c>
      <c r="E107" s="45"/>
      <c r="F107" s="43"/>
      <c r="G107" s="43"/>
      <c r="H107" s="43"/>
      <c r="I107" s="43"/>
      <c r="J107" s="43"/>
      <c r="K107" s="43"/>
      <c r="L107" s="43"/>
      <c r="M107" s="43"/>
      <c r="N107" s="43"/>
    </row>
    <row r="108" spans="2:14" ht="12" thickBot="1">
      <c r="B108" s="43"/>
      <c r="C108" s="31" t="s">
        <v>43</v>
      </c>
      <c r="D108" s="73">
        <f>IRR(D106:M106)</f>
        <v>0.11331663294011204</v>
      </c>
      <c r="E108" s="45"/>
      <c r="F108" s="43"/>
      <c r="G108" s="43"/>
      <c r="H108" s="43"/>
      <c r="I108" s="43"/>
      <c r="J108" s="43"/>
      <c r="K108" s="43"/>
      <c r="L108" s="43"/>
      <c r="M108" s="43"/>
      <c r="N108" s="43"/>
    </row>
    <row r="110" spans="2:4" ht="13.5" thickBot="1">
      <c r="B110" s="292" t="s">
        <v>55</v>
      </c>
      <c r="C110" s="293"/>
      <c r="D110" s="57">
        <f>J52</f>
        <v>1</v>
      </c>
    </row>
    <row r="111" spans="2:13" ht="11.25">
      <c r="B111" s="59"/>
      <c r="C111" s="60">
        <v>2005</v>
      </c>
      <c r="D111" s="60">
        <f aca="true" t="shared" si="31" ref="D111:M111">C111+1</f>
        <v>2006</v>
      </c>
      <c r="E111" s="60">
        <f t="shared" si="31"/>
        <v>2007</v>
      </c>
      <c r="F111" s="60">
        <f t="shared" si="31"/>
        <v>2008</v>
      </c>
      <c r="G111" s="60">
        <f t="shared" si="31"/>
        <v>2009</v>
      </c>
      <c r="H111" s="60">
        <f t="shared" si="31"/>
        <v>2010</v>
      </c>
      <c r="I111" s="60">
        <f t="shared" si="31"/>
        <v>2011</v>
      </c>
      <c r="J111" s="60">
        <f t="shared" si="31"/>
        <v>2012</v>
      </c>
      <c r="K111" s="60">
        <f t="shared" si="31"/>
        <v>2013</v>
      </c>
      <c r="L111" s="60">
        <f t="shared" si="31"/>
        <v>2014</v>
      </c>
      <c r="M111" s="61">
        <f t="shared" si="31"/>
        <v>2015</v>
      </c>
    </row>
    <row r="112" spans="2:13" ht="11.25">
      <c r="B112" s="62" t="s">
        <v>26</v>
      </c>
      <c r="C112" s="63">
        <v>0</v>
      </c>
      <c r="D112" s="63">
        <f>-Inv06</f>
        <v>-24926449.275362317</v>
      </c>
      <c r="E112" s="63">
        <f>-Inv07</f>
        <v>-19573550.724637683</v>
      </c>
      <c r="F112" s="64">
        <f>$F$71</f>
        <v>2122416</v>
      </c>
      <c r="G112" s="64">
        <f>$G$71</f>
        <v>-2122416</v>
      </c>
      <c r="H112" s="64">
        <f>$H$71</f>
        <v>-2164864.32</v>
      </c>
      <c r="I112" s="64">
        <f>$I$71</f>
        <v>-2208161.6064</v>
      </c>
      <c r="J112" s="64">
        <f>$J$71</f>
        <v>-2252324.838528</v>
      </c>
      <c r="K112" s="64">
        <f>$K$71</f>
        <v>-2297371.3352985596</v>
      </c>
      <c r="L112" s="64">
        <f>$L$71</f>
        <v>-2343318.762004531</v>
      </c>
      <c r="M112" s="66">
        <f>$M$71</f>
        <v>-2390185.1372446218</v>
      </c>
    </row>
    <row r="113" spans="2:13" ht="11.25">
      <c r="B113" s="62" t="s">
        <v>27</v>
      </c>
      <c r="C113" s="65">
        <f>C100</f>
        <v>0</v>
      </c>
      <c r="D113" s="65">
        <f>$D$72</f>
        <v>1649693.175000001</v>
      </c>
      <c r="E113" s="65">
        <f>$E$72</f>
        <v>3606803.4617550005</v>
      </c>
      <c r="F113" s="65">
        <f>$F$72</f>
        <v>5904863.370232427</v>
      </c>
      <c r="G113" s="65">
        <f>$G$72</f>
        <v>6443003.058816032</v>
      </c>
      <c r="H113" s="65">
        <f>$H$72</f>
        <v>6860159.687529307</v>
      </c>
      <c r="I113" s="65">
        <f>$I$72</f>
        <v>7173759.748321473</v>
      </c>
      <c r="J113" s="65">
        <f>$J$72</f>
        <v>7493631.594731725</v>
      </c>
      <c r="K113" s="65">
        <f>$K$72</f>
        <v>7824414.128021431</v>
      </c>
      <c r="L113" s="65">
        <f>$L$72</f>
        <v>8166450.608614569</v>
      </c>
      <c r="M113" s="66">
        <f>$M$72</f>
        <v>8520094.89087088</v>
      </c>
    </row>
    <row r="114" spans="2:13" ht="11.25">
      <c r="B114" s="62" t="s">
        <v>24</v>
      </c>
      <c r="C114" s="65">
        <f>$J$53</f>
        <v>0</v>
      </c>
      <c r="D114" s="65">
        <f>$J$54</f>
        <v>0</v>
      </c>
      <c r="E114" s="65">
        <f>$J$55</f>
        <v>432951.15000000026</v>
      </c>
      <c r="F114" s="65">
        <f>$J$56</f>
        <v>928021.4745</v>
      </c>
      <c r="G114" s="65">
        <f>$J$57</f>
        <v>1489516.1949262496</v>
      </c>
      <c r="H114" s="65">
        <f>$J$58</f>
        <v>1593395.3378501434</v>
      </c>
      <c r="I114" s="65">
        <f>$J$59</f>
        <v>1663294.9079178956</v>
      </c>
      <c r="J114" s="65">
        <f>$J$60</f>
        <v>1705224.9915366636</v>
      </c>
      <c r="K114" s="65">
        <f>$J$61</f>
        <v>1746332.8664097136</v>
      </c>
      <c r="L114" s="65"/>
      <c r="M114" s="66"/>
    </row>
    <row r="115" spans="2:13" ht="12" thickBot="1">
      <c r="B115" s="67" t="s">
        <v>23</v>
      </c>
      <c r="C115" s="68">
        <f aca="true" t="shared" si="32" ref="C115:M115">SUM(C112:C114)</f>
        <v>0</v>
      </c>
      <c r="D115" s="68">
        <f t="shared" si="32"/>
        <v>-23276756.100362316</v>
      </c>
      <c r="E115" s="68">
        <f t="shared" si="32"/>
        <v>-15533796.112882683</v>
      </c>
      <c r="F115" s="68">
        <f t="shared" si="32"/>
        <v>8955300.844732426</v>
      </c>
      <c r="G115" s="68">
        <f t="shared" si="32"/>
        <v>5810103.253742281</v>
      </c>
      <c r="H115" s="68">
        <f t="shared" si="32"/>
        <v>6288690.70537945</v>
      </c>
      <c r="I115" s="68">
        <f t="shared" si="32"/>
        <v>6628893.049839368</v>
      </c>
      <c r="J115" s="68">
        <f t="shared" si="32"/>
        <v>6946531.747740389</v>
      </c>
      <c r="K115" s="68">
        <f t="shared" si="32"/>
        <v>7273375.659132585</v>
      </c>
      <c r="L115" s="68">
        <f t="shared" si="32"/>
        <v>5823131.846610038</v>
      </c>
      <c r="M115" s="69">
        <f t="shared" si="32"/>
        <v>6129909.753626259</v>
      </c>
    </row>
    <row r="116" spans="2:14" ht="11.25">
      <c r="B116" s="43"/>
      <c r="C116" s="71" t="s">
        <v>51</v>
      </c>
      <c r="D116" s="72">
        <f>NPV(0.1,D115:M115)</f>
        <v>-3864612.653899247</v>
      </c>
      <c r="E116" s="45"/>
      <c r="F116" s="43"/>
      <c r="G116" s="43"/>
      <c r="H116" s="43"/>
      <c r="I116" s="43"/>
      <c r="J116" s="43"/>
      <c r="K116" s="43"/>
      <c r="L116" s="43"/>
      <c r="M116" s="43"/>
      <c r="N116" s="43"/>
    </row>
    <row r="117" spans="2:14" ht="12" thickBot="1">
      <c r="B117" s="43"/>
      <c r="C117" s="31" t="s">
        <v>43</v>
      </c>
      <c r="D117" s="73">
        <f>IRR(D115:M115)</f>
        <v>0.0710810679911127</v>
      </c>
      <c r="E117" s="45"/>
      <c r="F117" s="43"/>
      <c r="G117" s="43"/>
      <c r="H117" s="43"/>
      <c r="I117" s="43"/>
      <c r="J117" s="43"/>
      <c r="K117" s="43"/>
      <c r="L117" s="43"/>
      <c r="M117" s="43"/>
      <c r="N117" s="43"/>
    </row>
    <row r="119" spans="2:4" ht="13.5" thickBot="1">
      <c r="B119" s="292" t="s">
        <v>55</v>
      </c>
      <c r="C119" s="293"/>
      <c r="D119" s="57">
        <f>K52</f>
        <v>0</v>
      </c>
    </row>
    <row r="120" spans="2:13" ht="11.25">
      <c r="B120" s="59"/>
      <c r="C120" s="60">
        <v>2005</v>
      </c>
      <c r="D120" s="60">
        <f aca="true" t="shared" si="33" ref="D120:M120">C120+1</f>
        <v>2006</v>
      </c>
      <c r="E120" s="60">
        <f t="shared" si="33"/>
        <v>2007</v>
      </c>
      <c r="F120" s="60">
        <f t="shared" si="33"/>
        <v>2008</v>
      </c>
      <c r="G120" s="60">
        <f t="shared" si="33"/>
        <v>2009</v>
      </c>
      <c r="H120" s="60">
        <f t="shared" si="33"/>
        <v>2010</v>
      </c>
      <c r="I120" s="60">
        <f t="shared" si="33"/>
        <v>2011</v>
      </c>
      <c r="J120" s="60">
        <f t="shared" si="33"/>
        <v>2012</v>
      </c>
      <c r="K120" s="60">
        <f t="shared" si="33"/>
        <v>2013</v>
      </c>
      <c r="L120" s="60">
        <f t="shared" si="33"/>
        <v>2014</v>
      </c>
      <c r="M120" s="61">
        <f t="shared" si="33"/>
        <v>2015</v>
      </c>
    </row>
    <row r="121" spans="2:13" ht="11.25">
      <c r="B121" s="62" t="s">
        <v>26</v>
      </c>
      <c r="C121" s="63">
        <v>0</v>
      </c>
      <c r="D121" s="63">
        <f>-Inv06</f>
        <v>-24926449.275362317</v>
      </c>
      <c r="E121" s="63">
        <f>-Inv07</f>
        <v>-19573550.724637683</v>
      </c>
      <c r="F121" s="64">
        <f>$F$71</f>
        <v>2122416</v>
      </c>
      <c r="G121" s="64">
        <f>$G$71</f>
        <v>-2122416</v>
      </c>
      <c r="H121" s="64">
        <f>$H$71</f>
        <v>-2164864.32</v>
      </c>
      <c r="I121" s="64">
        <f>$I$71</f>
        <v>-2208161.6064</v>
      </c>
      <c r="J121" s="64">
        <f>$J$71</f>
        <v>-2252324.838528</v>
      </c>
      <c r="K121" s="64">
        <f>$K$71</f>
        <v>-2297371.3352985596</v>
      </c>
      <c r="L121" s="64">
        <f>$L$71</f>
        <v>-2343318.762004531</v>
      </c>
      <c r="M121" s="66">
        <f>$M$71</f>
        <v>-2390185.1372446218</v>
      </c>
    </row>
    <row r="122" spans="2:13" ht="11.25">
      <c r="B122" s="62" t="s">
        <v>27</v>
      </c>
      <c r="C122" s="65">
        <f>C109</f>
        <v>0</v>
      </c>
      <c r="D122" s="65">
        <f>$D$72</f>
        <v>1649693.175000001</v>
      </c>
      <c r="E122" s="65">
        <f>$E$72</f>
        <v>3606803.4617550005</v>
      </c>
      <c r="F122" s="65">
        <f>$F$72</f>
        <v>5904863.370232427</v>
      </c>
      <c r="G122" s="65">
        <f>$G$72</f>
        <v>6443003.058816032</v>
      </c>
      <c r="H122" s="65">
        <f>$H$72</f>
        <v>6860159.687529307</v>
      </c>
      <c r="I122" s="65">
        <f>$I$72</f>
        <v>7173759.748321473</v>
      </c>
      <c r="J122" s="65">
        <f>$J$72</f>
        <v>7493631.594731725</v>
      </c>
      <c r="K122" s="65">
        <f>$K$72</f>
        <v>7824414.128021431</v>
      </c>
      <c r="L122" s="65">
        <f>$L$72</f>
        <v>8166450.608614569</v>
      </c>
      <c r="M122" s="66">
        <f>$M$72</f>
        <v>8520094.89087088</v>
      </c>
    </row>
    <row r="123" spans="2:13" ht="11.25">
      <c r="B123" s="62" t="s">
        <v>24</v>
      </c>
      <c r="C123" s="65">
        <f>$K$53</f>
        <v>0</v>
      </c>
      <c r="D123" s="65">
        <f>$K$54</f>
        <v>0</v>
      </c>
      <c r="E123" s="65">
        <f>$K$55</f>
        <v>0</v>
      </c>
      <c r="F123" s="65">
        <f>$K$56</f>
        <v>0</v>
      </c>
      <c r="G123" s="65">
        <f>$K$57</f>
        <v>0</v>
      </c>
      <c r="H123" s="65">
        <f>$K$58</f>
        <v>0</v>
      </c>
      <c r="I123" s="65">
        <f>$K$59</f>
        <v>0</v>
      </c>
      <c r="J123" s="65">
        <f>$K$60</f>
        <v>0</v>
      </c>
      <c r="K123" s="65">
        <f>$K$61</f>
        <v>0</v>
      </c>
      <c r="L123" s="65"/>
      <c r="M123" s="66"/>
    </row>
    <row r="124" spans="2:13" ht="12" thickBot="1">
      <c r="B124" s="67" t="s">
        <v>23</v>
      </c>
      <c r="C124" s="68">
        <f aca="true" t="shared" si="34" ref="C124:M124">SUM(C121:C123)</f>
        <v>0</v>
      </c>
      <c r="D124" s="68">
        <f t="shared" si="34"/>
        <v>-23276756.100362316</v>
      </c>
      <c r="E124" s="68">
        <f t="shared" si="34"/>
        <v>-15966747.262882683</v>
      </c>
      <c r="F124" s="68">
        <f t="shared" si="34"/>
        <v>8027279.370232427</v>
      </c>
      <c r="G124" s="68">
        <f t="shared" si="34"/>
        <v>4320587.058816032</v>
      </c>
      <c r="H124" s="68">
        <f t="shared" si="34"/>
        <v>4695295.367529307</v>
      </c>
      <c r="I124" s="68">
        <f t="shared" si="34"/>
        <v>4965598.141921473</v>
      </c>
      <c r="J124" s="68">
        <f t="shared" si="34"/>
        <v>5241306.756203725</v>
      </c>
      <c r="K124" s="68">
        <f t="shared" si="34"/>
        <v>5527042.7927228715</v>
      </c>
      <c r="L124" s="68">
        <f t="shared" si="34"/>
        <v>5823131.846610038</v>
      </c>
      <c r="M124" s="69">
        <f t="shared" si="34"/>
        <v>6129909.753626259</v>
      </c>
    </row>
    <row r="125" spans="2:14" ht="11.25">
      <c r="B125" s="43"/>
      <c r="C125" s="71" t="s">
        <v>51</v>
      </c>
      <c r="D125" s="72">
        <f>NPV(0.1,D124:M124)</f>
        <v>-9555006.367277931</v>
      </c>
      <c r="E125" s="45"/>
      <c r="F125" s="43"/>
      <c r="G125" s="43"/>
      <c r="H125" s="43"/>
      <c r="I125" s="43"/>
      <c r="J125" s="43"/>
      <c r="K125" s="43"/>
      <c r="L125" s="43"/>
      <c r="M125" s="43"/>
      <c r="N125" s="43"/>
    </row>
    <row r="126" spans="2:14" ht="12" thickBot="1">
      <c r="B126" s="43"/>
      <c r="C126" s="31" t="s">
        <v>43</v>
      </c>
      <c r="D126" s="73">
        <f>IRR($D$124:$M$124)</f>
        <v>0.026594489162951592</v>
      </c>
      <c r="E126" s="45"/>
      <c r="F126" s="43"/>
      <c r="G126" s="43"/>
      <c r="H126" s="43"/>
      <c r="I126" s="43"/>
      <c r="J126" s="43"/>
      <c r="K126" s="43"/>
      <c r="L126" s="43"/>
      <c r="M126" s="43"/>
      <c r="N126" s="43"/>
    </row>
    <row r="127" spans="3:4" ht="12" thickBot="1">
      <c r="C127" s="31" t="s">
        <v>47</v>
      </c>
      <c r="D127" s="73">
        <f>IRR($D$124:$L$124)</f>
        <v>-0.0036609054439963556</v>
      </c>
    </row>
    <row r="128" spans="3:4" ht="12" thickBot="1">
      <c r="C128" s="31" t="s">
        <v>48</v>
      </c>
      <c r="D128" s="73">
        <f>IRR($D$124:$K$124)</f>
        <v>-0.043832121071613515</v>
      </c>
    </row>
    <row r="129" spans="3:4" ht="12" thickBot="1">
      <c r="C129" s="31" t="s">
        <v>45</v>
      </c>
      <c r="D129" s="73">
        <f>IRR($D$124:$J$124)</f>
        <v>-0.09850482019256238</v>
      </c>
    </row>
    <row r="130" spans="3:4" ht="12" thickBot="1">
      <c r="C130" s="31" t="s">
        <v>46</v>
      </c>
      <c r="D130" s="73">
        <f>IRR($D$124:$I$124)</f>
        <v>-0.17508432436185659</v>
      </c>
    </row>
    <row r="131" spans="3:4" ht="12" thickBot="1">
      <c r="C131" s="31" t="s">
        <v>44</v>
      </c>
      <c r="D131" s="73" t="str">
        <f>IF(ISERR(IRR($D$124:$H$124)),"Doesn't exist",IRR($D$124:$H$124))</f>
        <v>Doesn't exist</v>
      </c>
    </row>
    <row r="133" spans="3:4" ht="22.5">
      <c r="C133" s="77" t="s">
        <v>56</v>
      </c>
      <c r="D133" s="77" t="s">
        <v>57</v>
      </c>
    </row>
    <row r="134" spans="3:4" ht="11.25">
      <c r="C134" s="78">
        <f>F$52</f>
        <v>5</v>
      </c>
      <c r="D134" s="79">
        <f>D76</f>
        <v>0.22850424918025938</v>
      </c>
    </row>
    <row r="135" spans="3:4" ht="11.25">
      <c r="C135" s="78">
        <f>G$52</f>
        <v>4</v>
      </c>
      <c r="D135" s="79">
        <f>D90</f>
        <v>0.19181527766203396</v>
      </c>
    </row>
    <row r="136" spans="3:4" ht="11.25">
      <c r="C136" s="78">
        <f>H$52</f>
        <v>3</v>
      </c>
      <c r="D136" s="79">
        <f>D99</f>
        <v>0.15348945626942098</v>
      </c>
    </row>
    <row r="137" spans="3:4" ht="11.25">
      <c r="C137" s="78">
        <f>I$52</f>
        <v>2</v>
      </c>
      <c r="D137" s="79">
        <f>D108</f>
        <v>0.11331663294011204</v>
      </c>
    </row>
    <row r="138" spans="3:4" ht="11.25">
      <c r="C138" s="78">
        <f>J$52</f>
        <v>1</v>
      </c>
      <c r="D138" s="79">
        <f>D117</f>
        <v>0.0710810679911127</v>
      </c>
    </row>
    <row r="139" spans="3:4" ht="11.25">
      <c r="C139" s="78">
        <f>K$52</f>
        <v>0</v>
      </c>
      <c r="D139" s="79">
        <f>D126</f>
        <v>0.026594489162951592</v>
      </c>
    </row>
  </sheetData>
  <mergeCells count="11">
    <mergeCell ref="K25:M25"/>
    <mergeCell ref="D25:E25"/>
    <mergeCell ref="F25:G25"/>
    <mergeCell ref="B47:C47"/>
    <mergeCell ref="B1:H1"/>
    <mergeCell ref="B69:C69"/>
    <mergeCell ref="B119:C119"/>
    <mergeCell ref="B83:C83"/>
    <mergeCell ref="B92:C92"/>
    <mergeCell ref="B101:C101"/>
    <mergeCell ref="B110:C110"/>
  </mergeCells>
  <conditionalFormatting sqref="B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4"/>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1:G71"/>
  <sheetViews>
    <sheetView workbookViewId="0" topLeftCell="A1">
      <selection activeCell="O84" sqref="O84"/>
    </sheetView>
  </sheetViews>
  <sheetFormatPr defaultColWidth="9.140625" defaultRowHeight="12.75"/>
  <cols>
    <col min="1" max="1" width="17.00390625" style="12" customWidth="1"/>
    <col min="2" max="3" width="14.421875" style="12" customWidth="1"/>
    <col min="4" max="4" width="13.57421875" style="12" customWidth="1"/>
    <col min="5" max="16384" width="9.140625" style="12" customWidth="1"/>
  </cols>
  <sheetData>
    <row r="1" spans="1:7" ht="12.75">
      <c r="A1" s="275">
        <f>IF('ERR &amp; Sensitivity Analysis'!$I$10="N","Note: Current calculations are based on user input and are not the original MCC estimates.",IF('ERR &amp; Sensitivity Analysis'!$I$11="N","Note: Current calculations are based on user input and are not the original MCC estimates.",0))</f>
        <v>0</v>
      </c>
      <c r="B1" s="275"/>
      <c r="C1" s="275"/>
      <c r="D1" s="275"/>
      <c r="E1" s="275"/>
      <c r="F1" s="275"/>
      <c r="G1" s="275"/>
    </row>
    <row r="2" s="94" customFormat="1" ht="20.25">
      <c r="A2" s="112" t="s">
        <v>109</v>
      </c>
    </row>
    <row r="3" s="94" customFormat="1" ht="20.25">
      <c r="A3" s="112"/>
    </row>
    <row r="6" spans="1:4" ht="10.5">
      <c r="A6" s="193" t="s">
        <v>49</v>
      </c>
      <c r="B6" s="194" t="s">
        <v>36</v>
      </c>
      <c r="C6" s="195" t="s">
        <v>37</v>
      </c>
      <c r="D6" s="196" t="s">
        <v>38</v>
      </c>
    </row>
    <row r="7" spans="1:4" ht="10.5">
      <c r="A7" s="183" t="str">
        <f>'IRR-high'!C76</f>
        <v>IRR (10 years)</v>
      </c>
      <c r="B7" s="191">
        <f>'IRR-high'!D76</f>
        <v>0.49860007581460725</v>
      </c>
      <c r="C7" s="184">
        <f>'IRR-medium'!$D76</f>
        <v>0.2914023394039744</v>
      </c>
      <c r="D7" s="191">
        <f>'IRR-low'!D76</f>
        <v>0.20282476643173591</v>
      </c>
    </row>
    <row r="8" spans="1:4" ht="10.5">
      <c r="A8" s="183" t="str">
        <f>'IRR-high'!C77</f>
        <v>IRR (9 years)</v>
      </c>
      <c r="B8" s="191">
        <f>'IRR-high'!D77</f>
        <v>0.49315916395801457</v>
      </c>
      <c r="C8" s="184">
        <f>'IRR-medium'!$D77</f>
        <v>0.28322553017271906</v>
      </c>
      <c r="D8" s="191">
        <f>'IRR-low'!D77</f>
        <v>0.1928759659710105</v>
      </c>
    </row>
    <row r="9" spans="1:4" ht="10.5">
      <c r="A9" s="183" t="str">
        <f>'IRR-high'!C78</f>
        <v>IRR (8 years)</v>
      </c>
      <c r="B9" s="191">
        <f>'IRR-high'!D78</f>
        <v>0.48496940130356736</v>
      </c>
      <c r="C9" s="184">
        <f>'IRR-medium'!$D78</f>
        <v>0.27231314542916546</v>
      </c>
      <c r="D9" s="191">
        <f>'IRR-low'!D78</f>
        <v>0.1804461522831379</v>
      </c>
    </row>
    <row r="10" spans="1:4" ht="10.5">
      <c r="A10" s="183" t="str">
        <f>'IRR-high'!C79</f>
        <v>IRR (7 years)</v>
      </c>
      <c r="B10" s="191">
        <f>'IRR-high'!D79</f>
        <v>0.45745035069422196</v>
      </c>
      <c r="C10" s="184">
        <f>'IRR-medium'!$D79</f>
        <v>0.23328514830455443</v>
      </c>
      <c r="D10" s="191">
        <f>'IRR-low'!D79</f>
        <v>0.13651431793332447</v>
      </c>
    </row>
    <row r="11" spans="1:4" ht="10.5">
      <c r="A11" s="183" t="str">
        <f>'IRR-high'!C80</f>
        <v>IRR (6 years)</v>
      </c>
      <c r="B11" s="191">
        <f>'IRR-high'!D80</f>
        <v>0.41008806177626317</v>
      </c>
      <c r="C11" s="184">
        <f>'IRR-medium'!$D80</f>
        <v>0.1700643785358153</v>
      </c>
      <c r="D11" s="191">
        <f>'IRR-low'!D80</f>
        <v>0.06833002224634245</v>
      </c>
    </row>
    <row r="12" spans="1:4" ht="10.5">
      <c r="A12" s="185" t="str">
        <f>'IRR-high'!C81</f>
        <v>IRR (5 years)</v>
      </c>
      <c r="B12" s="192">
        <f>'IRR-high'!D81</f>
        <v>0.32380587308062364</v>
      </c>
      <c r="C12" s="186">
        <f>'IRR-medium'!$D81</f>
        <v>0.060748629231925956</v>
      </c>
      <c r="D12" s="192">
        <f>'IRR-low'!D81</f>
        <v>-0.04372935894669206</v>
      </c>
    </row>
    <row r="32" spans="1:4" ht="31.5">
      <c r="A32" s="187" t="s">
        <v>56</v>
      </c>
      <c r="B32" s="15" t="s">
        <v>58</v>
      </c>
      <c r="C32" s="190" t="s">
        <v>59</v>
      </c>
      <c r="D32" s="15" t="s">
        <v>60</v>
      </c>
    </row>
    <row r="33" spans="1:4" ht="10.5">
      <c r="A33" s="179">
        <f>'IRR-high'!F52</f>
        <v>5</v>
      </c>
      <c r="B33" s="188">
        <f>'IRR-high'!D134</f>
        <v>0.49860007581460725</v>
      </c>
      <c r="C33" s="180">
        <f>'IRR-medium'!D134</f>
        <v>0.2914023394039744</v>
      </c>
      <c r="D33" s="188">
        <f>'IRR-low'!D134</f>
        <v>0.20282476643173591</v>
      </c>
    </row>
    <row r="34" spans="1:4" ht="10.5">
      <c r="A34" s="179">
        <f>'IRR-high'!G52</f>
        <v>4</v>
      </c>
      <c r="B34" s="188">
        <f>'IRR-high'!D135</f>
        <v>0.3688541983886168</v>
      </c>
      <c r="C34" s="180">
        <f>'IRR-medium'!D135</f>
        <v>0.2512473923140163</v>
      </c>
      <c r="D34" s="188">
        <f>'IRR-low'!D135</f>
        <v>0.16655863197897097</v>
      </c>
    </row>
    <row r="35" spans="1:4" ht="10.5">
      <c r="A35" s="179">
        <f>'IRR-high'!H52</f>
        <v>3</v>
      </c>
      <c r="B35" s="188">
        <f>'IRR-high'!D136</f>
        <v>0.31879455742607293</v>
      </c>
      <c r="C35" s="180">
        <f>'IRR-medium'!D136</f>
        <v>0.2093802320382504</v>
      </c>
      <c r="D35" s="188">
        <f>'IRR-low'!D136</f>
        <v>0.12874674196639976</v>
      </c>
    </row>
    <row r="36" spans="1:4" ht="10.5">
      <c r="A36" s="179">
        <f>'IRR-high'!I52</f>
        <v>2</v>
      </c>
      <c r="B36" s="188">
        <f>'IRR-high'!D137</f>
        <v>0.2665720392165793</v>
      </c>
      <c r="C36" s="180">
        <f>'IRR-medium'!D137</f>
        <v>0.16558501343099563</v>
      </c>
      <c r="D36" s="188">
        <f>'IRR-low'!D137</f>
        <v>0.08921061056984785</v>
      </c>
    </row>
    <row r="37" spans="1:4" ht="10.5">
      <c r="A37" s="179">
        <f>'IRR-high'!J52</f>
        <v>1</v>
      </c>
      <c r="B37" s="188">
        <f>'IRR-high'!D138</f>
        <v>0.21194550117633054</v>
      </c>
      <c r="C37" s="180">
        <f>'IRR-medium'!D138</f>
        <v>0.11964270210322477</v>
      </c>
      <c r="D37" s="188">
        <f>'IRR-low'!D138</f>
        <v>0.04777846617877438</v>
      </c>
    </row>
    <row r="38" spans="1:4" ht="10.5">
      <c r="A38" s="181">
        <f>'IRR-high'!K52</f>
        <v>0</v>
      </c>
      <c r="B38" s="189">
        <f>'IRR-high'!D139</f>
        <v>0.1547247435798798</v>
      </c>
      <c r="C38" s="182">
        <f>'IRR-medium'!D139</f>
        <v>0.07136765735329219</v>
      </c>
      <c r="D38" s="189">
        <f>'IRR-low'!D139</f>
        <v>0.004320842734923723</v>
      </c>
    </row>
    <row r="53" ht="11.25">
      <c r="C53" s="16"/>
    </row>
    <row r="65" spans="1:2" ht="10.5">
      <c r="A65" s="12" t="s">
        <v>49</v>
      </c>
      <c r="B65" s="13" t="s">
        <v>38</v>
      </c>
    </row>
    <row r="66" spans="1:2" ht="10.5">
      <c r="A66" s="13" t="str">
        <f>'IRR-low'!C126</f>
        <v>IRR (10 years)</v>
      </c>
      <c r="B66" s="14">
        <f>'IRR-low'!D126</f>
        <v>0.004320842734923723</v>
      </c>
    </row>
    <row r="67" spans="1:2" ht="10.5">
      <c r="A67" s="13" t="str">
        <f>'IRR-low'!C127</f>
        <v>IRR (9 years)</v>
      </c>
      <c r="B67" s="14">
        <f>'IRR-low'!D127</f>
        <v>-0.028294244611970876</v>
      </c>
    </row>
    <row r="68" spans="1:2" ht="10.5">
      <c r="A68" s="13" t="str">
        <f>'IRR-low'!C128</f>
        <v>IRR (8 years)</v>
      </c>
      <c r="B68" s="14">
        <f>'IRR-low'!D128</f>
        <v>-0.07164330987231089</v>
      </c>
    </row>
    <row r="69" spans="1:2" ht="10.5">
      <c r="A69" s="13" t="str">
        <f>'IRR-low'!C129</f>
        <v>IRR (7 years)</v>
      </c>
      <c r="B69" s="14">
        <f>'IRR-low'!D129</f>
        <v>-0.13083035569686177</v>
      </c>
    </row>
    <row r="70" spans="1:2" ht="10.5">
      <c r="A70" s="13" t="str">
        <f>'IRR-low'!C130</f>
        <v>IRR (6 years)</v>
      </c>
      <c r="B70" s="14">
        <f>'IRR-low'!D130</f>
        <v>-0.2143389307411842</v>
      </c>
    </row>
    <row r="71" spans="1:2" ht="10.5">
      <c r="A71" s="13" t="str">
        <f>'IRR-low'!C131</f>
        <v>IRR (5 years)</v>
      </c>
      <c r="B71" s="14" t="str">
        <f>'IRR-low'!D131</f>
        <v>Doesn't exist</v>
      </c>
    </row>
  </sheetData>
  <mergeCells count="1">
    <mergeCell ref="A1:G1"/>
  </mergeCells>
  <conditionalFormatting sqref="A1">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3"/>
  <dimension ref="A1:I21"/>
  <sheetViews>
    <sheetView workbookViewId="0" topLeftCell="A1">
      <selection activeCell="A2" sqref="A2"/>
    </sheetView>
  </sheetViews>
  <sheetFormatPr defaultColWidth="9.140625" defaultRowHeight="12.75"/>
  <cols>
    <col min="3" max="3" width="12.421875" style="0" customWidth="1"/>
    <col min="4" max="4" width="14.00390625" style="0" customWidth="1"/>
    <col min="5" max="5" width="12.7109375" style="0" customWidth="1"/>
  </cols>
  <sheetData>
    <row r="1" s="94" customFormat="1" ht="20.25">
      <c r="A1" s="112" t="s">
        <v>109</v>
      </c>
    </row>
    <row r="2" s="94" customFormat="1" ht="20.25">
      <c r="A2" s="112"/>
    </row>
    <row r="3" spans="1:9" ht="12.75" customHeight="1">
      <c r="A3" s="275">
        <f>IF('ERR &amp; Sensitivity Analysis'!$I$10="N","Note: Current calculations are based on user input and are not the original MCC estimates.",IF('ERR &amp; Sensitivity Analysis'!$I$11="N","Note: Current calculations are based on user input and are not the original MCC estimates.",0))</f>
        <v>0</v>
      </c>
      <c r="B3" s="275"/>
      <c r="C3" s="275"/>
      <c r="D3" s="275"/>
      <c r="E3" s="275"/>
      <c r="F3" s="275"/>
      <c r="G3" s="275"/>
      <c r="H3" s="275"/>
      <c r="I3" s="275"/>
    </row>
    <row r="4" spans="1:5" ht="38.25">
      <c r="A4" s="96" t="s">
        <v>5</v>
      </c>
      <c r="B4" s="166" t="s">
        <v>146</v>
      </c>
      <c r="C4" s="97" t="s">
        <v>66</v>
      </c>
      <c r="D4" s="97" t="s">
        <v>67</v>
      </c>
      <c r="E4" s="97" t="s">
        <v>68</v>
      </c>
    </row>
    <row r="5" spans="1:5" ht="12.75">
      <c r="A5" s="98">
        <f>'IRR-high'!B6</f>
        <v>2004</v>
      </c>
      <c r="B5" s="171">
        <f>'ERR Pipeline'!E25*'ERR Pipeline'!I25/1000000</f>
        <v>6.59425</v>
      </c>
      <c r="C5" s="172">
        <f>'IRR-high'!E26*'IRR-high'!I26/1000000</f>
        <v>6.59425</v>
      </c>
      <c r="D5" s="172">
        <f>'IRR-medium'!E26*'IRR-medium'!I26/1000000</f>
        <v>6.59425</v>
      </c>
      <c r="E5" s="172">
        <f>'IRR-low'!E26*'IRR-low'!I26/1000000</f>
        <v>6.59425</v>
      </c>
    </row>
    <row r="6" spans="1:5" ht="12.75">
      <c r="A6" s="98">
        <f>'IRR-high'!B7</f>
        <v>2005</v>
      </c>
      <c r="B6" s="171">
        <f>'ERR Pipeline'!E26*'ERR Pipeline'!I26/1000000</f>
        <v>7.45875</v>
      </c>
      <c r="C6" s="172">
        <f>'IRR-high'!E27*'IRR-high'!I27/1000000</f>
        <v>8.482500000000002</v>
      </c>
      <c r="D6" s="172">
        <f>'IRR-medium'!E27*'IRR-medium'!I27/1000000</f>
        <v>7.8325</v>
      </c>
      <c r="E6" s="172">
        <f>'IRR-low'!E27*'IRR-low'!I27/1000000</f>
        <v>7.45875</v>
      </c>
    </row>
    <row r="7" spans="1:5" ht="12.75">
      <c r="A7" s="98">
        <f>'IRR-high'!B8</f>
        <v>2006</v>
      </c>
      <c r="B7" s="171">
        <f>'ERR Pipeline'!E27*'ERR Pipeline'!I27/1000000</f>
        <v>8.248465875</v>
      </c>
      <c r="C7" s="172">
        <f>'IRR-high'!E28*'IRR-high'!I28/1000000</f>
        <v>10.4505375</v>
      </c>
      <c r="D7" s="172">
        <f>'IRR-medium'!E28*'IRR-medium'!I28/1000000</f>
        <v>8.8474035</v>
      </c>
      <c r="E7" s="172">
        <f>'IRR-low'!E28*'IRR-low'!I28/1000000</f>
        <v>8.248465875</v>
      </c>
    </row>
    <row r="8" spans="1:5" ht="12.75">
      <c r="A8" s="98">
        <f>'IRR-high'!B9</f>
        <v>2007</v>
      </c>
      <c r="B8" s="171">
        <f>'ERR Pipeline'!E28*'ERR Pipeline'!I28/1000000</f>
        <v>8.814130654387498</v>
      </c>
      <c r="C8" s="172">
        <f>'IRR-high'!E29*'IRR-high'!I29/1000000</f>
        <v>15.463107562499998</v>
      </c>
      <c r="D8" s="172">
        <f>'IRR-medium'!E29*'IRR-medium'!I29/1000000</f>
        <v>11.039359535099996</v>
      </c>
      <c r="E8" s="172">
        <f>'IRR-low'!E29*'IRR-low'!I29/1000000</f>
        <v>9.017008654387498</v>
      </c>
    </row>
    <row r="9" spans="1:5" ht="12.75">
      <c r="A9" s="98">
        <f>'IRR-high'!B10</f>
        <v>2008</v>
      </c>
      <c r="B9" s="171">
        <f>'ERR Pipeline'!E29*'ERR Pipeline'!I29/1000000</f>
        <v>9.841438950387378</v>
      </c>
      <c r="C9" s="172">
        <f>'IRR-high'!E30*'IRR-high'!I30/1000000</f>
        <v>16.426135192837496</v>
      </c>
      <c r="D9" s="172">
        <f>'IRR-medium'!E30*'IRR-medium'!I30/1000000</f>
        <v>12.139432509576057</v>
      </c>
      <c r="E9" s="172">
        <f>'IRR-low'!E30*'IRR-low'!I30/1000000</f>
        <v>9.841438950387376</v>
      </c>
    </row>
    <row r="10" spans="1:5" ht="12.75">
      <c r="A10" s="98">
        <f>'IRR-high'!B11</f>
        <v>2009</v>
      </c>
      <c r="B10" s="171">
        <f>'ERR Pipeline'!E30*'ERR Pipeline'!I30/1000000</f>
        <v>10.738338431360052</v>
      </c>
      <c r="C10" s="172">
        <f>'IRR-high'!E31*'IRR-high'!I31/1000000</f>
        <v>17.35141433190896</v>
      </c>
      <c r="D10" s="172">
        <f>'IRR-medium'!E31*'IRR-medium'!I31/1000000</f>
        <v>13.324995488608613</v>
      </c>
      <c r="E10" s="172">
        <f>'IRR-low'!E31*'IRR-low'!I31/1000000</f>
        <v>10.73833843136005</v>
      </c>
    </row>
    <row r="11" spans="1:5" ht="12.75">
      <c r="A11" s="98">
        <f>'IRR-high'!B12</f>
        <v>2010</v>
      </c>
      <c r="B11" s="171">
        <f>'ERR Pipeline'!E31*'ERR Pipeline'!I31/1000000</f>
        <v>11.433599479215511</v>
      </c>
      <c r="C11" s="172">
        <f>'IRR-high'!E32*'IRR-high'!I32/1000000</f>
        <v>18.115993544469898</v>
      </c>
      <c r="D11" s="172">
        <f>'IRR-medium'!E32*'IRR-medium'!I32/1000000</f>
        <v>14.719548096743901</v>
      </c>
      <c r="E11" s="172">
        <f>'IRR-low'!E32*'IRR-low'!I32/1000000</f>
        <v>11.43359947921551</v>
      </c>
    </row>
    <row r="12" spans="1:5" ht="12.75">
      <c r="A12" s="98">
        <f>'IRR-high'!B13</f>
        <v>2011</v>
      </c>
      <c r="B12" s="171">
        <f>'ERR Pipeline'!E32*'ERR Pipeline'!I32/1000000</f>
        <v>11.956266247202457</v>
      </c>
      <c r="C12" s="172">
        <f>'IRR-high'!E33*'IRR-high'!I33/1000000</f>
        <v>18.882871132423187</v>
      </c>
      <c r="D12" s="172">
        <f>'IRR-medium'!E33*'IRR-medium'!I33/1000000</f>
        <v>15.24131513249181</v>
      </c>
      <c r="E12" s="172">
        <f>'IRR-low'!E33*'IRR-low'!I33/1000000</f>
        <v>11.95626624720245</v>
      </c>
    </row>
    <row r="13" spans="1:5" ht="12.75">
      <c r="A13" s="98">
        <f>'IRR-high'!B14</f>
        <v>2012</v>
      </c>
      <c r="B13" s="171">
        <f>'ERR Pipeline'!E33*'ERR Pipeline'!I33/1000000</f>
        <v>12.489385991219542</v>
      </c>
      <c r="C13" s="172">
        <f>'IRR-high'!E34*'IRR-high'!I34/1000000</f>
        <v>19.685970090365373</v>
      </c>
      <c r="D13" s="172">
        <f>'IRR-medium'!E34*'IRR-medium'!I34/1000000</f>
        <v>15.777332287744704</v>
      </c>
      <c r="E13" s="172">
        <f>'IRR-low'!E34*'IRR-low'!I34/1000000</f>
        <v>12.489385991219539</v>
      </c>
    </row>
    <row r="14" spans="1:5" ht="12.75">
      <c r="A14" s="98">
        <f>'IRR-high'!B15</f>
        <v>2013</v>
      </c>
      <c r="B14" s="171">
        <f>'ERR Pipeline'!E34*'ERR Pipeline'!I34/1000000</f>
        <v>13.040690213369055</v>
      </c>
      <c r="C14" s="172">
        <f>'IRR-high'!E35*'IRR-high'!I35/1000000</f>
        <v>20.535337376472253</v>
      </c>
      <c r="D14" s="172">
        <f>'IRR-medium'!E35*'IRR-medium'!I35/1000000</f>
        <v>16.335768043244375</v>
      </c>
      <c r="E14" s="172">
        <f>'IRR-low'!E35*'IRR-low'!I35/1000000</f>
        <v>13.040690213369052</v>
      </c>
    </row>
    <row r="15" spans="1:5" ht="12.75">
      <c r="A15" s="98">
        <f>'IRR-high'!B16</f>
        <v>2014</v>
      </c>
      <c r="B15" s="171">
        <f>'ERR Pipeline'!E35*'ERR Pipeline'!I35/1000000</f>
        <v>13.610751014357621</v>
      </c>
      <c r="C15" s="172">
        <f>'IRR-high'!E36*'IRR-high'!I36/1000000</f>
        <v>21.434043008086544</v>
      </c>
      <c r="D15" s="172">
        <f>'IRR-medium'!E36*'IRR-medium'!I36/1000000</f>
        <v>16.917662702807124</v>
      </c>
      <c r="E15" s="172">
        <f>'IRR-low'!E36*'IRR-low'!I36/1000000</f>
        <v>13.610751014357614</v>
      </c>
    </row>
    <row r="16" spans="1:5" ht="12.75">
      <c r="A16" s="98">
        <f>'IRR-high'!B17</f>
        <v>2015</v>
      </c>
      <c r="B16" s="171">
        <f>'ERR Pipeline'!E36*'ERR Pipeline'!I36/1000000</f>
        <v>14.200158151451477</v>
      </c>
      <c r="C16" s="172">
        <f>'IRR-high'!E37*'IRR-high'!I37/1000000</f>
        <v>22.38537067310314</v>
      </c>
      <c r="D16" s="172">
        <f>'IRR-medium'!E37*'IRR-medium'!I37/1000000</f>
        <v>17.52410732807524</v>
      </c>
      <c r="E16" s="172">
        <f>'IRR-low'!E37*'IRR-low'!I37/1000000</f>
        <v>14.200158151451467</v>
      </c>
    </row>
    <row r="17" spans="1:5" ht="12.75">
      <c r="A17" s="98">
        <f>'IRR-high'!B18</f>
        <v>2016</v>
      </c>
      <c r="B17" s="171">
        <f>'ERR Pipeline'!E37*'ERR Pipeline'!I37/1000000</f>
        <v>14.607471263019644</v>
      </c>
      <c r="C17" s="172">
        <f>'IRR-high'!E38*'IRR-high'!I38/1000000</f>
        <v>23.39283281456477</v>
      </c>
      <c r="D17" s="172">
        <f>'IRR-medium'!E38*'IRR-medium'!I38/1000000</f>
        <v>18.15624626923204</v>
      </c>
      <c r="E17" s="172">
        <f>'IRR-low'!E38*'IRR-low'!I38/1000000</f>
        <v>14.607471263019635</v>
      </c>
    </row>
    <row r="18" spans="1:5" ht="12.75">
      <c r="A18" s="98">
        <f>'IRR-high'!B19</f>
        <v>2017</v>
      </c>
      <c r="B18" s="171">
        <f>'ERR Pipeline'!E38*'ERR Pipeline'!I38/1000000</f>
        <v>15.027283478002603</v>
      </c>
      <c r="C18" s="172">
        <f>'IRR-high'!E39*'IRR-high'!I39/1000000</f>
        <v>24.46018678454359</v>
      </c>
      <c r="D18" s="172">
        <f>'IRR-medium'!E39*'IRR-medium'!I39/1000000</f>
        <v>18.8152798230185</v>
      </c>
      <c r="E18" s="172">
        <f>'IRR-low'!E39*'IRR-low'!I39/1000000</f>
        <v>15.027283478002591</v>
      </c>
    </row>
    <row r="19" spans="1:5" ht="12.75">
      <c r="A19" s="98">
        <f>'IRR-high'!B20</f>
        <v>2018</v>
      </c>
      <c r="B19" s="171">
        <f>'ERR Pipeline'!E39*'ERR Pipeline'!I39/1000000</f>
        <v>15.459998433762431</v>
      </c>
      <c r="C19" s="172">
        <f>'IRR-high'!E40*'IRR-high'!I40/1000000</f>
        <v>25.591452143193813</v>
      </c>
      <c r="D19" s="172">
        <f>'IRR-medium'!E40*'IRR-medium'!I40/1000000</f>
        <v>19.50246702447782</v>
      </c>
      <c r="E19" s="172">
        <f>'IRR-low'!E40*'IRR-low'!I40/1000000</f>
        <v>15.459998433762419</v>
      </c>
    </row>
    <row r="20" spans="1:5" ht="12.75">
      <c r="A20" s="98">
        <f>'IRR-high'!B21</f>
        <v>2019</v>
      </c>
      <c r="B20" s="171">
        <f>'ERR Pipeline'!E40*'ERR Pipeline'!I40/1000000</f>
        <v>15.906033264440305</v>
      </c>
      <c r="C20" s="172">
        <f>'IRR-high'!E41*'IRR-high'!I41/1000000</f>
        <v>26.790929184247148</v>
      </c>
      <c r="D20" s="172">
        <f>'IRR-medium'!E41*'IRR-medium'!I41/1000000</f>
        <v>20.219128579179277</v>
      </c>
      <c r="E20" s="172">
        <f>'IRR-low'!E41*'IRR-low'!I41/1000000</f>
        <v>15.906033264440293</v>
      </c>
    </row>
    <row r="21" spans="1:5" ht="12.75">
      <c r="A21" s="98">
        <f>'IRR-high'!B22</f>
        <v>2020</v>
      </c>
      <c r="B21" s="171">
        <f>'ERR Pipeline'!E41*'ERR Pipeline'!I41/1000000</f>
        <v>16.36581906236043</v>
      </c>
      <c r="C21" s="172">
        <f>'IRR-high'!E42*'IRR-high'!I42/1000000</f>
        <v>28.063218773993007</v>
      </c>
      <c r="D21" s="172">
        <f>'IRR-medium'!E42*'IRR-medium'!I42/1000000</f>
        <v>20.966649943013884</v>
      </c>
      <c r="E21" s="172">
        <f>'IRR-low'!E42*'IRR-low'!I42/1000000</f>
        <v>16.365819062360412</v>
      </c>
    </row>
  </sheetData>
  <mergeCells count="1">
    <mergeCell ref="A3:I3"/>
  </mergeCells>
  <conditionalFormatting sqref="A3">
    <cfRule type="cellIs" priority="1" dxfId="0" operator="equal" stopIfTrue="1">
      <formula>0</formula>
    </cfRule>
    <cfRule type="cellIs" priority="2" dxfId="1" operator="notEqual" stopIfTrue="1">
      <formula>0</formula>
    </cfRule>
  </conditionalFormatting>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1:B25"/>
  <sheetViews>
    <sheetView showGridLines="0" tabSelected="1" workbookViewId="0" topLeftCell="A1">
      <selection activeCell="B4" sqref="B4"/>
    </sheetView>
  </sheetViews>
  <sheetFormatPr defaultColWidth="9.140625" defaultRowHeight="12.75"/>
  <cols>
    <col min="1" max="1" width="5.7109375" style="0" customWidth="1"/>
    <col min="2" max="2" width="106.421875" style="0" customWidth="1"/>
  </cols>
  <sheetData>
    <row r="1" ht="12.75">
      <c r="B1" s="247" t="s">
        <v>165</v>
      </c>
    </row>
    <row r="2" ht="27.75" customHeight="1">
      <c r="B2" s="112" t="s">
        <v>109</v>
      </c>
    </row>
    <row r="4" ht="18">
      <c r="B4" s="111" t="s">
        <v>187</v>
      </c>
    </row>
    <row r="6" ht="12.75">
      <c r="B6" s="102" t="s">
        <v>171</v>
      </c>
    </row>
    <row r="7" ht="6.75" customHeight="1"/>
    <row r="8" s="173" customFormat="1" ht="39.75" customHeight="1">
      <c r="B8" s="173" t="s">
        <v>194</v>
      </c>
    </row>
    <row r="9" ht="6.75" customHeight="1"/>
    <row r="10" ht="12.75">
      <c r="B10" s="102" t="s">
        <v>181</v>
      </c>
    </row>
    <row r="11" ht="6.75" customHeight="1"/>
    <row r="12" ht="12.75">
      <c r="B12" s="173" t="s">
        <v>195</v>
      </c>
    </row>
    <row r="13" ht="12.75">
      <c r="B13" s="173" t="s">
        <v>190</v>
      </c>
    </row>
    <row r="14" ht="27" customHeight="1">
      <c r="B14" s="173" t="s">
        <v>184</v>
      </c>
    </row>
    <row r="15" ht="25.5">
      <c r="B15" s="173" t="s">
        <v>185</v>
      </c>
    </row>
    <row r="16" ht="12.75">
      <c r="B16" s="173" t="s">
        <v>183</v>
      </c>
    </row>
    <row r="17" ht="39" customHeight="1">
      <c r="B17" s="173" t="s">
        <v>191</v>
      </c>
    </row>
    <row r="18" ht="6.75" customHeight="1">
      <c r="B18" s="173"/>
    </row>
    <row r="19" ht="12.75">
      <c r="B19" s="102" t="s">
        <v>182</v>
      </c>
    </row>
    <row r="20" ht="6.75" customHeight="1"/>
    <row r="21" ht="51">
      <c r="B21" s="173" t="s">
        <v>196</v>
      </c>
    </row>
    <row r="22" ht="89.25">
      <c r="B22" s="173" t="s">
        <v>186</v>
      </c>
    </row>
    <row r="25" ht="12.75">
      <c r="B25" s="247"/>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I25"/>
  <sheetViews>
    <sheetView showGridLines="0" zoomScale="90" zoomScaleNormal="90" workbookViewId="0" topLeftCell="A1">
      <selection activeCell="A1" sqref="A1"/>
    </sheetView>
  </sheetViews>
  <sheetFormatPr defaultColWidth="9.140625" defaultRowHeight="12.75"/>
  <cols>
    <col min="1" max="1" width="5.7109375" style="0" customWidth="1"/>
    <col min="2" max="2" width="18.00390625" style="0" bestFit="1" customWidth="1"/>
    <col min="3" max="3" width="47.421875" style="0" customWidth="1"/>
    <col min="4" max="5" width="13.421875" style="0" customWidth="1"/>
    <col min="6" max="6" width="14.421875" style="0" customWidth="1"/>
    <col min="7" max="7" width="14.140625" style="0" customWidth="1"/>
    <col min="8" max="8" width="5.7109375" style="0" customWidth="1"/>
    <col min="9" max="9" width="19.28125" style="0" customWidth="1"/>
  </cols>
  <sheetData>
    <row r="2" spans="2:6" ht="23.25">
      <c r="B2" s="112" t="s">
        <v>109</v>
      </c>
      <c r="D2" s="113"/>
      <c r="E2" s="114"/>
      <c r="F2" s="114"/>
    </row>
    <row r="3" spans="2:6" ht="12.75">
      <c r="B3" s="114"/>
      <c r="D3" s="114"/>
      <c r="E3" s="114"/>
      <c r="F3" s="114"/>
    </row>
    <row r="4" spans="2:7" ht="18">
      <c r="B4" s="115" t="s">
        <v>103</v>
      </c>
      <c r="D4" s="114"/>
      <c r="E4" s="114"/>
      <c r="F4" s="114"/>
      <c r="G4" s="247" t="s">
        <v>165</v>
      </c>
    </row>
    <row r="5" spans="3:6" ht="12.75">
      <c r="C5" s="114"/>
      <c r="D5" s="114"/>
      <c r="E5" s="114"/>
      <c r="F5" s="114"/>
    </row>
    <row r="6" spans="2:7" ht="39" customHeight="1">
      <c r="B6" s="274" t="s">
        <v>170</v>
      </c>
      <c r="C6" s="274"/>
      <c r="D6" s="274"/>
      <c r="E6" s="274"/>
      <c r="F6" s="274"/>
      <c r="G6" s="274"/>
    </row>
    <row r="7" spans="3:6" ht="12.75">
      <c r="C7" s="114"/>
      <c r="D7" s="114"/>
      <c r="E7" s="114"/>
      <c r="F7" s="114"/>
    </row>
    <row r="8" spans="2:7" ht="15.75">
      <c r="B8" s="276" t="s">
        <v>166</v>
      </c>
      <c r="C8" s="276" t="s">
        <v>104</v>
      </c>
      <c r="D8" s="278" t="s">
        <v>105</v>
      </c>
      <c r="E8" s="278"/>
      <c r="F8" s="278"/>
      <c r="G8" s="278"/>
    </row>
    <row r="9" spans="2:9" ht="39" thickBot="1">
      <c r="B9" s="277"/>
      <c r="C9" s="277"/>
      <c r="D9" s="208" t="s">
        <v>167</v>
      </c>
      <c r="E9" s="209" t="s">
        <v>168</v>
      </c>
      <c r="F9" s="209" t="s">
        <v>169</v>
      </c>
      <c r="G9" s="209" t="s">
        <v>106</v>
      </c>
      <c r="I9" s="233" t="s">
        <v>176</v>
      </c>
    </row>
    <row r="10" spans="2:9" ht="33" customHeight="1">
      <c r="B10" s="211" t="s">
        <v>171</v>
      </c>
      <c r="C10" s="212" t="s">
        <v>172</v>
      </c>
      <c r="D10" s="213">
        <v>1</v>
      </c>
      <c r="E10" s="214">
        <v>1</v>
      </c>
      <c r="F10" s="210" t="s">
        <v>173</v>
      </c>
      <c r="G10" s="215">
        <f>D10</f>
        <v>1</v>
      </c>
      <c r="I10" s="234" t="str">
        <f>IF(D10=E10,IF(D11=E11,"Y","N"),"N")</f>
        <v>Y</v>
      </c>
    </row>
    <row r="11" spans="2:9" ht="33" customHeight="1">
      <c r="B11" s="216" t="s">
        <v>171</v>
      </c>
      <c r="C11" s="212" t="s">
        <v>174</v>
      </c>
      <c r="D11" s="213">
        <v>1</v>
      </c>
      <c r="E11" s="214">
        <v>1</v>
      </c>
      <c r="F11" s="210" t="s">
        <v>173</v>
      </c>
      <c r="G11" s="215">
        <f>D11</f>
        <v>1</v>
      </c>
      <c r="I11" s="235" t="str">
        <f>IF(D13=E13,IF(D14=E14,IF(D15=E15,IF(D16=E16,IF(D17=E17,IF(D18=E18,IF(D19=E19,"Y","N"),"N"),"N"),"N"),"N"),"N"),"N")</f>
        <v>Y</v>
      </c>
    </row>
    <row r="12" spans="2:9" ht="15.75">
      <c r="B12" s="217"/>
      <c r="C12" s="217"/>
      <c r="D12" s="218"/>
      <c r="E12" s="219"/>
      <c r="F12" s="219"/>
      <c r="G12" s="245"/>
      <c r="I12" s="114"/>
    </row>
    <row r="13" spans="2:9" ht="33" customHeight="1">
      <c r="B13" s="220" t="s">
        <v>175</v>
      </c>
      <c r="C13" s="221" t="s">
        <v>200</v>
      </c>
      <c r="D13" s="222">
        <v>17.4</v>
      </c>
      <c r="E13" s="223">
        <v>17.4</v>
      </c>
      <c r="F13" s="242" t="s">
        <v>155</v>
      </c>
      <c r="G13" s="241">
        <f aca="true" t="shared" si="0" ref="G13:G19">IF($I$10="Y",D13,E13)</f>
        <v>17.4</v>
      </c>
      <c r="I13" s="236" t="s">
        <v>177</v>
      </c>
    </row>
    <row r="14" spans="2:9" ht="33" customHeight="1">
      <c r="B14" s="220" t="s">
        <v>175</v>
      </c>
      <c r="C14" s="221" t="s">
        <v>136</v>
      </c>
      <c r="D14" s="224">
        <v>1</v>
      </c>
      <c r="E14" s="225">
        <v>1</v>
      </c>
      <c r="F14" s="243" t="s">
        <v>141</v>
      </c>
      <c r="G14" s="266">
        <f t="shared" si="0"/>
        <v>1</v>
      </c>
      <c r="I14" s="253" t="s">
        <v>188</v>
      </c>
    </row>
    <row r="15" spans="2:9" ht="33" customHeight="1">
      <c r="B15" s="220" t="s">
        <v>175</v>
      </c>
      <c r="C15" s="221" t="s">
        <v>201</v>
      </c>
      <c r="D15" s="226">
        <v>0.015</v>
      </c>
      <c r="E15" s="227">
        <v>0.015</v>
      </c>
      <c r="F15" s="243" t="s">
        <v>157</v>
      </c>
      <c r="G15" s="249">
        <f t="shared" si="0"/>
        <v>0.015</v>
      </c>
      <c r="I15" s="254" t="s">
        <v>178</v>
      </c>
    </row>
    <row r="16" spans="2:9" ht="33" customHeight="1">
      <c r="B16" s="220" t="s">
        <v>175</v>
      </c>
      <c r="C16" s="221" t="s">
        <v>143</v>
      </c>
      <c r="D16" s="226">
        <v>0.02</v>
      </c>
      <c r="E16" s="228">
        <v>0.02</v>
      </c>
      <c r="F16" s="243" t="s">
        <v>139</v>
      </c>
      <c r="G16" s="249">
        <f t="shared" si="0"/>
        <v>0.02</v>
      </c>
      <c r="I16" s="251"/>
    </row>
    <row r="17" spans="2:9" ht="33" customHeight="1">
      <c r="B17" s="220" t="s">
        <v>175</v>
      </c>
      <c r="C17" s="221" t="s">
        <v>144</v>
      </c>
      <c r="D17" s="226">
        <v>0.02</v>
      </c>
      <c r="E17" s="228">
        <v>0.02</v>
      </c>
      <c r="F17" s="243" t="s">
        <v>145</v>
      </c>
      <c r="G17" s="249">
        <f t="shared" si="0"/>
        <v>0.02</v>
      </c>
      <c r="I17" s="251"/>
    </row>
    <row r="18" spans="2:7" ht="33" customHeight="1">
      <c r="B18" s="220" t="s">
        <v>175</v>
      </c>
      <c r="C18" s="221" t="s">
        <v>148</v>
      </c>
      <c r="D18" s="226">
        <v>0.05</v>
      </c>
      <c r="E18" s="228">
        <v>0.05</v>
      </c>
      <c r="F18" s="243" t="s">
        <v>149</v>
      </c>
      <c r="G18" s="249">
        <f t="shared" si="0"/>
        <v>0.05</v>
      </c>
    </row>
    <row r="19" spans="2:7" ht="33" customHeight="1">
      <c r="B19" s="229" t="s">
        <v>175</v>
      </c>
      <c r="C19" s="230" t="s">
        <v>180</v>
      </c>
      <c r="D19" s="231" t="s">
        <v>111</v>
      </c>
      <c r="E19" s="232" t="s">
        <v>111</v>
      </c>
      <c r="F19" s="244" t="s">
        <v>156</v>
      </c>
      <c r="G19" s="246" t="str">
        <f t="shared" si="0"/>
        <v>Medium</v>
      </c>
    </row>
    <row r="20" spans="2:7" ht="12.75">
      <c r="B20" s="255"/>
      <c r="C20" s="256"/>
      <c r="D20" s="257"/>
      <c r="E20" s="258"/>
      <c r="F20" s="259"/>
      <c r="G20" s="259"/>
    </row>
    <row r="21" spans="2:7" ht="33" customHeight="1">
      <c r="B21" s="275">
        <f>IF(I10="N",IF(I11="N","Reminder: Please reset all summary parameters to original values before changing specific parameters.  Specific parameters will only be used in ERR computation when all summary parameters are set to initial values",0),0)</f>
        <v>0</v>
      </c>
      <c r="C21" s="275"/>
      <c r="D21" s="275"/>
      <c r="E21" s="275"/>
      <c r="F21" s="275"/>
      <c r="G21" s="275"/>
    </row>
    <row r="22" spans="3:6" ht="12.75">
      <c r="C22" s="114"/>
      <c r="D22" s="102"/>
      <c r="E22" s="114"/>
      <c r="F22" s="114"/>
    </row>
    <row r="23" spans="3:6" ht="12.75">
      <c r="C23" s="116" t="s">
        <v>107</v>
      </c>
      <c r="D23" s="240">
        <f>'ERR Pipeline'!D75</f>
        <v>0.11746192550098813</v>
      </c>
      <c r="E23" s="117"/>
      <c r="F23" s="114"/>
    </row>
    <row r="24" spans="3:6" ht="12.75">
      <c r="C24" s="116"/>
      <c r="D24" s="237"/>
      <c r="E24" s="117"/>
      <c r="F24" s="114"/>
    </row>
    <row r="25" spans="3:6" ht="12.75">
      <c r="C25" s="238" t="s">
        <v>179</v>
      </c>
      <c r="D25" s="239">
        <v>0.117</v>
      </c>
      <c r="E25" s="117"/>
      <c r="F25" s="114"/>
    </row>
  </sheetData>
  <mergeCells count="5">
    <mergeCell ref="B6:G6"/>
    <mergeCell ref="B21:G21"/>
    <mergeCell ref="C8:C9"/>
    <mergeCell ref="B8:B9"/>
    <mergeCell ref="D8:G8"/>
  </mergeCells>
  <conditionalFormatting sqref="B21">
    <cfRule type="cellIs" priority="1" dxfId="0" operator="equal" stopIfTrue="1">
      <formula>0</formula>
    </cfRule>
    <cfRule type="cellIs" priority="2" dxfId="1" operator="notEqual" stopIfTrue="1">
      <formula>0</formula>
    </cfRule>
  </conditionalFormatting>
  <dataValidations count="1">
    <dataValidation type="list" allowBlank="1" showInputMessage="1" showErrorMessage="1" sqref="D19:D21">
      <formula1>Cost</formula1>
    </dataValidation>
  </dataValidations>
  <hyperlinks>
    <hyperlink ref="I15" location="'User''s Guide'!A1" display="User's Guide"/>
    <hyperlink ref="I14" location="'Activity Description'!A1" display="   Activity Description"/>
  </hyperlinks>
  <printOptions/>
  <pageMargins left="0.75" right="0.75" top="0.5" bottom="0.51" header="0.5" footer="0.5"/>
  <pageSetup fitToHeight="1" fitToWidth="1" horizontalDpi="600" verticalDpi="600" orientation="portrait" scale="98"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B1:N83"/>
  <sheetViews>
    <sheetView workbookViewId="0" topLeftCell="A1">
      <selection activeCell="A1" sqref="A1"/>
    </sheetView>
  </sheetViews>
  <sheetFormatPr defaultColWidth="9.140625" defaultRowHeight="12.75"/>
  <cols>
    <col min="1" max="1" width="0.9921875" style="16" customWidth="1"/>
    <col min="2" max="2" width="13.57421875" style="16" bestFit="1" customWidth="1"/>
    <col min="3" max="3" width="15.140625" style="16" bestFit="1" customWidth="1"/>
    <col min="4" max="4" width="13.8515625" style="16" bestFit="1" customWidth="1"/>
    <col min="5" max="5" width="15.8515625" style="16" bestFit="1" customWidth="1"/>
    <col min="6" max="6" width="12.140625" style="16" bestFit="1" customWidth="1"/>
    <col min="7" max="8" width="12.421875" style="16" bestFit="1" customWidth="1"/>
    <col min="9" max="9" width="14.140625" style="16" bestFit="1" customWidth="1"/>
    <col min="10" max="10" width="14.57421875" style="16" bestFit="1" customWidth="1"/>
    <col min="11" max="11" width="12.421875" style="16" bestFit="1" customWidth="1"/>
    <col min="12" max="13" width="12.28125" style="16" customWidth="1"/>
    <col min="14" max="14" width="12.57421875" style="16" customWidth="1"/>
    <col min="15" max="15" width="11.421875" style="16" customWidth="1"/>
    <col min="16" max="16384" width="9.140625" style="16" customWidth="1"/>
  </cols>
  <sheetData>
    <row r="1" spans="2:8" ht="12.75">
      <c r="B1" s="275">
        <f>IF('ERR &amp; Sensitivity Analysis'!$I$10="N","Note: Current calculations are based on user input and are not the original MCC estimates.",IF('ERR &amp; Sensitivity Analysis'!$I$11="N","Note: Current calculations are based on user input and are not the original MCC estimates.",0))</f>
        <v>0</v>
      </c>
      <c r="C1" s="275"/>
      <c r="D1" s="275"/>
      <c r="E1" s="275"/>
      <c r="F1" s="275"/>
      <c r="G1" s="275"/>
      <c r="H1" s="275"/>
    </row>
    <row r="2" spans="2:8" ht="20.25">
      <c r="B2" s="112" t="s">
        <v>109</v>
      </c>
      <c r="C2" s="265"/>
      <c r="D2" s="265"/>
      <c r="E2" s="265"/>
      <c r="F2" s="265"/>
      <c r="G2" s="265"/>
      <c r="H2" s="265"/>
    </row>
    <row r="3" ht="15.75" customHeight="1" thickBot="1"/>
    <row r="4" spans="2:11" ht="38.25">
      <c r="B4" s="17" t="s">
        <v>22</v>
      </c>
      <c r="C4" s="18" t="str">
        <f>Demand!C7</f>
        <v>Chemical Plant</v>
      </c>
      <c r="D4" s="18" t="str">
        <f>Demand!D33</f>
        <v>Power</v>
      </c>
      <c r="E4" s="18" t="str">
        <f>Demand!E33</f>
        <v>Tbilgazi</v>
      </c>
      <c r="F4" s="18" t="str">
        <f>Demand!F33</f>
        <v>Saktsementi</v>
      </c>
      <c r="G4" s="18" t="str">
        <f>Demand!G33</f>
        <v>Itera</v>
      </c>
      <c r="H4" s="18" t="str">
        <f>Demand!H33</f>
        <v>West Georgia</v>
      </c>
      <c r="I4" s="18" t="str">
        <f>Demand!I33</f>
        <v>Transit Armenia</v>
      </c>
      <c r="J4" s="19" t="s">
        <v>32</v>
      </c>
      <c r="K4" s="91" t="s">
        <v>90</v>
      </c>
    </row>
    <row r="5" spans="2:13" ht="12.75">
      <c r="B5" s="20">
        <f>Demand!A34</f>
        <v>2004</v>
      </c>
      <c r="C5" s="21">
        <f>Demand!C8</f>
        <v>0.21</v>
      </c>
      <c r="D5" s="21">
        <f>Demand!D8</f>
        <v>0.248</v>
      </c>
      <c r="E5" s="21">
        <f>Demand!E8</f>
        <v>0.356</v>
      </c>
      <c r="F5" s="21">
        <f>Demand!F8</f>
        <v>0.115</v>
      </c>
      <c r="G5" s="21">
        <f>Demand!G8</f>
        <v>0.1</v>
      </c>
      <c r="H5" s="21">
        <f>Demand!H8</f>
        <v>0</v>
      </c>
      <c r="I5" s="21">
        <f>Demand!I8</f>
        <v>1</v>
      </c>
      <c r="J5" s="22">
        <f aca="true" t="shared" si="0" ref="J5:J21">SUM(C5:I5)</f>
        <v>2.029</v>
      </c>
      <c r="K5" s="80"/>
      <c r="L5" s="23"/>
      <c r="M5" s="23"/>
    </row>
    <row r="6" spans="2:13" ht="12.75">
      <c r="B6" s="20">
        <f>Demand!A35</f>
        <v>2005</v>
      </c>
      <c r="C6" s="21">
        <f>Demand!C9</f>
        <v>0.25</v>
      </c>
      <c r="D6" s="21">
        <f>Demand!D9</f>
        <v>0.3</v>
      </c>
      <c r="E6" s="21">
        <f>Demand!E9</f>
        <v>0.39</v>
      </c>
      <c r="F6" s="21">
        <f>Demand!F9</f>
        <v>0.18</v>
      </c>
      <c r="G6" s="21">
        <f>Demand!G9</f>
        <v>0.11</v>
      </c>
      <c r="H6" s="21">
        <f>Demand!H9</f>
        <v>0.05</v>
      </c>
      <c r="I6" s="21">
        <f>Demand!I9</f>
        <v>1.015</v>
      </c>
      <c r="J6" s="22">
        <f t="shared" si="0"/>
        <v>2.295</v>
      </c>
      <c r="K6" s="104">
        <f>(J6-J5)/J5</f>
        <v>0.13109906357811732</v>
      </c>
      <c r="L6" s="23"/>
      <c r="M6" s="23"/>
    </row>
    <row r="7" spans="2:13" ht="12.75">
      <c r="B7" s="20">
        <f>Demand!A36</f>
        <v>2006</v>
      </c>
      <c r="C7" s="21">
        <f>Demand!C10</f>
        <v>0.3</v>
      </c>
      <c r="D7" s="21">
        <f>Demand!D10</f>
        <v>0.35</v>
      </c>
      <c r="E7" s="21">
        <f>Demand!E10</f>
        <v>0.42</v>
      </c>
      <c r="F7" s="21">
        <f>Demand!F10</f>
        <v>0.198</v>
      </c>
      <c r="G7" s="21">
        <f>Demand!G10</f>
        <v>0.12</v>
      </c>
      <c r="H7" s="21">
        <f>Demand!H10</f>
        <v>0.07</v>
      </c>
      <c r="I7" s="21">
        <f>Demand!I10</f>
        <v>1.030225</v>
      </c>
      <c r="J7" s="22">
        <f t="shared" si="0"/>
        <v>2.488225</v>
      </c>
      <c r="K7" s="104">
        <f aca="true" t="shared" si="1" ref="K7:K21">(J7-J6)/J6</f>
        <v>0.08419389978213507</v>
      </c>
      <c r="L7" s="23"/>
      <c r="M7" s="23"/>
    </row>
    <row r="8" spans="2:11" ht="12.75">
      <c r="B8" s="20">
        <f>Demand!A37</f>
        <v>2007</v>
      </c>
      <c r="C8" s="21">
        <f>Demand!C11</f>
        <v>0.35</v>
      </c>
      <c r="D8" s="21">
        <f>Demand!D11</f>
        <v>0.34</v>
      </c>
      <c r="E8" s="21">
        <f>Demand!E11</f>
        <v>0.46</v>
      </c>
      <c r="F8" s="21">
        <f>Demand!F11</f>
        <v>0.2</v>
      </c>
      <c r="G8" s="21">
        <f>Demand!G11</f>
        <v>0.14</v>
      </c>
      <c r="H8" s="21">
        <f>Demand!H11</f>
        <v>0.07105</v>
      </c>
      <c r="I8" s="21">
        <f>Demand!I11</f>
        <v>1.045678375</v>
      </c>
      <c r="J8" s="22">
        <f t="shared" si="0"/>
        <v>2.606728375</v>
      </c>
      <c r="K8" s="104">
        <f t="shared" si="1"/>
        <v>0.047625666891056864</v>
      </c>
    </row>
    <row r="9" spans="2:11" ht="12.75">
      <c r="B9" s="20">
        <f>Demand!A38</f>
        <v>2008</v>
      </c>
      <c r="C9" s="21">
        <f>Demand!C12</f>
        <v>0.4</v>
      </c>
      <c r="D9" s="21">
        <f>Demand!D12</f>
        <v>0.45</v>
      </c>
      <c r="E9" s="21">
        <f>Demand!E12</f>
        <v>0.5</v>
      </c>
      <c r="F9" s="21">
        <f>Demand!F12</f>
        <v>0.22</v>
      </c>
      <c r="G9" s="21">
        <f>Demand!G12</f>
        <v>0.15</v>
      </c>
      <c r="H9" s="21">
        <f>Demand!H12</f>
        <v>0.07211575</v>
      </c>
      <c r="I9" s="21">
        <f>Demand!I12</f>
        <v>1.061363550625</v>
      </c>
      <c r="J9" s="22">
        <f t="shared" si="0"/>
        <v>2.853479300625</v>
      </c>
      <c r="K9" s="104">
        <f t="shared" si="1"/>
        <v>0.09465923952471658</v>
      </c>
    </row>
    <row r="10" spans="2:11" ht="12.75">
      <c r="B10" s="20">
        <f>Demand!A39</f>
        <v>2009</v>
      </c>
      <c r="C10" s="21">
        <f>Demand!C13</f>
        <v>0.45</v>
      </c>
      <c r="D10" s="21">
        <f>Demand!D13</f>
        <v>0.5</v>
      </c>
      <c r="E10" s="21">
        <f>Demand!E13</f>
        <v>0.55</v>
      </c>
      <c r="F10" s="21">
        <f>Demand!F13</f>
        <v>0.242</v>
      </c>
      <c r="G10" s="21">
        <f>Demand!G13</f>
        <v>0.16</v>
      </c>
      <c r="H10" s="21">
        <f>Demand!H13</f>
        <v>0.07319748625000001</v>
      </c>
      <c r="I10" s="21">
        <f>Demand!I13</f>
        <v>1.0772840038843752</v>
      </c>
      <c r="J10" s="22">
        <f t="shared" si="0"/>
        <v>3.052481490134375</v>
      </c>
      <c r="K10" s="104">
        <f t="shared" si="1"/>
        <v>0.06974019032336676</v>
      </c>
    </row>
    <row r="11" spans="2:11" ht="12.75">
      <c r="B11" s="20">
        <f>Demand!A40</f>
        <v>2010</v>
      </c>
      <c r="C11" s="21">
        <f>Demand!C14</f>
        <v>0.5</v>
      </c>
      <c r="D11" s="21">
        <f>Demand!D14</f>
        <v>0.55</v>
      </c>
      <c r="E11" s="21">
        <f>Demand!E14</f>
        <v>0.55825</v>
      </c>
      <c r="F11" s="21">
        <f>Demand!F14</f>
        <v>0.248</v>
      </c>
      <c r="G11" s="21">
        <f>Demand!G14</f>
        <v>0.16240000000000002</v>
      </c>
      <c r="H11" s="21">
        <f>Demand!H14</f>
        <v>0.07429544854375002</v>
      </c>
      <c r="I11" s="21">
        <f>Demand!I14</f>
        <v>1.0934432639426408</v>
      </c>
      <c r="J11" s="22">
        <f t="shared" si="0"/>
        <v>3.1863887124863908</v>
      </c>
      <c r="K11" s="104">
        <f t="shared" si="1"/>
        <v>0.043868315920933196</v>
      </c>
    </row>
    <row r="12" spans="2:11" ht="12.75">
      <c r="B12" s="20">
        <f>Demand!A41</f>
        <v>2011</v>
      </c>
      <c r="C12" s="21">
        <f>Demand!C15</f>
        <v>0.55</v>
      </c>
      <c r="D12" s="21">
        <f>Demand!D15</f>
        <v>0.55</v>
      </c>
      <c r="E12" s="21">
        <f>Demand!E15</f>
        <v>0.56662375</v>
      </c>
      <c r="F12" s="21">
        <f>Demand!F15</f>
        <v>0.25</v>
      </c>
      <c r="G12" s="21">
        <f>Demand!G15</f>
        <v>0.164836</v>
      </c>
      <c r="H12" s="21">
        <f>Demand!H15</f>
        <v>0.07540988027190627</v>
      </c>
      <c r="I12" s="21">
        <f>Demand!I15</f>
        <v>1.1098449129017804</v>
      </c>
      <c r="J12" s="22">
        <f t="shared" si="0"/>
        <v>3.266714543173687</v>
      </c>
      <c r="K12" s="104">
        <f t="shared" si="1"/>
        <v>0.02520904947112259</v>
      </c>
    </row>
    <row r="13" spans="2:11" ht="12.75">
      <c r="B13" s="20">
        <f>Demand!A42</f>
        <v>2012</v>
      </c>
      <c r="C13" s="21">
        <f>Demand!C16</f>
        <v>0.6</v>
      </c>
      <c r="D13" s="21">
        <f>Demand!D16</f>
        <v>0.55</v>
      </c>
      <c r="E13" s="21">
        <f>Demand!E16</f>
        <v>0.57512310625</v>
      </c>
      <c r="F13" s="21">
        <f>Demand!F16</f>
        <v>0.25</v>
      </c>
      <c r="G13" s="21">
        <f>Demand!G16</f>
        <v>0.16730854</v>
      </c>
      <c r="H13" s="21">
        <f>Demand!H16</f>
        <v>0.07654102847598487</v>
      </c>
      <c r="I13" s="21">
        <f>Demand!I16</f>
        <v>1.126492586595307</v>
      </c>
      <c r="J13" s="22">
        <f t="shared" si="0"/>
        <v>3.3454652613212916</v>
      </c>
      <c r="K13" s="104">
        <f t="shared" si="1"/>
        <v>0.0241070093841431</v>
      </c>
    </row>
    <row r="14" spans="2:11" ht="12.75">
      <c r="B14" s="20">
        <f>Demand!A43</f>
        <v>2013</v>
      </c>
      <c r="C14" s="21">
        <f>Demand!C17</f>
        <v>0.65</v>
      </c>
      <c r="D14" s="21">
        <f>Demand!D17</f>
        <v>0.55</v>
      </c>
      <c r="E14" s="21">
        <f>Demand!E17</f>
        <v>0.58374995284375</v>
      </c>
      <c r="F14" s="21">
        <f>Demand!F17</f>
        <v>0.25</v>
      </c>
      <c r="G14" s="21">
        <f>Demand!G17</f>
        <v>0.1698181681</v>
      </c>
      <c r="H14" s="21">
        <f>Demand!H17</f>
        <v>0.07768914390312465</v>
      </c>
      <c r="I14" s="21">
        <f>Demand!I17</f>
        <v>1.1433899753942367</v>
      </c>
      <c r="J14" s="22">
        <f t="shared" si="0"/>
        <v>3.424647240241111</v>
      </c>
      <c r="K14" s="104">
        <f t="shared" si="1"/>
        <v>0.02366845049484873</v>
      </c>
    </row>
    <row r="15" spans="2:11" ht="12.75">
      <c r="B15" s="20">
        <f>Demand!A44</f>
        <v>2014</v>
      </c>
      <c r="C15" s="21">
        <f>Demand!C18</f>
        <v>0.7</v>
      </c>
      <c r="D15" s="21">
        <f>Demand!D18</f>
        <v>0.55</v>
      </c>
      <c r="E15" s="21">
        <f>Demand!E18</f>
        <v>0.5925062021364063</v>
      </c>
      <c r="F15" s="21">
        <f>Demand!F18</f>
        <v>0.25</v>
      </c>
      <c r="G15" s="21">
        <f>Demand!G18</f>
        <v>0.1723654406215</v>
      </c>
      <c r="H15" s="21">
        <f>Demand!H18</f>
        <v>0.07885448106167152</v>
      </c>
      <c r="I15" s="21">
        <f>Demand!I18</f>
        <v>1.1605408250251503</v>
      </c>
      <c r="J15" s="22">
        <f t="shared" si="0"/>
        <v>3.5042669488447284</v>
      </c>
      <c r="K15" s="104">
        <f t="shared" si="1"/>
        <v>0.02324902479532814</v>
      </c>
    </row>
    <row r="16" spans="2:11" ht="12.75">
      <c r="B16" s="20">
        <f>Demand!A45</f>
        <v>2015</v>
      </c>
      <c r="C16" s="21">
        <f>Demand!C19</f>
        <v>0.75</v>
      </c>
      <c r="D16" s="21">
        <f>Demand!D19</f>
        <v>0.55</v>
      </c>
      <c r="E16" s="21">
        <f>Demand!E19</f>
        <v>0.6013937951684524</v>
      </c>
      <c r="F16" s="21">
        <f>Demand!F19</f>
        <v>0.25</v>
      </c>
      <c r="G16" s="21">
        <f>Demand!G19</f>
        <v>0.1749509222308225</v>
      </c>
      <c r="H16" s="21">
        <f>Demand!H19</f>
        <v>0.08003729827759659</v>
      </c>
      <c r="I16" s="21">
        <f>Demand!I19</f>
        <v>1.1779489374005276</v>
      </c>
      <c r="J16" s="22">
        <f t="shared" si="0"/>
        <v>3.5843309530773992</v>
      </c>
      <c r="K16" s="104">
        <f t="shared" si="1"/>
        <v>0.02284757565603441</v>
      </c>
    </row>
    <row r="17" spans="2:11" ht="12.75">
      <c r="B17" s="20">
        <f>Demand!A46</f>
        <v>2016</v>
      </c>
      <c r="C17" s="21">
        <f>Demand!C20</f>
        <v>0.75</v>
      </c>
      <c r="D17" s="21">
        <f>Demand!D20</f>
        <v>0.55</v>
      </c>
      <c r="E17" s="21">
        <f>Demand!E20</f>
        <v>0.6104147020959791</v>
      </c>
      <c r="F17" s="21">
        <f>Demand!F20</f>
        <v>0.25</v>
      </c>
      <c r="G17" s="21">
        <f>Demand!G20</f>
        <v>0.17757518606428485</v>
      </c>
      <c r="H17" s="21">
        <f>Demand!H20</f>
        <v>0.08123785775176054</v>
      </c>
      <c r="I17" s="21">
        <f>Demand!I20</f>
        <v>1.1956181714615355</v>
      </c>
      <c r="J17" s="22">
        <f t="shared" si="0"/>
        <v>3.61484591737356</v>
      </c>
      <c r="K17" s="104">
        <f t="shared" si="1"/>
        <v>0.008513433802746818</v>
      </c>
    </row>
    <row r="18" spans="2:11" ht="12.75">
      <c r="B18" s="20">
        <f>Demand!A47</f>
        <v>2017</v>
      </c>
      <c r="C18" s="21">
        <f>Demand!C21</f>
        <v>0.75</v>
      </c>
      <c r="D18" s="21">
        <f>Demand!D21</f>
        <v>0.55</v>
      </c>
      <c r="E18" s="21">
        <f>Demand!E21</f>
        <v>0.6195709226274189</v>
      </c>
      <c r="F18" s="21">
        <f>Demand!F21</f>
        <v>0.25</v>
      </c>
      <c r="G18" s="21">
        <f>Demand!G21</f>
        <v>0.18023881385524912</v>
      </c>
      <c r="H18" s="21">
        <f>Demand!H21</f>
        <v>0.08245642561803694</v>
      </c>
      <c r="I18" s="21">
        <f>Demand!I21</f>
        <v>1.2135524440334584</v>
      </c>
      <c r="J18" s="22">
        <f t="shared" si="0"/>
        <v>3.6458186061341635</v>
      </c>
      <c r="K18" s="104">
        <f t="shared" si="1"/>
        <v>0.008568190586421253</v>
      </c>
    </row>
    <row r="19" spans="2:11" ht="12.75">
      <c r="B19" s="20">
        <f>Demand!A48</f>
        <v>2018</v>
      </c>
      <c r="C19" s="21">
        <f>Demand!C22</f>
        <v>0.75</v>
      </c>
      <c r="D19" s="21">
        <f>Demand!D22</f>
        <v>0.55</v>
      </c>
      <c r="E19" s="21">
        <f>Demand!E22</f>
        <v>0.6288644864668301</v>
      </c>
      <c r="F19" s="21">
        <f>Demand!F22</f>
        <v>0.25</v>
      </c>
      <c r="G19" s="21">
        <f>Demand!G22</f>
        <v>0.18294239606307786</v>
      </c>
      <c r="H19" s="21">
        <f>Demand!H22</f>
        <v>0.0836932720023075</v>
      </c>
      <c r="I19" s="21">
        <f>Demand!I22</f>
        <v>1.2317557306939604</v>
      </c>
      <c r="J19" s="22">
        <f t="shared" si="0"/>
        <v>3.6772558852261765</v>
      </c>
      <c r="K19" s="104">
        <f t="shared" si="1"/>
        <v>0.008622831382537556</v>
      </c>
    </row>
    <row r="20" spans="2:11" ht="12.75">
      <c r="B20" s="20">
        <f>Demand!A49</f>
        <v>2019</v>
      </c>
      <c r="C20" s="21">
        <f>Demand!C23</f>
        <v>0.75</v>
      </c>
      <c r="D20" s="21">
        <f>Demand!D23</f>
        <v>0.55</v>
      </c>
      <c r="E20" s="21">
        <f>Demand!E23</f>
        <v>0.6382974537638326</v>
      </c>
      <c r="F20" s="21">
        <f>Demand!F23</f>
        <v>0.25</v>
      </c>
      <c r="G20" s="21">
        <f>Demand!G23</f>
        <v>0.18568653200402402</v>
      </c>
      <c r="H20" s="21">
        <f>Demand!H23</f>
        <v>0.08494867108234211</v>
      </c>
      <c r="I20" s="21">
        <f>Demand!I23</f>
        <v>1.2502320666543698</v>
      </c>
      <c r="J20" s="22">
        <f t="shared" si="0"/>
        <v>3.7091647235045686</v>
      </c>
      <c r="K20" s="104">
        <f t="shared" si="1"/>
        <v>0.008677350522869439</v>
      </c>
    </row>
    <row r="21" spans="2:11" ht="12.75">
      <c r="B21" s="20">
        <f>Demand!A50</f>
        <v>2020</v>
      </c>
      <c r="C21" s="21">
        <f>Demand!C24</f>
        <v>0.75</v>
      </c>
      <c r="D21" s="21">
        <f>Demand!D24</f>
        <v>0.55</v>
      </c>
      <c r="E21" s="21">
        <f>Demand!E24</f>
        <v>0.6478719155702901</v>
      </c>
      <c r="F21" s="21">
        <f>Demand!F24</f>
        <v>0.25</v>
      </c>
      <c r="G21" s="21">
        <f>Demand!G24</f>
        <v>0.18847182998408438</v>
      </c>
      <c r="H21" s="21">
        <f>Demand!H24</f>
        <v>0.08622290114857724</v>
      </c>
      <c r="I21" s="21">
        <f>Demand!I24</f>
        <v>1.2689855476541854</v>
      </c>
      <c r="J21" s="22">
        <f t="shared" si="0"/>
        <v>3.741552194357137</v>
      </c>
      <c r="K21" s="104">
        <f t="shared" si="1"/>
        <v>0.008731742391307832</v>
      </c>
    </row>
    <row r="22" spans="2:10" ht="11.25">
      <c r="B22" s="99"/>
      <c r="C22" s="100"/>
      <c r="D22" s="100"/>
      <c r="E22" s="100"/>
      <c r="F22" s="100"/>
      <c r="G22" s="100"/>
      <c r="H22" s="100"/>
      <c r="I22" s="100"/>
      <c r="J22" s="100"/>
    </row>
    <row r="23" spans="2:7" ht="13.5" thickBot="1">
      <c r="B23" s="101" t="s">
        <v>69</v>
      </c>
      <c r="C23" s="24"/>
      <c r="D23" s="24"/>
      <c r="E23" s="24"/>
      <c r="F23" s="24"/>
      <c r="G23" s="24"/>
    </row>
    <row r="24" spans="2:10" ht="48" customHeight="1">
      <c r="B24" s="17" t="s">
        <v>22</v>
      </c>
      <c r="C24" s="18" t="s">
        <v>32</v>
      </c>
      <c r="D24" s="281" t="s">
        <v>31</v>
      </c>
      <c r="E24" s="281"/>
      <c r="F24" s="281" t="s">
        <v>33</v>
      </c>
      <c r="G24" s="281"/>
      <c r="H24" s="18" t="s">
        <v>53</v>
      </c>
      <c r="I24" s="18" t="s">
        <v>42</v>
      </c>
      <c r="J24" s="19" t="s">
        <v>52</v>
      </c>
    </row>
    <row r="25" spans="2:12" ht="11.25">
      <c r="B25" s="25">
        <f aca="true" t="shared" si="2" ref="B25:B41">B5</f>
        <v>2004</v>
      </c>
      <c r="C25" s="21">
        <f aca="true" t="shared" si="3" ref="C25:C41">J5</f>
        <v>2.029</v>
      </c>
      <c r="D25" s="26">
        <v>0.05</v>
      </c>
      <c r="E25" s="27">
        <f aca="true" t="shared" si="4" ref="E25:E41">D25*1000000*C25</f>
        <v>101450</v>
      </c>
      <c r="F25" s="28">
        <v>0.05</v>
      </c>
      <c r="G25" s="27">
        <f aca="true" t="shared" si="5" ref="G25:G41">F25*C25*1000000</f>
        <v>101450</v>
      </c>
      <c r="H25" s="27">
        <f aca="true" t="shared" si="6" ref="H25:H41">E25-G25</f>
        <v>0</v>
      </c>
      <c r="I25" s="29">
        <v>65</v>
      </c>
      <c r="J25" s="30">
        <f aca="true" t="shared" si="7" ref="J25:J41">I25*H25</f>
        <v>0</v>
      </c>
      <c r="K25" s="168">
        <f>'ERR &amp; Sensitivity Analysis'!G17</f>
        <v>0.02</v>
      </c>
      <c r="L25" s="70" t="s">
        <v>142</v>
      </c>
    </row>
    <row r="26" spans="2:10" ht="11.25">
      <c r="B26" s="25">
        <f t="shared" si="2"/>
        <v>2005</v>
      </c>
      <c r="C26" s="21">
        <f t="shared" si="3"/>
        <v>2.295</v>
      </c>
      <c r="D26" s="26">
        <v>0.05</v>
      </c>
      <c r="E26" s="27">
        <f>D26*1000000*C26</f>
        <v>114750</v>
      </c>
      <c r="F26" s="28">
        <v>0.05</v>
      </c>
      <c r="G26" s="27">
        <f t="shared" si="5"/>
        <v>114750</v>
      </c>
      <c r="H26" s="27">
        <f t="shared" si="6"/>
        <v>0</v>
      </c>
      <c r="I26" s="29">
        <v>65</v>
      </c>
      <c r="J26" s="30">
        <f t="shared" si="7"/>
        <v>0</v>
      </c>
    </row>
    <row r="27" spans="2:10" ht="11.25">
      <c r="B27" s="25">
        <f t="shared" si="2"/>
        <v>2006</v>
      </c>
      <c r="C27" s="21">
        <f t="shared" si="3"/>
        <v>2.488225</v>
      </c>
      <c r="D27" s="26">
        <v>0.05</v>
      </c>
      <c r="E27" s="27">
        <f t="shared" si="4"/>
        <v>124411.25</v>
      </c>
      <c r="F27" s="28">
        <v>0.04</v>
      </c>
      <c r="G27" s="27">
        <f t="shared" si="5"/>
        <v>99528.99999999999</v>
      </c>
      <c r="H27" s="27">
        <f t="shared" si="6"/>
        <v>24882.250000000015</v>
      </c>
      <c r="I27" s="29">
        <f>I26+(I26*$K$25)</f>
        <v>66.3</v>
      </c>
      <c r="J27" s="30">
        <f t="shared" si="7"/>
        <v>1649693.175000001</v>
      </c>
    </row>
    <row r="28" spans="2:10" ht="11.25">
      <c r="B28" s="25">
        <f t="shared" si="2"/>
        <v>2007</v>
      </c>
      <c r="C28" s="21">
        <f t="shared" si="3"/>
        <v>2.606728375</v>
      </c>
      <c r="D28" s="26">
        <v>0.05</v>
      </c>
      <c r="E28" s="27">
        <f t="shared" si="4"/>
        <v>130336.41875</v>
      </c>
      <c r="F28" s="28">
        <v>0.03</v>
      </c>
      <c r="G28" s="27">
        <f t="shared" si="5"/>
        <v>78201.85124999999</v>
      </c>
      <c r="H28" s="27">
        <f t="shared" si="6"/>
        <v>52134.567500000005</v>
      </c>
      <c r="I28" s="29">
        <f aca="true" t="shared" si="8" ref="I28:I41">I27+(I27*$K$25)</f>
        <v>67.62599999999999</v>
      </c>
      <c r="J28" s="30">
        <f t="shared" si="7"/>
        <v>3525652.261755</v>
      </c>
    </row>
    <row r="29" spans="2:10" ht="11.25">
      <c r="B29" s="25">
        <f t="shared" si="2"/>
        <v>2008</v>
      </c>
      <c r="C29" s="21">
        <f t="shared" si="3"/>
        <v>2.853479300625</v>
      </c>
      <c r="D29" s="26">
        <v>0.05</v>
      </c>
      <c r="E29" s="27">
        <f t="shared" si="4"/>
        <v>142673.96503125</v>
      </c>
      <c r="F29" s="28">
        <v>0.02</v>
      </c>
      <c r="G29" s="27">
        <f t="shared" si="5"/>
        <v>57069.5860125</v>
      </c>
      <c r="H29" s="27">
        <f t="shared" si="6"/>
        <v>85604.37901875</v>
      </c>
      <c r="I29" s="29">
        <f t="shared" si="8"/>
        <v>68.97851999999999</v>
      </c>
      <c r="J29" s="30">
        <f t="shared" si="7"/>
        <v>5904863.370232427</v>
      </c>
    </row>
    <row r="30" spans="2:10" ht="11.25">
      <c r="B30" s="25">
        <f t="shared" si="2"/>
        <v>2009</v>
      </c>
      <c r="C30" s="21">
        <f t="shared" si="3"/>
        <v>3.052481490134375</v>
      </c>
      <c r="D30" s="26">
        <v>0.05</v>
      </c>
      <c r="E30" s="27">
        <f t="shared" si="4"/>
        <v>152624.07450671875</v>
      </c>
      <c r="F30" s="28">
        <v>0.02</v>
      </c>
      <c r="G30" s="27">
        <f t="shared" si="5"/>
        <v>61049.6298026875</v>
      </c>
      <c r="H30" s="27">
        <f t="shared" si="6"/>
        <v>91574.44470403125</v>
      </c>
      <c r="I30" s="29">
        <f t="shared" si="8"/>
        <v>70.3580904</v>
      </c>
      <c r="J30" s="30">
        <f t="shared" si="7"/>
        <v>6443003.058816032</v>
      </c>
    </row>
    <row r="31" spans="2:10" ht="11.25">
      <c r="B31" s="25">
        <f t="shared" si="2"/>
        <v>2010</v>
      </c>
      <c r="C31" s="21">
        <f t="shared" si="3"/>
        <v>3.1863887124863908</v>
      </c>
      <c r="D31" s="26">
        <v>0.05</v>
      </c>
      <c r="E31" s="27">
        <f t="shared" si="4"/>
        <v>159319.43562431954</v>
      </c>
      <c r="F31" s="28">
        <v>0.02</v>
      </c>
      <c r="G31" s="27">
        <f t="shared" si="5"/>
        <v>63727.77424972782</v>
      </c>
      <c r="H31" s="27">
        <f t="shared" si="6"/>
        <v>95591.66137459171</v>
      </c>
      <c r="I31" s="29">
        <f t="shared" si="8"/>
        <v>71.76525220799999</v>
      </c>
      <c r="J31" s="30">
        <f t="shared" si="7"/>
        <v>6860159.687529306</v>
      </c>
    </row>
    <row r="32" spans="2:10" ht="11.25">
      <c r="B32" s="25">
        <f t="shared" si="2"/>
        <v>2011</v>
      </c>
      <c r="C32" s="21">
        <f t="shared" si="3"/>
        <v>3.266714543173687</v>
      </c>
      <c r="D32" s="26">
        <v>0.05</v>
      </c>
      <c r="E32" s="27">
        <f t="shared" si="4"/>
        <v>163335.72715868434</v>
      </c>
      <c r="F32" s="28">
        <v>0.02</v>
      </c>
      <c r="G32" s="27">
        <f t="shared" si="5"/>
        <v>65334.29086347374</v>
      </c>
      <c r="H32" s="27">
        <f t="shared" si="6"/>
        <v>98001.4362952106</v>
      </c>
      <c r="I32" s="29">
        <f t="shared" si="8"/>
        <v>73.20055725216</v>
      </c>
      <c r="J32" s="30">
        <f t="shared" si="7"/>
        <v>7173759.7483214745</v>
      </c>
    </row>
    <row r="33" spans="2:10" ht="11.25">
      <c r="B33" s="25">
        <f t="shared" si="2"/>
        <v>2012</v>
      </c>
      <c r="C33" s="21">
        <f t="shared" si="3"/>
        <v>3.3454652613212916</v>
      </c>
      <c r="D33" s="26">
        <v>0.05</v>
      </c>
      <c r="E33" s="27">
        <f t="shared" si="4"/>
        <v>167273.2630660646</v>
      </c>
      <c r="F33" s="28">
        <v>0.02</v>
      </c>
      <c r="G33" s="27">
        <f t="shared" si="5"/>
        <v>66909.30522642584</v>
      </c>
      <c r="H33" s="27">
        <f t="shared" si="6"/>
        <v>100363.95783963875</v>
      </c>
      <c r="I33" s="29">
        <f t="shared" si="8"/>
        <v>74.6645683972032</v>
      </c>
      <c r="J33" s="30">
        <f t="shared" si="7"/>
        <v>7493631.594731726</v>
      </c>
    </row>
    <row r="34" spans="2:10" ht="11.25">
      <c r="B34" s="25">
        <f t="shared" si="2"/>
        <v>2013</v>
      </c>
      <c r="C34" s="21">
        <f t="shared" si="3"/>
        <v>3.424647240241111</v>
      </c>
      <c r="D34" s="26">
        <v>0.05</v>
      </c>
      <c r="E34" s="27">
        <f t="shared" si="4"/>
        <v>171232.36201205553</v>
      </c>
      <c r="F34" s="28">
        <v>0.02</v>
      </c>
      <c r="G34" s="27">
        <f t="shared" si="5"/>
        <v>68492.94480482223</v>
      </c>
      <c r="H34" s="27">
        <f t="shared" si="6"/>
        <v>102739.4172072333</v>
      </c>
      <c r="I34" s="29">
        <f t="shared" si="8"/>
        <v>76.15785976514726</v>
      </c>
      <c r="J34" s="30">
        <f t="shared" si="7"/>
        <v>7824414.128021432</v>
      </c>
    </row>
    <row r="35" spans="2:10" ht="11.25">
      <c r="B35" s="25">
        <f t="shared" si="2"/>
        <v>2014</v>
      </c>
      <c r="C35" s="21">
        <f t="shared" si="3"/>
        <v>3.5042669488447284</v>
      </c>
      <c r="D35" s="26">
        <v>0.05</v>
      </c>
      <c r="E35" s="27">
        <f t="shared" si="4"/>
        <v>175213.3474422364</v>
      </c>
      <c r="F35" s="28">
        <v>0.02</v>
      </c>
      <c r="G35" s="27">
        <f t="shared" si="5"/>
        <v>70085.33897689458</v>
      </c>
      <c r="H35" s="27">
        <f t="shared" si="6"/>
        <v>105128.00846534183</v>
      </c>
      <c r="I35" s="29">
        <f t="shared" si="8"/>
        <v>77.68101696045021</v>
      </c>
      <c r="J35" s="30">
        <f t="shared" si="7"/>
        <v>8166450.608614571</v>
      </c>
    </row>
    <row r="36" spans="2:10" ht="11.25">
      <c r="B36" s="25">
        <f t="shared" si="2"/>
        <v>2015</v>
      </c>
      <c r="C36" s="21">
        <f t="shared" si="3"/>
        <v>3.5843309530773992</v>
      </c>
      <c r="D36" s="26">
        <v>0.05</v>
      </c>
      <c r="E36" s="27">
        <f t="shared" si="4"/>
        <v>179216.54765386996</v>
      </c>
      <c r="F36" s="28">
        <v>0.02</v>
      </c>
      <c r="G36" s="27">
        <f t="shared" si="5"/>
        <v>71686.61906154799</v>
      </c>
      <c r="H36" s="27">
        <f t="shared" si="6"/>
        <v>107529.92859232197</v>
      </c>
      <c r="I36" s="29">
        <f t="shared" si="8"/>
        <v>79.23463729965921</v>
      </c>
      <c r="J36" s="30">
        <f t="shared" si="7"/>
        <v>8520094.890870886</v>
      </c>
    </row>
    <row r="37" spans="2:10" ht="11.25">
      <c r="B37" s="25">
        <f t="shared" si="2"/>
        <v>2016</v>
      </c>
      <c r="C37" s="21">
        <f t="shared" si="3"/>
        <v>3.61484591737356</v>
      </c>
      <c r="D37" s="26">
        <v>0.05</v>
      </c>
      <c r="E37" s="27">
        <f t="shared" si="4"/>
        <v>180742.29586867802</v>
      </c>
      <c r="F37" s="28">
        <v>0.02</v>
      </c>
      <c r="G37" s="27">
        <f t="shared" si="5"/>
        <v>72296.9183474712</v>
      </c>
      <c r="H37" s="27">
        <f t="shared" si="6"/>
        <v>108445.37752120681</v>
      </c>
      <c r="I37" s="29">
        <f t="shared" si="8"/>
        <v>80.81933004565239</v>
      </c>
      <c r="J37" s="30">
        <f t="shared" si="7"/>
        <v>8764482.757811787</v>
      </c>
    </row>
    <row r="38" spans="2:10" ht="11.25">
      <c r="B38" s="25">
        <f t="shared" si="2"/>
        <v>2017</v>
      </c>
      <c r="C38" s="21">
        <f t="shared" si="3"/>
        <v>3.6458186061341635</v>
      </c>
      <c r="D38" s="26">
        <v>0.05</v>
      </c>
      <c r="E38" s="27">
        <f t="shared" si="4"/>
        <v>182290.93030670818</v>
      </c>
      <c r="F38" s="28">
        <v>0.02</v>
      </c>
      <c r="G38" s="27">
        <f t="shared" si="5"/>
        <v>72916.37212268327</v>
      </c>
      <c r="H38" s="27">
        <f t="shared" si="6"/>
        <v>109374.5581840249</v>
      </c>
      <c r="I38" s="29">
        <f t="shared" si="8"/>
        <v>82.43571664656544</v>
      </c>
      <c r="J38" s="30">
        <f t="shared" si="7"/>
        <v>9016370.086801562</v>
      </c>
    </row>
    <row r="39" spans="2:10" ht="11.25">
      <c r="B39" s="25">
        <f t="shared" si="2"/>
        <v>2018</v>
      </c>
      <c r="C39" s="21">
        <f t="shared" si="3"/>
        <v>3.6772558852261765</v>
      </c>
      <c r="D39" s="26">
        <v>0.05</v>
      </c>
      <c r="E39" s="27">
        <f t="shared" si="4"/>
        <v>183862.79426130882</v>
      </c>
      <c r="F39" s="28">
        <v>0.02</v>
      </c>
      <c r="G39" s="27">
        <f t="shared" si="5"/>
        <v>73545.11770452352</v>
      </c>
      <c r="H39" s="27">
        <f t="shared" si="6"/>
        <v>110317.6765567853</v>
      </c>
      <c r="I39" s="29">
        <f t="shared" si="8"/>
        <v>84.08443097949674</v>
      </c>
      <c r="J39" s="30">
        <f t="shared" si="7"/>
        <v>9275999.060257459</v>
      </c>
    </row>
    <row r="40" spans="2:10" ht="11.25">
      <c r="B40" s="25">
        <f t="shared" si="2"/>
        <v>2019</v>
      </c>
      <c r="C40" s="21">
        <f t="shared" si="3"/>
        <v>3.7091647235045686</v>
      </c>
      <c r="D40" s="26">
        <v>0.05</v>
      </c>
      <c r="E40" s="27">
        <f t="shared" si="4"/>
        <v>185458.23617522843</v>
      </c>
      <c r="F40" s="28">
        <v>0.02</v>
      </c>
      <c r="G40" s="27">
        <f t="shared" si="5"/>
        <v>74183.29447009138</v>
      </c>
      <c r="H40" s="27">
        <f t="shared" si="6"/>
        <v>111274.94170513705</v>
      </c>
      <c r="I40" s="29">
        <f t="shared" si="8"/>
        <v>85.76611959908668</v>
      </c>
      <c r="J40" s="30">
        <f t="shared" si="7"/>
        <v>9543619.958664183</v>
      </c>
    </row>
    <row r="41" spans="2:10" ht="11.25">
      <c r="B41" s="25">
        <f t="shared" si="2"/>
        <v>2020</v>
      </c>
      <c r="C41" s="21">
        <f t="shared" si="3"/>
        <v>3.741552194357137</v>
      </c>
      <c r="D41" s="26">
        <v>0.05</v>
      </c>
      <c r="E41" s="27">
        <f t="shared" si="4"/>
        <v>187077.60971785686</v>
      </c>
      <c r="F41" s="28">
        <v>0.02</v>
      </c>
      <c r="G41" s="27">
        <f t="shared" si="5"/>
        <v>74831.04388714275</v>
      </c>
      <c r="H41" s="27">
        <f t="shared" si="6"/>
        <v>112246.56583071411</v>
      </c>
      <c r="I41" s="29">
        <f t="shared" si="8"/>
        <v>87.48144199106841</v>
      </c>
      <c r="J41" s="30">
        <f t="shared" si="7"/>
        <v>9819491.437416257</v>
      </c>
    </row>
    <row r="42" spans="2:10" s="36" customFormat="1" ht="11.25" thickBot="1">
      <c r="B42" s="31" t="s">
        <v>23</v>
      </c>
      <c r="C42" s="32">
        <f>SUM(C25:C41)</f>
        <v>54.025365151499585</v>
      </c>
      <c r="D42" s="33"/>
      <c r="E42" s="34">
        <f>SUM(E25:E41)</f>
        <v>2701268.257574979</v>
      </c>
      <c r="F42" s="33"/>
      <c r="G42" s="34">
        <f>SUM(G25:G41)</f>
        <v>1286059.0867799919</v>
      </c>
      <c r="H42" s="34">
        <f>SUM(H25:H41)</f>
        <v>1415209.1707949876</v>
      </c>
      <c r="I42" s="33"/>
      <c r="J42" s="35">
        <f>SUM(J25:J41)</f>
        <v>109981685.8248441</v>
      </c>
    </row>
    <row r="44" ht="12" thickBot="1"/>
    <row r="45" spans="2:13" ht="15">
      <c r="B45" s="37"/>
      <c r="C45" s="38" t="s">
        <v>61</v>
      </c>
      <c r="D45" s="248">
        <f>'ERR &amp; Sensitivity Analysis'!G13</f>
        <v>17.4</v>
      </c>
      <c r="E45" s="39" t="s">
        <v>62</v>
      </c>
      <c r="F45" s="40"/>
      <c r="G45" s="39"/>
      <c r="H45" s="39"/>
      <c r="I45" s="39"/>
      <c r="J45" s="39"/>
      <c r="K45" s="39"/>
      <c r="L45" s="39"/>
      <c r="M45" s="41"/>
    </row>
    <row r="46" spans="2:13" ht="12.75">
      <c r="B46" s="282">
        <f>H42*1000</f>
        <v>1415209170.7949877</v>
      </c>
      <c r="C46" s="283"/>
      <c r="D46" s="42">
        <f>B46*D45</f>
        <v>24624639571.832783</v>
      </c>
      <c r="E46" s="43" t="s">
        <v>62</v>
      </c>
      <c r="F46" s="43"/>
      <c r="G46" s="43"/>
      <c r="H46" s="43"/>
      <c r="I46" s="43"/>
      <c r="J46" s="43"/>
      <c r="K46" s="43"/>
      <c r="L46" s="43"/>
      <c r="M46" s="44"/>
    </row>
    <row r="47" spans="2:13" ht="12.75">
      <c r="B47" s="45"/>
      <c r="C47" s="43"/>
      <c r="D47" s="42">
        <f>D46/1000</f>
        <v>24624639.571832784</v>
      </c>
      <c r="E47" s="43" t="s">
        <v>63</v>
      </c>
      <c r="F47" s="43"/>
      <c r="G47" s="43"/>
      <c r="H47" s="43"/>
      <c r="I47" s="43"/>
      <c r="J47" s="43"/>
      <c r="K47" s="43"/>
      <c r="L47" s="43"/>
      <c r="M47" s="44"/>
    </row>
    <row r="48" spans="2:13" ht="11.25">
      <c r="B48" s="45"/>
      <c r="C48" s="43"/>
      <c r="D48" s="163">
        <f>'ERR &amp; Sensitivity Analysis'!G14</f>
        <v>1</v>
      </c>
      <c r="E48" s="43" t="s">
        <v>25</v>
      </c>
      <c r="F48" s="43"/>
      <c r="G48" s="43"/>
      <c r="H48" s="43"/>
      <c r="I48" s="43"/>
      <c r="J48" s="43"/>
      <c r="K48" s="43"/>
      <c r="L48" s="43"/>
      <c r="M48" s="44"/>
    </row>
    <row r="49" spans="2:13" ht="12" thickBot="1">
      <c r="B49" s="45"/>
      <c r="C49" s="46" t="s">
        <v>24</v>
      </c>
      <c r="D49" s="47"/>
      <c r="E49" s="43"/>
      <c r="F49" s="43"/>
      <c r="G49" s="43"/>
      <c r="H49" s="43"/>
      <c r="I49" s="43"/>
      <c r="J49" s="43"/>
      <c r="K49" s="43"/>
      <c r="L49" s="43"/>
      <c r="M49" s="44"/>
    </row>
    <row r="50" spans="2:13" ht="45">
      <c r="B50" s="48" t="s">
        <v>22</v>
      </c>
      <c r="C50" s="49" t="s">
        <v>64</v>
      </c>
      <c r="D50" s="49" t="s">
        <v>65</v>
      </c>
      <c r="E50" s="49" t="s">
        <v>50</v>
      </c>
      <c r="F50" s="49" t="s">
        <v>54</v>
      </c>
      <c r="G50" s="49" t="s">
        <v>54</v>
      </c>
      <c r="H50" s="49" t="s">
        <v>100</v>
      </c>
      <c r="I50" s="49" t="s">
        <v>54</v>
      </c>
      <c r="J50" s="49" t="s">
        <v>54</v>
      </c>
      <c r="K50" s="49" t="s">
        <v>54</v>
      </c>
      <c r="L50" s="43"/>
      <c r="M50" s="44"/>
    </row>
    <row r="51" spans="2:13" ht="11.25">
      <c r="B51" s="50"/>
      <c r="C51" s="51"/>
      <c r="D51" s="51"/>
      <c r="E51" s="51"/>
      <c r="F51" s="51">
        <v>0</v>
      </c>
      <c r="G51" s="51">
        <v>0</v>
      </c>
      <c r="H51" s="51">
        <v>0</v>
      </c>
      <c r="I51" s="51">
        <v>0</v>
      </c>
      <c r="J51" s="51">
        <v>0</v>
      </c>
      <c r="K51" s="51">
        <v>0</v>
      </c>
      <c r="L51" s="43"/>
      <c r="M51" s="44"/>
    </row>
    <row r="52" spans="2:13" ht="11.25">
      <c r="B52" s="25">
        <f aca="true" t="shared" si="9" ref="B52:B60">B26</f>
        <v>2005</v>
      </c>
      <c r="C52" s="52">
        <f aca="true" t="shared" si="10" ref="C52:C60">H26*1000</f>
        <v>0</v>
      </c>
      <c r="D52" s="52">
        <f aca="true" t="shared" si="11" ref="D52:D60">C52*$D$45/1000</f>
        <v>0</v>
      </c>
      <c r="E52" s="53">
        <f>$D$48*C52</f>
        <v>0</v>
      </c>
      <c r="F52" s="53">
        <v>0</v>
      </c>
      <c r="G52" s="53">
        <v>0</v>
      </c>
      <c r="H52" s="53">
        <f aca="true" t="shared" si="12" ref="H52:H60">$D51*$H$51</f>
        <v>0</v>
      </c>
      <c r="I52" s="53">
        <f>H52</f>
        <v>0</v>
      </c>
      <c r="J52" s="53">
        <f>I52</f>
        <v>0</v>
      </c>
      <c r="K52" s="54">
        <f>J52</f>
        <v>0</v>
      </c>
      <c r="L52" s="43"/>
      <c r="M52" s="44"/>
    </row>
    <row r="53" spans="2:13" ht="11.25">
      <c r="B53" s="25">
        <f t="shared" si="9"/>
        <v>2006</v>
      </c>
      <c r="C53" s="52">
        <f t="shared" si="10"/>
        <v>24882250.000000015</v>
      </c>
      <c r="D53" s="52">
        <f t="shared" si="11"/>
        <v>432951.15000000026</v>
      </c>
      <c r="E53" s="53">
        <f aca="true" t="shared" si="13" ref="E53:E59">$D$48*D53</f>
        <v>432951.15000000026</v>
      </c>
      <c r="F53" s="53">
        <f aca="true" t="shared" si="14" ref="F53:F60">E52</f>
        <v>0</v>
      </c>
      <c r="G53" s="53">
        <f aca="true" t="shared" si="15" ref="G53:G60">$D52*$G$51</f>
        <v>0</v>
      </c>
      <c r="H53" s="53">
        <f t="shared" si="12"/>
        <v>0</v>
      </c>
      <c r="I53" s="53">
        <f aca="true" t="shared" si="16" ref="I53:I60">$D52*$I$51</f>
        <v>0</v>
      </c>
      <c r="J53" s="53">
        <f aca="true" t="shared" si="17" ref="J53:J60">$D52*$J$51</f>
        <v>0</v>
      </c>
      <c r="K53" s="54">
        <f>$D52*4</f>
        <v>0</v>
      </c>
      <c r="L53" s="43"/>
      <c r="M53" s="44"/>
    </row>
    <row r="54" spans="2:13" ht="11.25">
      <c r="B54" s="25">
        <f t="shared" si="9"/>
        <v>2007</v>
      </c>
      <c r="C54" s="52">
        <f t="shared" si="10"/>
        <v>52134567.50000001</v>
      </c>
      <c r="D54" s="52">
        <f>C54*$D$45/1000</f>
        <v>907141.4745</v>
      </c>
      <c r="E54" s="53">
        <f t="shared" si="13"/>
        <v>907141.4745</v>
      </c>
      <c r="F54" s="53">
        <f t="shared" si="14"/>
        <v>432951.15000000026</v>
      </c>
      <c r="G54" s="53">
        <f t="shared" si="15"/>
        <v>0</v>
      </c>
      <c r="H54" s="53">
        <f t="shared" si="12"/>
        <v>0</v>
      </c>
      <c r="I54" s="53">
        <f t="shared" si="16"/>
        <v>0</v>
      </c>
      <c r="J54" s="53">
        <f t="shared" si="17"/>
        <v>0</v>
      </c>
      <c r="K54" s="54">
        <f aca="true" t="shared" si="18" ref="K54:K60">$D53*$K$51</f>
        <v>0</v>
      </c>
      <c r="L54" s="43"/>
      <c r="M54" s="44"/>
    </row>
    <row r="55" spans="2:13" ht="11.25">
      <c r="B55" s="25">
        <f t="shared" si="9"/>
        <v>2008</v>
      </c>
      <c r="C55" s="52">
        <f t="shared" si="10"/>
        <v>85604379.01875</v>
      </c>
      <c r="D55" s="52">
        <f t="shared" si="11"/>
        <v>1489516.1949262498</v>
      </c>
      <c r="E55" s="53">
        <f t="shared" si="13"/>
        <v>1489516.1949262498</v>
      </c>
      <c r="F55" s="53">
        <f t="shared" si="14"/>
        <v>907141.4745</v>
      </c>
      <c r="G55" s="53">
        <f t="shared" si="15"/>
        <v>0</v>
      </c>
      <c r="H55" s="53">
        <f t="shared" si="12"/>
        <v>0</v>
      </c>
      <c r="I55" s="53">
        <f t="shared" si="16"/>
        <v>0</v>
      </c>
      <c r="J55" s="53">
        <f t="shared" si="17"/>
        <v>0</v>
      </c>
      <c r="K55" s="54">
        <f t="shared" si="18"/>
        <v>0</v>
      </c>
      <c r="L55" s="43"/>
      <c r="M55" s="44"/>
    </row>
    <row r="56" spans="2:13" ht="11.25">
      <c r="B56" s="25">
        <f t="shared" si="9"/>
        <v>2009</v>
      </c>
      <c r="C56" s="52">
        <f t="shared" si="10"/>
        <v>91574444.70403126</v>
      </c>
      <c r="D56" s="52">
        <f t="shared" si="11"/>
        <v>1593395.3378501437</v>
      </c>
      <c r="E56" s="53">
        <f t="shared" si="13"/>
        <v>1593395.3378501437</v>
      </c>
      <c r="F56" s="53">
        <f t="shared" si="14"/>
        <v>1489516.1949262498</v>
      </c>
      <c r="G56" s="53">
        <f t="shared" si="15"/>
        <v>0</v>
      </c>
      <c r="H56" s="53">
        <f t="shared" si="12"/>
        <v>0</v>
      </c>
      <c r="I56" s="53">
        <f t="shared" si="16"/>
        <v>0</v>
      </c>
      <c r="J56" s="53">
        <f t="shared" si="17"/>
        <v>0</v>
      </c>
      <c r="K56" s="54">
        <f t="shared" si="18"/>
        <v>0</v>
      </c>
      <c r="L56" s="43"/>
      <c r="M56" s="44"/>
    </row>
    <row r="57" spans="2:13" ht="11.25">
      <c r="B57" s="25">
        <f t="shared" si="9"/>
        <v>2010</v>
      </c>
      <c r="C57" s="52">
        <f t="shared" si="10"/>
        <v>95591661.37459171</v>
      </c>
      <c r="D57" s="52">
        <f t="shared" si="11"/>
        <v>1663294.9079178956</v>
      </c>
      <c r="E57" s="53">
        <f t="shared" si="13"/>
        <v>1663294.9079178956</v>
      </c>
      <c r="F57" s="53">
        <f t="shared" si="14"/>
        <v>1593395.3378501437</v>
      </c>
      <c r="G57" s="53">
        <f t="shared" si="15"/>
        <v>0</v>
      </c>
      <c r="H57" s="53">
        <f t="shared" si="12"/>
        <v>0</v>
      </c>
      <c r="I57" s="53">
        <f t="shared" si="16"/>
        <v>0</v>
      </c>
      <c r="J57" s="53">
        <f t="shared" si="17"/>
        <v>0</v>
      </c>
      <c r="K57" s="54">
        <f t="shared" si="18"/>
        <v>0</v>
      </c>
      <c r="L57" s="43"/>
      <c r="M57" s="44"/>
    </row>
    <row r="58" spans="2:13" ht="11.25">
      <c r="B58" s="25">
        <f t="shared" si="9"/>
        <v>2011</v>
      </c>
      <c r="C58" s="52">
        <f t="shared" si="10"/>
        <v>98001436.2952106</v>
      </c>
      <c r="D58" s="52">
        <f t="shared" si="11"/>
        <v>1705224.9915366643</v>
      </c>
      <c r="E58" s="53">
        <f t="shared" si="13"/>
        <v>1705224.9915366643</v>
      </c>
      <c r="F58" s="53">
        <f t="shared" si="14"/>
        <v>1663294.9079178956</v>
      </c>
      <c r="G58" s="53">
        <f t="shared" si="15"/>
        <v>0</v>
      </c>
      <c r="H58" s="53">
        <f t="shared" si="12"/>
        <v>0</v>
      </c>
      <c r="I58" s="53">
        <f t="shared" si="16"/>
        <v>0</v>
      </c>
      <c r="J58" s="53">
        <f t="shared" si="17"/>
        <v>0</v>
      </c>
      <c r="K58" s="54">
        <f t="shared" si="18"/>
        <v>0</v>
      </c>
      <c r="L58" s="43"/>
      <c r="M58" s="44"/>
    </row>
    <row r="59" spans="2:13" ht="11.25">
      <c r="B59" s="25">
        <f t="shared" si="9"/>
        <v>2012</v>
      </c>
      <c r="C59" s="52">
        <f t="shared" si="10"/>
        <v>100363957.83963875</v>
      </c>
      <c r="D59" s="52">
        <f t="shared" si="11"/>
        <v>1746332.8664097143</v>
      </c>
      <c r="E59" s="53">
        <f t="shared" si="13"/>
        <v>1746332.8664097143</v>
      </c>
      <c r="F59" s="53">
        <f t="shared" si="14"/>
        <v>1705224.9915366643</v>
      </c>
      <c r="G59" s="53">
        <f t="shared" si="15"/>
        <v>0</v>
      </c>
      <c r="H59" s="53">
        <f t="shared" si="12"/>
        <v>0</v>
      </c>
      <c r="I59" s="53">
        <f t="shared" si="16"/>
        <v>0</v>
      </c>
      <c r="J59" s="53">
        <f t="shared" si="17"/>
        <v>0</v>
      </c>
      <c r="K59" s="54">
        <f t="shared" si="18"/>
        <v>0</v>
      </c>
      <c r="L59" s="43"/>
      <c r="M59" s="44"/>
    </row>
    <row r="60" spans="2:13" ht="11.25">
      <c r="B60" s="25">
        <f t="shared" si="9"/>
        <v>2013</v>
      </c>
      <c r="C60" s="52">
        <f t="shared" si="10"/>
        <v>102739417.2072333</v>
      </c>
      <c r="D60" s="52">
        <f t="shared" si="11"/>
        <v>1787665.8594058591</v>
      </c>
      <c r="E60" s="53"/>
      <c r="F60" s="53">
        <f t="shared" si="14"/>
        <v>1746332.8664097143</v>
      </c>
      <c r="G60" s="53">
        <f t="shared" si="15"/>
        <v>0</v>
      </c>
      <c r="H60" s="53">
        <f t="shared" si="12"/>
        <v>0</v>
      </c>
      <c r="I60" s="53">
        <f t="shared" si="16"/>
        <v>0</v>
      </c>
      <c r="J60" s="53">
        <f t="shared" si="17"/>
        <v>0</v>
      </c>
      <c r="K60" s="54">
        <f t="shared" si="18"/>
        <v>0</v>
      </c>
      <c r="L60" s="43"/>
      <c r="M60" s="44"/>
    </row>
    <row r="61" spans="2:13" ht="12" thickBot="1">
      <c r="B61" s="31" t="s">
        <v>23</v>
      </c>
      <c r="C61" s="55">
        <f aca="true" t="shared" si="19" ref="C61:K61">SUM(C52:C60)</f>
        <v>650892113.9394556</v>
      </c>
      <c r="D61" s="55">
        <f t="shared" si="19"/>
        <v>11325522.782546526</v>
      </c>
      <c r="E61" s="55">
        <f t="shared" si="19"/>
        <v>9537856.923140667</v>
      </c>
      <c r="F61" s="55">
        <f t="shared" si="19"/>
        <v>9537856.923140667</v>
      </c>
      <c r="G61" s="55">
        <f t="shared" si="19"/>
        <v>0</v>
      </c>
      <c r="H61" s="55">
        <f t="shared" si="19"/>
        <v>0</v>
      </c>
      <c r="I61" s="55">
        <f t="shared" si="19"/>
        <v>0</v>
      </c>
      <c r="J61" s="55">
        <f t="shared" si="19"/>
        <v>0</v>
      </c>
      <c r="K61" s="56">
        <f t="shared" si="19"/>
        <v>0</v>
      </c>
      <c r="L61" s="43"/>
      <c r="M61" s="44"/>
    </row>
    <row r="62" spans="2:13" ht="11.25">
      <c r="B62" s="45"/>
      <c r="C62" s="43"/>
      <c r="D62" s="43"/>
      <c r="E62" s="43"/>
      <c r="F62" s="43"/>
      <c r="G62" s="43"/>
      <c r="H62" s="43"/>
      <c r="I62" s="43"/>
      <c r="J62" s="43"/>
      <c r="K62" s="43"/>
      <c r="L62" s="43"/>
      <c r="M62" s="44"/>
    </row>
    <row r="63" spans="2:13" ht="11.25">
      <c r="B63" s="45"/>
      <c r="C63" s="43"/>
      <c r="D63" s="43"/>
      <c r="E63" s="43"/>
      <c r="F63" s="43"/>
      <c r="G63" s="43"/>
      <c r="H63" s="43"/>
      <c r="I63" s="43"/>
      <c r="J63" s="43"/>
      <c r="K63" s="43"/>
      <c r="L63" s="43"/>
      <c r="M63" s="44"/>
    </row>
    <row r="64" spans="2:13" ht="11.25">
      <c r="B64" s="45"/>
      <c r="C64" s="43"/>
      <c r="D64" s="43"/>
      <c r="E64" s="43"/>
      <c r="F64" s="43"/>
      <c r="G64" s="43"/>
      <c r="H64" s="43"/>
      <c r="I64" s="43"/>
      <c r="J64" s="43"/>
      <c r="K64" s="43"/>
      <c r="L64" s="43"/>
      <c r="M64" s="44"/>
    </row>
    <row r="65" spans="2:13" ht="11.25">
      <c r="B65" s="45"/>
      <c r="C65" s="43"/>
      <c r="D65" s="43"/>
      <c r="E65" s="43"/>
      <c r="F65" s="43"/>
      <c r="G65" s="43"/>
      <c r="H65" s="43"/>
      <c r="I65" s="43"/>
      <c r="J65" s="43"/>
      <c r="K65" s="43"/>
      <c r="L65" s="43"/>
      <c r="M65" s="44"/>
    </row>
    <row r="66" spans="2:13" ht="11.25">
      <c r="B66" s="45"/>
      <c r="C66" s="43"/>
      <c r="D66" s="43"/>
      <c r="E66" s="43"/>
      <c r="F66" s="43"/>
      <c r="G66" s="43"/>
      <c r="H66" s="43"/>
      <c r="I66" s="43"/>
      <c r="J66" s="43"/>
      <c r="K66" s="43"/>
      <c r="L66" s="43"/>
      <c r="M66" s="44"/>
    </row>
    <row r="67" spans="2:13" ht="11.25">
      <c r="B67" s="45"/>
      <c r="C67" s="43"/>
      <c r="D67" s="43"/>
      <c r="E67" s="43"/>
      <c r="F67" s="43"/>
      <c r="G67" s="43"/>
      <c r="H67" s="43"/>
      <c r="I67" s="43"/>
      <c r="J67" s="43"/>
      <c r="K67" s="43"/>
      <c r="L67" s="43"/>
      <c r="M67" s="44"/>
    </row>
    <row r="68" spans="2:13" ht="13.5" thickBot="1">
      <c r="B68" s="279" t="s">
        <v>55</v>
      </c>
      <c r="C68" s="280"/>
      <c r="D68" s="57">
        <f>D48</f>
        <v>1</v>
      </c>
      <c r="E68" s="58"/>
      <c r="F68" s="58"/>
      <c r="G68" s="58"/>
      <c r="H68" s="43"/>
      <c r="I68" s="43"/>
      <c r="J68" s="43"/>
      <c r="K68" s="43"/>
      <c r="L68" s="43"/>
      <c r="M68" s="44"/>
    </row>
    <row r="69" spans="2:13" ht="11.25">
      <c r="B69" s="59"/>
      <c r="C69" s="60">
        <v>2005</v>
      </c>
      <c r="D69" s="60">
        <f aca="true" t="shared" si="20" ref="D69:M69">C69+1</f>
        <v>2006</v>
      </c>
      <c r="E69" s="60">
        <f t="shared" si="20"/>
        <v>2007</v>
      </c>
      <c r="F69" s="60">
        <f t="shared" si="20"/>
        <v>2008</v>
      </c>
      <c r="G69" s="60">
        <f t="shared" si="20"/>
        <v>2009</v>
      </c>
      <c r="H69" s="60">
        <f t="shared" si="20"/>
        <v>2010</v>
      </c>
      <c r="I69" s="60">
        <f t="shared" si="20"/>
        <v>2011</v>
      </c>
      <c r="J69" s="60">
        <f t="shared" si="20"/>
        <v>2012</v>
      </c>
      <c r="K69" s="60">
        <f t="shared" si="20"/>
        <v>2013</v>
      </c>
      <c r="L69" s="60">
        <f t="shared" si="20"/>
        <v>2014</v>
      </c>
      <c r="M69" s="60">
        <f t="shared" si="20"/>
        <v>2015</v>
      </c>
    </row>
    <row r="70" spans="2:13" ht="11.25">
      <c r="B70" s="62" t="s">
        <v>26</v>
      </c>
      <c r="C70" s="65">
        <v>0</v>
      </c>
      <c r="D70" s="65">
        <f>-Inv06</f>
        <v>-24926449.275362317</v>
      </c>
      <c r="E70" s="65">
        <f>-Inv07</f>
        <v>-19573550.724637683</v>
      </c>
      <c r="F70" s="65">
        <v>0</v>
      </c>
      <c r="G70" s="65">
        <f aca="true" t="shared" si="21" ref="G70:M70">F70</f>
        <v>0</v>
      </c>
      <c r="H70" s="65">
        <f t="shared" si="21"/>
        <v>0</v>
      </c>
      <c r="I70" s="65">
        <f t="shared" si="21"/>
        <v>0</v>
      </c>
      <c r="J70" s="65">
        <f t="shared" si="21"/>
        <v>0</v>
      </c>
      <c r="K70" s="65">
        <f t="shared" si="21"/>
        <v>0</v>
      </c>
      <c r="L70" s="65">
        <f t="shared" si="21"/>
        <v>0</v>
      </c>
      <c r="M70" s="65">
        <f t="shared" si="21"/>
        <v>0</v>
      </c>
    </row>
    <row r="71" spans="2:13" ht="11.25">
      <c r="B71" s="62" t="s">
        <v>27</v>
      </c>
      <c r="C71" s="65">
        <f>J26*'ERR &amp; Sensitivity Analysis'!G11</f>
        <v>0</v>
      </c>
      <c r="D71" s="65">
        <f>$J27*'ERR &amp; Sensitivity Analysis'!G11</f>
        <v>1649693.175000001</v>
      </c>
      <c r="E71" s="65">
        <f>$J28*'ERR &amp; Sensitivity Analysis'!G11</f>
        <v>3525652.261755</v>
      </c>
      <c r="F71" s="65">
        <f>$J29*'ERR &amp; Sensitivity Analysis'!G11</f>
        <v>5904863.370232427</v>
      </c>
      <c r="G71" s="65">
        <f>$J30*'ERR &amp; Sensitivity Analysis'!G11</f>
        <v>6443003.058816032</v>
      </c>
      <c r="H71" s="65">
        <f>$J31*'ERR &amp; Sensitivity Analysis'!G11</f>
        <v>6860159.687529306</v>
      </c>
      <c r="I71" s="65">
        <f>$J32*'ERR &amp; Sensitivity Analysis'!G11</f>
        <v>7173759.7483214745</v>
      </c>
      <c r="J71" s="65">
        <f>$J33*'ERR &amp; Sensitivity Analysis'!G11</f>
        <v>7493631.594731726</v>
      </c>
      <c r="K71" s="65">
        <f>$J34*'ERR &amp; Sensitivity Analysis'!G11</f>
        <v>7824414.128021432</v>
      </c>
      <c r="L71" s="65">
        <f>$J35*'ERR &amp; Sensitivity Analysis'!G11</f>
        <v>8166450.608614571</v>
      </c>
      <c r="M71" s="66">
        <f>$J36*'ERR &amp; Sensitivity Analysis'!G11</f>
        <v>8520094.890870886</v>
      </c>
    </row>
    <row r="72" spans="2:13" ht="11.25">
      <c r="B72" s="62" t="s">
        <v>24</v>
      </c>
      <c r="C72" s="65">
        <f>F52</f>
        <v>0</v>
      </c>
      <c r="D72" s="65">
        <f>F53*'ERR &amp; Sensitivity Analysis'!G11</f>
        <v>0</v>
      </c>
      <c r="E72" s="65">
        <f>F54*'ERR &amp; Sensitivity Analysis'!G11</f>
        <v>432951.15000000026</v>
      </c>
      <c r="F72" s="65">
        <f>F55*'ERR &amp; Sensitivity Analysis'!G11</f>
        <v>907141.4745</v>
      </c>
      <c r="G72" s="65">
        <f>F56*'ERR &amp; Sensitivity Analysis'!G11</f>
        <v>1489516.1949262498</v>
      </c>
      <c r="H72" s="65">
        <f>F57*'ERR &amp; Sensitivity Analysis'!G11</f>
        <v>1593395.3378501437</v>
      </c>
      <c r="I72" s="65">
        <f>F58*'ERR &amp; Sensitivity Analysis'!G11</f>
        <v>1663294.9079178956</v>
      </c>
      <c r="J72" s="65">
        <f>F59*'ERR &amp; Sensitivity Analysis'!G11</f>
        <v>1705224.9915366643</v>
      </c>
      <c r="K72" s="65">
        <f>F60*'ERR &amp; Sensitivity Analysis'!G11</f>
        <v>1746332.8664097143</v>
      </c>
      <c r="L72" s="65"/>
      <c r="M72" s="66"/>
    </row>
    <row r="73" spans="2:14" ht="12" thickBot="1">
      <c r="B73" s="67" t="s">
        <v>23</v>
      </c>
      <c r="C73" s="68">
        <f aca="true" t="shared" si="22" ref="C73:M73">SUM(C70:C72)</f>
        <v>0</v>
      </c>
      <c r="D73" s="68">
        <f>SUM(D70:D72)</f>
        <v>-23276756.100362316</v>
      </c>
      <c r="E73" s="68">
        <f t="shared" si="22"/>
        <v>-15614947.312882682</v>
      </c>
      <c r="F73" s="68">
        <f t="shared" si="22"/>
        <v>6812004.844732426</v>
      </c>
      <c r="G73" s="68">
        <f t="shared" si="22"/>
        <v>7932519.253742281</v>
      </c>
      <c r="H73" s="68">
        <f t="shared" si="22"/>
        <v>8453555.02537945</v>
      </c>
      <c r="I73" s="68">
        <f t="shared" si="22"/>
        <v>8837054.65623937</v>
      </c>
      <c r="J73" s="68">
        <f t="shared" si="22"/>
        <v>9198856.58626839</v>
      </c>
      <c r="K73" s="68">
        <f t="shared" si="22"/>
        <v>9570746.994431145</v>
      </c>
      <c r="L73" s="68">
        <f t="shared" si="22"/>
        <v>8166450.608614571</v>
      </c>
      <c r="M73" s="69">
        <f t="shared" si="22"/>
        <v>8520094.890870886</v>
      </c>
      <c r="N73" s="70"/>
    </row>
    <row r="74" spans="2:13" ht="11.25">
      <c r="B74" s="45"/>
      <c r="C74" s="71" t="s">
        <v>99</v>
      </c>
      <c r="D74" s="72">
        <f>NPV(0.1,D73:M73)</f>
        <v>2641184.200003054</v>
      </c>
      <c r="E74" s="37"/>
      <c r="F74" s="39"/>
      <c r="G74" s="39"/>
      <c r="H74" s="39"/>
      <c r="I74" s="39"/>
      <c r="J74" s="39"/>
      <c r="K74" s="39"/>
      <c r="L74" s="39"/>
      <c r="M74" s="41"/>
    </row>
    <row r="75" spans="2:13" ht="12" thickBot="1">
      <c r="B75" s="45"/>
      <c r="C75" s="31" t="s">
        <v>43</v>
      </c>
      <c r="D75" s="110">
        <f>IRR(D73:M73)</f>
        <v>0.11746192550098813</v>
      </c>
      <c r="E75" s="45"/>
      <c r="F75" s="43"/>
      <c r="G75" s="43"/>
      <c r="H75" s="43"/>
      <c r="I75" s="43"/>
      <c r="J75" s="43"/>
      <c r="K75" s="43"/>
      <c r="L75" s="43"/>
      <c r="M75" s="44"/>
    </row>
    <row r="76" spans="2:13" ht="12" thickBot="1">
      <c r="B76" s="45"/>
      <c r="C76" s="31" t="s">
        <v>47</v>
      </c>
      <c r="D76" s="73">
        <f>IRR(D73:L73)</f>
        <v>0.09524925647635074</v>
      </c>
      <c r="E76" s="45"/>
      <c r="F76" s="43"/>
      <c r="G76" s="43"/>
      <c r="H76" s="43"/>
      <c r="I76" s="43"/>
      <c r="J76" s="43"/>
      <c r="K76" s="43"/>
      <c r="L76" s="43"/>
      <c r="M76" s="44"/>
    </row>
    <row r="77" spans="2:13" ht="12" thickBot="1">
      <c r="B77" s="45"/>
      <c r="C77" s="31" t="s">
        <v>48</v>
      </c>
      <c r="D77" s="73">
        <f>IRR(D73:K73)</f>
        <v>0.06580748722906417</v>
      </c>
      <c r="E77" s="45"/>
      <c r="F77" s="43"/>
      <c r="G77" s="43"/>
      <c r="H77" s="43"/>
      <c r="I77" s="43"/>
      <c r="J77" s="43"/>
      <c r="K77" s="43"/>
      <c r="L77" s="43"/>
      <c r="M77" s="44"/>
    </row>
    <row r="78" spans="2:13" ht="12" thickBot="1">
      <c r="B78" s="45"/>
      <c r="C78" s="31" t="s">
        <v>45</v>
      </c>
      <c r="D78" s="73">
        <f>IRR(D73:J73)</f>
        <v>0.01583301238681667</v>
      </c>
      <c r="E78" s="45"/>
      <c r="F78" s="43"/>
      <c r="G78" s="43"/>
      <c r="H78" s="43"/>
      <c r="I78" s="43"/>
      <c r="J78" s="43"/>
      <c r="K78" s="43"/>
      <c r="L78" s="43"/>
      <c r="M78" s="44"/>
    </row>
    <row r="79" spans="2:13" ht="12" thickBot="1">
      <c r="B79" s="45"/>
      <c r="C79" s="31" t="s">
        <v>46</v>
      </c>
      <c r="D79" s="73">
        <f>IRR(D73:I73)</f>
        <v>-0.05826782179593411</v>
      </c>
      <c r="E79" s="45"/>
      <c r="F79" s="43"/>
      <c r="G79" s="43"/>
      <c r="H79" s="43"/>
      <c r="I79" s="43"/>
      <c r="J79" s="43"/>
      <c r="K79" s="43"/>
      <c r="L79" s="43"/>
      <c r="M79" s="44"/>
    </row>
    <row r="80" spans="2:13" ht="12" thickBot="1">
      <c r="B80" s="74"/>
      <c r="C80" s="31" t="s">
        <v>44</v>
      </c>
      <c r="D80" s="73">
        <f>IRR(D73:H73)</f>
        <v>-0.17372149318906707</v>
      </c>
      <c r="E80" s="74"/>
      <c r="F80" s="75"/>
      <c r="G80" s="75"/>
      <c r="H80" s="75"/>
      <c r="I80" s="75"/>
      <c r="J80" s="75"/>
      <c r="K80" s="75"/>
      <c r="L80" s="75"/>
      <c r="M80" s="76"/>
    </row>
    <row r="82" ht="11.25">
      <c r="D82" s="16" t="s">
        <v>101</v>
      </c>
    </row>
    <row r="83" ht="11.25">
      <c r="D83" s="16" t="s">
        <v>102</v>
      </c>
    </row>
  </sheetData>
  <mergeCells count="5">
    <mergeCell ref="B68:C68"/>
    <mergeCell ref="B1:H1"/>
    <mergeCell ref="D24:E24"/>
    <mergeCell ref="F24:G24"/>
    <mergeCell ref="B46:C46"/>
  </mergeCells>
  <conditionalFormatting sqref="B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N40"/>
  <sheetViews>
    <sheetView workbookViewId="0" topLeftCell="A19">
      <selection activeCell="A2" sqref="A2"/>
    </sheetView>
  </sheetViews>
  <sheetFormatPr defaultColWidth="9.140625" defaultRowHeight="12.75"/>
  <cols>
    <col min="1" max="1" width="51.57421875" style="0" bestFit="1" customWidth="1"/>
    <col min="2" max="3" width="10.140625" style="0" bestFit="1" customWidth="1"/>
    <col min="4" max="4" width="17.140625" style="0" customWidth="1"/>
    <col min="5" max="7" width="10.140625" style="0" bestFit="1" customWidth="1"/>
    <col min="8" max="9" width="11.28125" style="0" bestFit="1" customWidth="1"/>
    <col min="10" max="12" width="10.140625" style="0" bestFit="1" customWidth="1"/>
    <col min="13" max="13" width="10.8515625" style="0" customWidth="1"/>
    <col min="14" max="14" width="11.140625" style="0" customWidth="1"/>
  </cols>
  <sheetData>
    <row r="1" spans="1:2" ht="20.25">
      <c r="A1" s="112" t="s">
        <v>109</v>
      </c>
      <c r="B1" s="112"/>
    </row>
    <row r="3" spans="1:2" ht="18">
      <c r="A3" s="111" t="s">
        <v>108</v>
      </c>
      <c r="B3" s="111"/>
    </row>
    <row r="4" spans="1:7" ht="12.75">
      <c r="A4" s="275">
        <f>IF('ERR &amp; Sensitivity Analysis'!$I$10="N","Note: Current calculations are based on user input and are not the original MCC estimates.",IF('ERR &amp; Sensitivity Analysis'!$I$11="N","Note: Current calculations are based on user input and are not the original MCC estimates.",0))</f>
        <v>0</v>
      </c>
      <c r="B4" s="275"/>
      <c r="C4" s="275"/>
      <c r="D4" s="275"/>
      <c r="E4" s="275"/>
      <c r="F4" s="275"/>
      <c r="G4" s="275"/>
    </row>
    <row r="5" spans="1:9" ht="12.75">
      <c r="A5" s="118" t="s">
        <v>70</v>
      </c>
      <c r="B5" s="149"/>
      <c r="C5" s="119"/>
      <c r="D5" s="119"/>
      <c r="E5" s="119"/>
      <c r="F5" s="136"/>
      <c r="G5" s="138"/>
      <c r="H5" s="120"/>
      <c r="I5" s="120"/>
    </row>
    <row r="6" spans="1:9" ht="12.75">
      <c r="A6" s="121"/>
      <c r="B6" s="98"/>
      <c r="C6" s="98"/>
      <c r="D6" s="98"/>
      <c r="E6" s="98"/>
      <c r="F6" s="285" t="s">
        <v>71</v>
      </c>
      <c r="G6" s="286"/>
      <c r="H6" s="287" t="s">
        <v>72</v>
      </c>
      <c r="I6" s="286"/>
    </row>
    <row r="7" spans="1:9" ht="12.75">
      <c r="A7" s="148"/>
      <c r="B7" s="175" t="s">
        <v>154</v>
      </c>
      <c r="C7" s="285" t="s">
        <v>110</v>
      </c>
      <c r="D7" s="287"/>
      <c r="E7" s="287"/>
      <c r="F7" s="134" t="s">
        <v>73</v>
      </c>
      <c r="G7" s="142" t="s">
        <v>74</v>
      </c>
      <c r="H7" s="135" t="s">
        <v>73</v>
      </c>
      <c r="I7" s="135" t="s">
        <v>74</v>
      </c>
    </row>
    <row r="8" spans="1:9" ht="12.75">
      <c r="A8" s="139"/>
      <c r="B8" s="176" t="str">
        <f>'ERR &amp; Sensitivity Analysis'!G19</f>
        <v>Medium</v>
      </c>
      <c r="C8" s="134" t="s">
        <v>75</v>
      </c>
      <c r="D8" s="142" t="s">
        <v>76</v>
      </c>
      <c r="E8" s="135" t="s">
        <v>77</v>
      </c>
      <c r="F8" s="121"/>
      <c r="G8" s="139"/>
      <c r="H8" s="123"/>
      <c r="I8" s="123"/>
    </row>
    <row r="9" spans="1:9" ht="12.75">
      <c r="A9" s="139" t="s">
        <v>78</v>
      </c>
      <c r="B9" s="132">
        <f>IF($B$8="Low",C9,IF($B$8="Medium",D9,E9))</f>
        <v>0.75</v>
      </c>
      <c r="C9" s="128">
        <v>0.75</v>
      </c>
      <c r="D9" s="132">
        <v>0.75</v>
      </c>
      <c r="E9" s="124">
        <v>0.75</v>
      </c>
      <c r="F9" s="137">
        <v>1</v>
      </c>
      <c r="G9" s="139"/>
      <c r="H9" s="123"/>
      <c r="I9" s="123"/>
    </row>
    <row r="10" spans="1:9" ht="12.75">
      <c r="A10" s="139" t="s">
        <v>79</v>
      </c>
      <c r="B10" s="132">
        <f aca="true" t="shared" si="0" ref="B10:B18">IF($B$8="Low",C10,IF($B$8="Medium",D10,E10))</f>
        <v>5</v>
      </c>
      <c r="C10" s="128">
        <v>4</v>
      </c>
      <c r="D10" s="132">
        <v>5</v>
      </c>
      <c r="E10" s="124">
        <v>5</v>
      </c>
      <c r="F10" s="137">
        <v>0.7</v>
      </c>
      <c r="G10" s="140">
        <v>0.3</v>
      </c>
      <c r="H10" s="123"/>
      <c r="I10" s="123"/>
    </row>
    <row r="11" spans="1:9" ht="12.75">
      <c r="A11" s="139" t="s">
        <v>80</v>
      </c>
      <c r="B11" s="132">
        <f t="shared" si="0"/>
        <v>7</v>
      </c>
      <c r="C11" s="128">
        <v>6</v>
      </c>
      <c r="D11" s="132">
        <f>(C11+E11)/2</f>
        <v>7</v>
      </c>
      <c r="E11" s="124">
        <v>8</v>
      </c>
      <c r="F11" s="137">
        <v>0.7</v>
      </c>
      <c r="G11" s="140">
        <v>0.3</v>
      </c>
      <c r="H11" s="123"/>
      <c r="I11" s="123"/>
    </row>
    <row r="12" spans="1:9" ht="12.75">
      <c r="A12" s="139" t="s">
        <v>81</v>
      </c>
      <c r="B12" s="132">
        <f t="shared" si="0"/>
        <v>4</v>
      </c>
      <c r="C12" s="128">
        <v>3</v>
      </c>
      <c r="D12" s="132">
        <f>(C12+E12)/2</f>
        <v>4</v>
      </c>
      <c r="E12" s="124">
        <v>5</v>
      </c>
      <c r="F12" s="137">
        <v>0.7</v>
      </c>
      <c r="G12" s="140">
        <v>0.3</v>
      </c>
      <c r="H12" s="123"/>
      <c r="I12" s="123"/>
    </row>
    <row r="13" spans="1:9" ht="12.75">
      <c r="A13" s="139" t="s">
        <v>82</v>
      </c>
      <c r="B13" s="132">
        <f t="shared" si="0"/>
        <v>7</v>
      </c>
      <c r="C13" s="128">
        <v>6</v>
      </c>
      <c r="D13" s="132">
        <f>(C13+E13)/2</f>
        <v>7</v>
      </c>
      <c r="E13" s="124">
        <v>8</v>
      </c>
      <c r="F13" s="137">
        <v>0.2</v>
      </c>
      <c r="G13" s="140">
        <v>0.8</v>
      </c>
      <c r="H13" s="123"/>
      <c r="I13" s="123"/>
    </row>
    <row r="14" spans="1:9" ht="12.75">
      <c r="A14" s="139" t="s">
        <v>83</v>
      </c>
      <c r="B14" s="132">
        <f t="shared" si="0"/>
        <v>5.5</v>
      </c>
      <c r="C14" s="128">
        <v>5</v>
      </c>
      <c r="D14" s="132">
        <f>(C14+E14)/2</f>
        <v>5.5</v>
      </c>
      <c r="E14" s="124">
        <v>6</v>
      </c>
      <c r="F14" s="137">
        <v>0.8</v>
      </c>
      <c r="G14" s="140">
        <v>0.2</v>
      </c>
      <c r="H14" s="123"/>
      <c r="I14" s="123"/>
    </row>
    <row r="15" spans="1:9" ht="12.75">
      <c r="A15" s="139" t="s">
        <v>84</v>
      </c>
      <c r="B15" s="132">
        <f t="shared" si="0"/>
        <v>5.25</v>
      </c>
      <c r="C15" s="128">
        <v>4.25</v>
      </c>
      <c r="D15" s="132">
        <f>(C15+E15)/2</f>
        <v>5.25</v>
      </c>
      <c r="E15" s="124">
        <v>6.25</v>
      </c>
      <c r="F15" s="137">
        <v>0.3</v>
      </c>
      <c r="G15" s="140">
        <v>0.7</v>
      </c>
      <c r="H15" s="123"/>
      <c r="I15" s="123"/>
    </row>
    <row r="16" spans="1:9" ht="12.75">
      <c r="A16" s="139" t="s">
        <v>85</v>
      </c>
      <c r="B16" s="132">
        <f t="shared" si="0"/>
        <v>34.5</v>
      </c>
      <c r="C16" s="128">
        <f>SUM(C9:C15)</f>
        <v>29</v>
      </c>
      <c r="D16" s="132">
        <f>SUM(D9:D15)</f>
        <v>34.5</v>
      </c>
      <c r="E16" s="124">
        <f>SUM(E9:E15)</f>
        <v>39</v>
      </c>
      <c r="F16" s="137"/>
      <c r="G16" s="140"/>
      <c r="H16" s="123"/>
      <c r="I16" s="123"/>
    </row>
    <row r="17" spans="1:9" ht="12.75">
      <c r="A17" s="139" t="s">
        <v>86</v>
      </c>
      <c r="B17" s="132">
        <f t="shared" si="0"/>
        <v>10</v>
      </c>
      <c r="C17" s="128">
        <f>C16*0.3</f>
        <v>8.7</v>
      </c>
      <c r="D17" s="132">
        <v>10</v>
      </c>
      <c r="E17" s="124">
        <f>E16*0.3</f>
        <v>11.7</v>
      </c>
      <c r="F17" s="121"/>
      <c r="G17" s="139"/>
      <c r="H17" s="123"/>
      <c r="I17" s="123"/>
    </row>
    <row r="18" spans="1:9" ht="12.75">
      <c r="A18" s="141" t="s">
        <v>23</v>
      </c>
      <c r="B18" s="133">
        <f t="shared" si="0"/>
        <v>44.5</v>
      </c>
      <c r="C18" s="131">
        <f>SUM(C16:C17)</f>
        <v>37.7</v>
      </c>
      <c r="D18" s="133">
        <f>D16+D17</f>
        <v>44.5</v>
      </c>
      <c r="E18" s="126">
        <f>SUM(E16:E17)</f>
        <v>50.7</v>
      </c>
      <c r="F18" s="125"/>
      <c r="G18" s="141"/>
      <c r="H18" s="127"/>
      <c r="I18" s="127"/>
    </row>
    <row r="19" spans="1:9" ht="12.75">
      <c r="A19" s="98"/>
      <c r="B19" s="98"/>
      <c r="C19" s="124"/>
      <c r="D19" s="124"/>
      <c r="E19" s="124"/>
      <c r="F19" s="98"/>
      <c r="G19" s="98"/>
      <c r="H19" s="98"/>
      <c r="I19" s="98"/>
    </row>
    <row r="20" spans="1:10" ht="12.75">
      <c r="A20" s="136"/>
      <c r="B20" s="119"/>
      <c r="C20" s="119"/>
      <c r="D20" s="119"/>
      <c r="E20" s="119"/>
      <c r="F20" s="288" t="s">
        <v>71</v>
      </c>
      <c r="G20" s="289"/>
      <c r="H20" s="290" t="s">
        <v>72</v>
      </c>
      <c r="I20" s="291"/>
      <c r="J20" s="143"/>
    </row>
    <row r="21" spans="1:10" ht="12.75">
      <c r="A21" s="122" t="s">
        <v>87</v>
      </c>
      <c r="B21" s="144"/>
      <c r="C21" s="284"/>
      <c r="D21" s="284"/>
      <c r="E21" s="284"/>
      <c r="F21" s="125" t="s">
        <v>73</v>
      </c>
      <c r="G21" s="127" t="s">
        <v>74</v>
      </c>
      <c r="H21" s="177" t="s">
        <v>73</v>
      </c>
      <c r="I21" s="178" t="s">
        <v>74</v>
      </c>
      <c r="J21" s="145"/>
    </row>
    <row r="22" spans="1:10" ht="12.75">
      <c r="A22" s="121"/>
      <c r="B22" s="176" t="str">
        <f>'ERR &amp; Sensitivity Analysis'!G19</f>
        <v>Medium</v>
      </c>
      <c r="C22" s="134" t="s">
        <v>75</v>
      </c>
      <c r="D22" s="142" t="s">
        <v>111</v>
      </c>
      <c r="E22" s="135" t="s">
        <v>77</v>
      </c>
      <c r="F22" s="136"/>
      <c r="G22" s="138"/>
      <c r="H22" s="148"/>
      <c r="I22" s="149"/>
      <c r="J22" s="148"/>
    </row>
    <row r="23" spans="1:10" ht="12.75">
      <c r="A23" s="121" t="s">
        <v>78</v>
      </c>
      <c r="B23" s="132">
        <f>IF($B$8="Low",C23,IF($B$8="Medium",D23,E23))</f>
        <v>0.967391304347826</v>
      </c>
      <c r="C23" s="128">
        <f>C9*32.5/24.5</f>
        <v>0.9948979591836735</v>
      </c>
      <c r="D23" s="132">
        <f>D9*44.5/34.5</f>
        <v>0.967391304347826</v>
      </c>
      <c r="E23" s="129">
        <f aca="true" t="shared" si="1" ref="E23:E29">E9*40/32</f>
        <v>0.9375</v>
      </c>
      <c r="F23" s="137">
        <v>1</v>
      </c>
      <c r="G23" s="139"/>
      <c r="H23" s="150">
        <f aca="true" t="shared" si="2" ref="H23:H29">B23*F23</f>
        <v>0.967391304347826</v>
      </c>
      <c r="I23" s="146">
        <f aca="true" t="shared" si="3" ref="I23:I29">B23*G23</f>
        <v>0</v>
      </c>
      <c r="J23" s="151"/>
    </row>
    <row r="24" spans="1:10" ht="12.75">
      <c r="A24" s="121" t="s">
        <v>79</v>
      </c>
      <c r="B24" s="132">
        <f aca="true" t="shared" si="4" ref="B24:B31">IF($B$8="Low",C24,IF($B$8="Medium",D24,E24))</f>
        <v>6.449275362318841</v>
      </c>
      <c r="C24" s="128">
        <f aca="true" t="shared" si="5" ref="C24:C29">C10*32.5/24.5</f>
        <v>5.3061224489795915</v>
      </c>
      <c r="D24" s="132">
        <f aca="true" t="shared" si="6" ref="D24:D29">D10*44.5/34.5</f>
        <v>6.449275362318841</v>
      </c>
      <c r="E24" s="130">
        <f t="shared" si="1"/>
        <v>6.25</v>
      </c>
      <c r="F24" s="137">
        <v>0.7</v>
      </c>
      <c r="G24" s="140">
        <v>0.3</v>
      </c>
      <c r="H24" s="150">
        <f t="shared" si="2"/>
        <v>4.5144927536231885</v>
      </c>
      <c r="I24" s="146">
        <f t="shared" si="3"/>
        <v>1.934782608695652</v>
      </c>
      <c r="J24" s="151"/>
    </row>
    <row r="25" spans="1:10" ht="12.75">
      <c r="A25" s="121" t="s">
        <v>80</v>
      </c>
      <c r="B25" s="132">
        <f t="shared" si="4"/>
        <v>9.028985507246377</v>
      </c>
      <c r="C25" s="128">
        <f t="shared" si="5"/>
        <v>7.959183673469388</v>
      </c>
      <c r="D25" s="132">
        <f t="shared" si="6"/>
        <v>9.028985507246377</v>
      </c>
      <c r="E25" s="130">
        <f t="shared" si="1"/>
        <v>10</v>
      </c>
      <c r="F25" s="137">
        <v>0.7</v>
      </c>
      <c r="G25" s="140">
        <v>0.3</v>
      </c>
      <c r="H25" s="150">
        <f t="shared" si="2"/>
        <v>6.320289855072463</v>
      </c>
      <c r="I25" s="146">
        <f t="shared" si="3"/>
        <v>2.708695652173913</v>
      </c>
      <c r="J25" s="151"/>
    </row>
    <row r="26" spans="1:10" ht="12.75">
      <c r="A26" s="121" t="s">
        <v>81</v>
      </c>
      <c r="B26" s="132">
        <f t="shared" si="4"/>
        <v>5.159420289855072</v>
      </c>
      <c r="C26" s="128">
        <f t="shared" si="5"/>
        <v>3.979591836734694</v>
      </c>
      <c r="D26" s="132">
        <f t="shared" si="6"/>
        <v>5.159420289855072</v>
      </c>
      <c r="E26" s="130">
        <f t="shared" si="1"/>
        <v>6.25</v>
      </c>
      <c r="F26" s="137">
        <v>0.7</v>
      </c>
      <c r="G26" s="140">
        <v>0.3</v>
      </c>
      <c r="H26" s="150">
        <f t="shared" si="2"/>
        <v>3.61159420289855</v>
      </c>
      <c r="I26" s="146">
        <f t="shared" si="3"/>
        <v>1.5478260869565217</v>
      </c>
      <c r="J26" s="151"/>
    </row>
    <row r="27" spans="1:10" ht="12.75">
      <c r="A27" s="121" t="s">
        <v>82</v>
      </c>
      <c r="B27" s="132">
        <f t="shared" si="4"/>
        <v>9.028985507246377</v>
      </c>
      <c r="C27" s="128">
        <f t="shared" si="5"/>
        <v>7.959183673469388</v>
      </c>
      <c r="D27" s="132">
        <f t="shared" si="6"/>
        <v>9.028985507246377</v>
      </c>
      <c r="E27" s="130">
        <f t="shared" si="1"/>
        <v>10</v>
      </c>
      <c r="F27" s="137">
        <v>0.2</v>
      </c>
      <c r="G27" s="140">
        <v>0.8</v>
      </c>
      <c r="H27" s="150">
        <f t="shared" si="2"/>
        <v>1.8057971014492755</v>
      </c>
      <c r="I27" s="146">
        <f t="shared" si="3"/>
        <v>7.223188405797102</v>
      </c>
      <c r="J27" s="151"/>
    </row>
    <row r="28" spans="1:10" ht="12.75">
      <c r="A28" s="121" t="s">
        <v>83</v>
      </c>
      <c r="B28" s="132">
        <f t="shared" si="4"/>
        <v>7.094202898550725</v>
      </c>
      <c r="C28" s="128">
        <f t="shared" si="5"/>
        <v>6.63265306122449</v>
      </c>
      <c r="D28" s="132">
        <f t="shared" si="6"/>
        <v>7.094202898550725</v>
      </c>
      <c r="E28" s="130">
        <f t="shared" si="1"/>
        <v>7.5</v>
      </c>
      <c r="F28" s="137">
        <v>0.8</v>
      </c>
      <c r="G28" s="140">
        <v>0.2</v>
      </c>
      <c r="H28" s="150">
        <f t="shared" si="2"/>
        <v>5.67536231884058</v>
      </c>
      <c r="I28" s="146">
        <f t="shared" si="3"/>
        <v>1.418840579710145</v>
      </c>
      <c r="J28" s="151"/>
    </row>
    <row r="29" spans="1:10" ht="12.75">
      <c r="A29" s="121" t="s">
        <v>84</v>
      </c>
      <c r="B29" s="132">
        <f t="shared" si="4"/>
        <v>6.771739130434782</v>
      </c>
      <c r="C29" s="128">
        <f t="shared" si="5"/>
        <v>5.637755102040816</v>
      </c>
      <c r="D29" s="132">
        <f t="shared" si="6"/>
        <v>6.771739130434782</v>
      </c>
      <c r="E29" s="130">
        <f t="shared" si="1"/>
        <v>7.8125</v>
      </c>
      <c r="F29" s="137">
        <v>0.3</v>
      </c>
      <c r="G29" s="140">
        <v>0.7</v>
      </c>
      <c r="H29" s="150">
        <f t="shared" si="2"/>
        <v>2.0315217391304348</v>
      </c>
      <c r="I29" s="146">
        <f t="shared" si="3"/>
        <v>4.7402173913043475</v>
      </c>
      <c r="J29" s="151"/>
    </row>
    <row r="30" spans="1:10" ht="12.75">
      <c r="A30" s="121"/>
      <c r="B30" s="128"/>
      <c r="C30" s="128"/>
      <c r="D30" s="132"/>
      <c r="E30" s="123"/>
      <c r="F30" s="121"/>
      <c r="G30" s="139"/>
      <c r="H30" s="151"/>
      <c r="I30" s="144"/>
      <c r="J30" s="151"/>
    </row>
    <row r="31" spans="1:10" ht="12.75">
      <c r="A31" s="121"/>
      <c r="B31" s="132">
        <f t="shared" si="4"/>
        <v>44.5</v>
      </c>
      <c r="C31" s="128">
        <f>SUM(C23:C30)</f>
        <v>38.46938775510204</v>
      </c>
      <c r="D31" s="132">
        <f>SUM(D23:D30)</f>
        <v>44.5</v>
      </c>
      <c r="E31" s="129">
        <f>SUM(E23:E30)</f>
        <v>48.75</v>
      </c>
      <c r="F31" s="121"/>
      <c r="G31" s="139"/>
      <c r="H31" s="150">
        <f>SUM(H23:H30)</f>
        <v>24.926449275362316</v>
      </c>
      <c r="I31" s="146">
        <f>SUM(I23:I30)</f>
        <v>19.573550724637684</v>
      </c>
      <c r="J31" s="150">
        <f>SUM(H31:I31)</f>
        <v>44.5</v>
      </c>
    </row>
    <row r="32" spans="1:10" ht="12.75">
      <c r="A32" s="125"/>
      <c r="B32" s="125"/>
      <c r="C32" s="125"/>
      <c r="D32" s="141"/>
      <c r="E32" s="127"/>
      <c r="F32" s="125"/>
      <c r="G32" s="141"/>
      <c r="H32" s="152">
        <f>H31*1000000*'ERR &amp; Sensitivity Analysis'!G10</f>
        <v>24926449.275362317</v>
      </c>
      <c r="I32" s="147">
        <f>I31*1000000*'ERR &amp; Sensitivity Analysis'!G10</f>
        <v>19573550.724637683</v>
      </c>
      <c r="J32" s="141"/>
    </row>
    <row r="34" spans="1:2" ht="12.75">
      <c r="A34" s="102" t="s">
        <v>88</v>
      </c>
      <c r="B34" s="102"/>
    </row>
    <row r="36" spans="1:3" ht="12.75">
      <c r="A36" t="s">
        <v>91</v>
      </c>
      <c r="C36" s="103">
        <v>2000000</v>
      </c>
    </row>
    <row r="37" spans="1:3" ht="12.75">
      <c r="A37" t="s">
        <v>89</v>
      </c>
      <c r="C37" s="170">
        <f>'ERR &amp; Sensitivity Analysis'!G16</f>
        <v>0.02</v>
      </c>
    </row>
    <row r="38" spans="4:14" ht="12.75">
      <c r="D38" s="136">
        <v>1</v>
      </c>
      <c r="E38" s="119">
        <f>D38+1</f>
        <v>2</v>
      </c>
      <c r="F38" s="119">
        <f aca="true" t="shared" si="7" ref="F38:L38">E38+1</f>
        <v>3</v>
      </c>
      <c r="G38" s="119">
        <f t="shared" si="7"/>
        <v>4</v>
      </c>
      <c r="H38" s="119">
        <f t="shared" si="7"/>
        <v>5</v>
      </c>
      <c r="I38" s="136">
        <f t="shared" si="7"/>
        <v>6</v>
      </c>
      <c r="J38" s="119">
        <f t="shared" si="7"/>
        <v>7</v>
      </c>
      <c r="K38" s="119">
        <f t="shared" si="7"/>
        <v>8</v>
      </c>
      <c r="L38" s="119">
        <f t="shared" si="7"/>
        <v>9</v>
      </c>
      <c r="M38" s="120">
        <f>L38+1</f>
        <v>10</v>
      </c>
      <c r="N38" s="120">
        <f>M38+1</f>
        <v>11</v>
      </c>
    </row>
    <row r="39" spans="4:14" ht="12.75">
      <c r="D39" s="125">
        <v>2005</v>
      </c>
      <c r="E39" s="162">
        <f>D39+1</f>
        <v>2006</v>
      </c>
      <c r="F39" s="162">
        <f aca="true" t="shared" si="8" ref="F39:L39">E39+1</f>
        <v>2007</v>
      </c>
      <c r="G39" s="162">
        <f t="shared" si="8"/>
        <v>2008</v>
      </c>
      <c r="H39" s="162">
        <f t="shared" si="8"/>
        <v>2009</v>
      </c>
      <c r="I39" s="125">
        <f t="shared" si="8"/>
        <v>2010</v>
      </c>
      <c r="J39" s="162">
        <f t="shared" si="8"/>
        <v>2011</v>
      </c>
      <c r="K39" s="162">
        <f t="shared" si="8"/>
        <v>2012</v>
      </c>
      <c r="L39" s="162">
        <f t="shared" si="8"/>
        <v>2013</v>
      </c>
      <c r="M39" s="127">
        <f>L39+1</f>
        <v>2014</v>
      </c>
      <c r="N39" s="127">
        <f>M39+1</f>
        <v>2015</v>
      </c>
    </row>
    <row r="40" spans="1:14" ht="12.75">
      <c r="A40" s="160" t="s">
        <v>92</v>
      </c>
      <c r="B40" s="174"/>
      <c r="C40" s="161"/>
      <c r="D40" s="158">
        <f>C36</f>
        <v>2000000</v>
      </c>
      <c r="E40" s="147">
        <f>D40*(1+$C$37)</f>
        <v>2040000</v>
      </c>
      <c r="F40" s="147">
        <f aca="true" t="shared" si="9" ref="F40:K40">E40*(1+$C$37)</f>
        <v>2080800</v>
      </c>
      <c r="G40" s="147">
        <f t="shared" si="9"/>
        <v>2122416</v>
      </c>
      <c r="H40" s="147">
        <f t="shared" si="9"/>
        <v>2164864.32</v>
      </c>
      <c r="I40" s="158">
        <f t="shared" si="9"/>
        <v>2208161.6064</v>
      </c>
      <c r="J40" s="147">
        <f t="shared" si="9"/>
        <v>2252324.838528</v>
      </c>
      <c r="K40" s="147">
        <f t="shared" si="9"/>
        <v>2297371.3352985596</v>
      </c>
      <c r="L40" s="147">
        <f>K40*(1+$C$37)</f>
        <v>2343318.762004531</v>
      </c>
      <c r="M40" s="159">
        <f>L40*(1+$C$37)</f>
        <v>2390185.1372446218</v>
      </c>
      <c r="N40" s="159">
        <f>M40*(1+$C$37)</f>
        <v>2437988.839989514</v>
      </c>
    </row>
  </sheetData>
  <mergeCells count="7">
    <mergeCell ref="A4:G4"/>
    <mergeCell ref="C21:E21"/>
    <mergeCell ref="F6:G6"/>
    <mergeCell ref="H6:I6"/>
    <mergeCell ref="C7:E7"/>
    <mergeCell ref="F20:G20"/>
    <mergeCell ref="H20:I20"/>
  </mergeCells>
  <conditionalFormatting sqref="A4">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600" verticalDpi="600" orientation="portrait" r:id="rId3"/>
  <ignoredErrors>
    <ignoredError sqref="D18" formula="1"/>
  </ignoredErrors>
  <legacyDrawing r:id="rId2"/>
</worksheet>
</file>

<file path=xl/worksheets/sheet6.xml><?xml version="1.0" encoding="utf-8"?>
<worksheet xmlns="http://schemas.openxmlformats.org/spreadsheetml/2006/main" xmlns:r="http://schemas.openxmlformats.org/officeDocument/2006/relationships">
  <sheetPr codeName="Sheet6"/>
  <dimension ref="A1:J134"/>
  <sheetViews>
    <sheetView zoomScale="75" zoomScaleNormal="75" workbookViewId="0" topLeftCell="A1">
      <selection activeCell="A2" sqref="A2"/>
    </sheetView>
  </sheetViews>
  <sheetFormatPr defaultColWidth="9.140625" defaultRowHeight="12.75"/>
  <cols>
    <col min="1" max="1" width="7.28125" style="80" customWidth="1"/>
    <col min="2" max="2" width="12.00390625" style="80" customWidth="1"/>
    <col min="3" max="3" width="9.00390625" style="80" customWidth="1"/>
    <col min="4" max="5" width="9.140625" style="80" customWidth="1"/>
    <col min="6" max="6" width="11.28125" style="80" customWidth="1"/>
    <col min="7" max="7" width="10.28125" style="80" customWidth="1"/>
    <col min="8" max="8" width="10.00390625" style="80" customWidth="1"/>
    <col min="9" max="9" width="8.57421875" style="80" customWidth="1"/>
    <col min="10" max="10" width="10.140625" style="80" customWidth="1"/>
    <col min="11" max="16384" width="9.140625" style="80" customWidth="1"/>
  </cols>
  <sheetData>
    <row r="1" ht="20.25">
      <c r="A1" s="112" t="s">
        <v>109</v>
      </c>
    </row>
    <row r="2" ht="12.75">
      <c r="A2" s="102"/>
    </row>
    <row r="3" ht="18">
      <c r="A3" s="111" t="s">
        <v>138</v>
      </c>
    </row>
    <row r="4" spans="1:10" ht="12.75" customHeight="1">
      <c r="A4" s="275">
        <f>IF('ERR &amp; Sensitivity Analysis'!$I$10="N","Note: Current calculations are based on user input and are not the original MCC estimates.",IF('ERR &amp; Sensitivity Analysis'!$I$11="N","Note: Current calculations are based on user input and are not the original MCC estimates.",0))</f>
        <v>0</v>
      </c>
      <c r="B4" s="275"/>
      <c r="C4" s="275"/>
      <c r="D4" s="275"/>
      <c r="E4" s="275"/>
      <c r="F4" s="275"/>
      <c r="G4" s="275"/>
      <c r="H4" s="275"/>
      <c r="I4" s="275"/>
      <c r="J4" s="275"/>
    </row>
    <row r="5" spans="1:2" ht="12.75">
      <c r="A5" s="165">
        <f>'ERR &amp; Sensitivity Analysis'!G15</f>
        <v>0.015</v>
      </c>
      <c r="B5" s="155" t="s">
        <v>135</v>
      </c>
    </row>
    <row r="6" ht="13.5" thickBot="1">
      <c r="A6" s="102"/>
    </row>
    <row r="7" spans="1:10" ht="38.25">
      <c r="A7" s="81" t="s">
        <v>5</v>
      </c>
      <c r="B7" s="82" t="s">
        <v>28</v>
      </c>
      <c r="C7" s="82" t="s">
        <v>7</v>
      </c>
      <c r="D7" s="82" t="s">
        <v>0</v>
      </c>
      <c r="E7" s="82" t="s">
        <v>1</v>
      </c>
      <c r="F7" s="82" t="s">
        <v>2</v>
      </c>
      <c r="G7" s="82" t="s">
        <v>3</v>
      </c>
      <c r="H7" s="82" t="s">
        <v>4</v>
      </c>
      <c r="I7" s="83" t="s">
        <v>6</v>
      </c>
      <c r="J7" s="91" t="s">
        <v>90</v>
      </c>
    </row>
    <row r="8" spans="1:9" ht="12.75">
      <c r="A8" s="84">
        <v>2004</v>
      </c>
      <c r="B8" s="85">
        <f>SUM(C8:I8)</f>
        <v>2.029</v>
      </c>
      <c r="C8" s="85">
        <v>0.21</v>
      </c>
      <c r="D8" s="85">
        <v>0.248</v>
      </c>
      <c r="E8" s="85">
        <v>0.356</v>
      </c>
      <c r="F8" s="85">
        <v>0.115</v>
      </c>
      <c r="G8" s="85">
        <v>0.1</v>
      </c>
      <c r="H8" s="85">
        <v>0</v>
      </c>
      <c r="I8" s="86">
        <v>1</v>
      </c>
    </row>
    <row r="9" spans="1:10" ht="12.75">
      <c r="A9" s="84">
        <f aca="true" t="shared" si="0" ref="A9:A24">A8+1</f>
        <v>2005</v>
      </c>
      <c r="B9" s="85">
        <f aca="true" t="shared" si="1" ref="B9:B24">SUM(C9:I9)</f>
        <v>2.295</v>
      </c>
      <c r="C9" s="85">
        <v>0.25</v>
      </c>
      <c r="D9" s="85">
        <f>IF($A$5&gt;0.03,0.58,IF($A$5&gt;0.015,0.4,0.3))</f>
        <v>0.3</v>
      </c>
      <c r="E9" s="85">
        <v>0.39</v>
      </c>
      <c r="F9" s="85">
        <v>0.18</v>
      </c>
      <c r="G9" s="85">
        <v>0.11</v>
      </c>
      <c r="H9" s="85">
        <v>0.05</v>
      </c>
      <c r="I9" s="86">
        <f>I8+(I8*$A$5)</f>
        <v>1.015</v>
      </c>
      <c r="J9" s="104">
        <f>(B9-B8)/B8</f>
        <v>0.13109906357811732</v>
      </c>
    </row>
    <row r="10" spans="1:10" ht="12.75">
      <c r="A10" s="84">
        <f t="shared" si="0"/>
        <v>2006</v>
      </c>
      <c r="B10" s="85">
        <f t="shared" si="1"/>
        <v>2.488225</v>
      </c>
      <c r="C10" s="85">
        <v>0.3</v>
      </c>
      <c r="D10" s="85">
        <f>IF($A$5&gt;0.03,0.942,IF($A$5&gt;0.015,0.5,0.35))</f>
        <v>0.35</v>
      </c>
      <c r="E10" s="85">
        <v>0.42</v>
      </c>
      <c r="F10" s="85">
        <v>0.198</v>
      </c>
      <c r="G10" s="85">
        <v>0.12</v>
      </c>
      <c r="H10" s="85">
        <v>0.07</v>
      </c>
      <c r="I10" s="86">
        <f aca="true" t="shared" si="2" ref="I10:I24">I9+(I9*$A$5)</f>
        <v>1.030225</v>
      </c>
      <c r="J10" s="104">
        <f aca="true" t="shared" si="3" ref="J10:J24">(B10-B9)/B9</f>
        <v>0.08419389978213507</v>
      </c>
    </row>
    <row r="11" spans="1:10" ht="12.75">
      <c r="A11" s="84">
        <f t="shared" si="0"/>
        <v>2007</v>
      </c>
      <c r="B11" s="85">
        <f t="shared" si="1"/>
        <v>2.606728375</v>
      </c>
      <c r="C11" s="85">
        <f>IF($A$5&gt;0.03,1.5,IF($A$5&gt;0.015,0.7,0.35))</f>
        <v>0.35</v>
      </c>
      <c r="D11" s="85">
        <f>IF($A$5&gt;0.03,1.042,IF($A$5&gt;0.015,0.6,0.34))</f>
        <v>0.34</v>
      </c>
      <c r="E11" s="85">
        <v>0.46</v>
      </c>
      <c r="F11" s="85">
        <v>0.2</v>
      </c>
      <c r="G11" s="85">
        <v>0.14</v>
      </c>
      <c r="H11" s="85">
        <f>H10+(H10*$A$5)</f>
        <v>0.07105</v>
      </c>
      <c r="I11" s="86">
        <f t="shared" si="2"/>
        <v>1.045678375</v>
      </c>
      <c r="J11" s="104">
        <f t="shared" si="3"/>
        <v>0.047625666891056864</v>
      </c>
    </row>
    <row r="12" spans="1:10" ht="12.75">
      <c r="A12" s="84">
        <f t="shared" si="0"/>
        <v>2008</v>
      </c>
      <c r="B12" s="85">
        <f t="shared" si="1"/>
        <v>2.853479300625</v>
      </c>
      <c r="C12" s="85">
        <f>IF($A$5&gt;0.03,1.5,IF($A$5&gt;0.015,0.75,0.4))</f>
        <v>0.4</v>
      </c>
      <c r="D12" s="85">
        <f>IF($A$5&gt;0.03,1.1,IF($A$5&gt;0.015,0.7,0.45))</f>
        <v>0.45</v>
      </c>
      <c r="E12" s="85">
        <v>0.5</v>
      </c>
      <c r="F12" s="85">
        <v>0.22</v>
      </c>
      <c r="G12" s="85">
        <v>0.15</v>
      </c>
      <c r="H12" s="85">
        <f aca="true" t="shared" si="4" ref="H12:H24">H11+(H11*$A$5)</f>
        <v>0.07211575</v>
      </c>
      <c r="I12" s="86">
        <f t="shared" si="2"/>
        <v>1.061363550625</v>
      </c>
      <c r="J12" s="104">
        <f t="shared" si="3"/>
        <v>0.09465923952471658</v>
      </c>
    </row>
    <row r="13" spans="1:10" ht="12.75">
      <c r="A13" s="84">
        <f t="shared" si="0"/>
        <v>2009</v>
      </c>
      <c r="B13" s="85">
        <f t="shared" si="1"/>
        <v>3.052481490134375</v>
      </c>
      <c r="C13" s="85">
        <f>IF($A$5&gt;0.03,1.5,IF($A$5&gt;0.015,0.8,0.45))</f>
        <v>0.45</v>
      </c>
      <c r="D13" s="85">
        <f>IF($A$5&gt;0.03,1.123,IF($A$5&gt;0.015,0.8,0.5))</f>
        <v>0.5</v>
      </c>
      <c r="E13" s="85">
        <v>0.55</v>
      </c>
      <c r="F13" s="85">
        <v>0.242</v>
      </c>
      <c r="G13" s="85">
        <v>0.16</v>
      </c>
      <c r="H13" s="85">
        <f t="shared" si="4"/>
        <v>0.07319748625000001</v>
      </c>
      <c r="I13" s="86">
        <f t="shared" si="2"/>
        <v>1.0772840038843752</v>
      </c>
      <c r="J13" s="104">
        <f t="shared" si="3"/>
        <v>0.06974019032336676</v>
      </c>
    </row>
    <row r="14" spans="1:10" ht="12.75">
      <c r="A14" s="84">
        <f t="shared" si="0"/>
        <v>2010</v>
      </c>
      <c r="B14" s="85">
        <f t="shared" si="1"/>
        <v>3.1863887124863908</v>
      </c>
      <c r="C14" s="85">
        <f>IF($A$5&gt;0.03,1.5,IF($A$5&gt;0.015,1,0.5))</f>
        <v>0.5</v>
      </c>
      <c r="D14" s="85">
        <f>IF($A$5&gt;0.03,1.13,IF($A$5&gt;0.015,0.85,0.55))</f>
        <v>0.55</v>
      </c>
      <c r="E14" s="85">
        <f>E13+(E13*$A$5)</f>
        <v>0.55825</v>
      </c>
      <c r="F14" s="85">
        <v>0.248</v>
      </c>
      <c r="G14" s="85">
        <f>G13+(G13*$A$5)</f>
        <v>0.16240000000000002</v>
      </c>
      <c r="H14" s="85">
        <f t="shared" si="4"/>
        <v>0.07429544854375002</v>
      </c>
      <c r="I14" s="86">
        <f t="shared" si="2"/>
        <v>1.0934432639426408</v>
      </c>
      <c r="J14" s="104">
        <f t="shared" si="3"/>
        <v>0.043868315920933196</v>
      </c>
    </row>
    <row r="15" spans="1:10" ht="12.75">
      <c r="A15" s="84">
        <f t="shared" si="0"/>
        <v>2011</v>
      </c>
      <c r="B15" s="85">
        <f t="shared" si="1"/>
        <v>3.266714543173687</v>
      </c>
      <c r="C15" s="85">
        <f>IF($A$5&gt;0.03,1.5,IF($A$5&gt;0.015,1,0.55))</f>
        <v>0.55</v>
      </c>
      <c r="D15" s="85">
        <f aca="true" t="shared" si="5" ref="D15:D22">IF($A$5&gt;0.03,1.13,IF($A$5&gt;0.015,0.85,0.55))</f>
        <v>0.55</v>
      </c>
      <c r="E15" s="85">
        <f aca="true" t="shared" si="6" ref="E15:E24">E14+(E14*$A$5)</f>
        <v>0.56662375</v>
      </c>
      <c r="F15" s="85">
        <v>0.25</v>
      </c>
      <c r="G15" s="85">
        <f aca="true" t="shared" si="7" ref="G15:G24">G14+(G14*$A$5)</f>
        <v>0.164836</v>
      </c>
      <c r="H15" s="85">
        <f t="shared" si="4"/>
        <v>0.07540988027190627</v>
      </c>
      <c r="I15" s="86">
        <f t="shared" si="2"/>
        <v>1.1098449129017804</v>
      </c>
      <c r="J15" s="104">
        <f t="shared" si="3"/>
        <v>0.02520904947112259</v>
      </c>
    </row>
    <row r="16" spans="1:10" ht="12.75">
      <c r="A16" s="84">
        <f t="shared" si="0"/>
        <v>2012</v>
      </c>
      <c r="B16" s="85">
        <f t="shared" si="1"/>
        <v>3.3454652613212916</v>
      </c>
      <c r="C16" s="85">
        <f>IF($A$5&gt;0.03,1.5,IF($A$5&gt;0.015,1,0.6))</f>
        <v>0.6</v>
      </c>
      <c r="D16" s="85">
        <f t="shared" si="5"/>
        <v>0.55</v>
      </c>
      <c r="E16" s="85">
        <f t="shared" si="6"/>
        <v>0.57512310625</v>
      </c>
      <c r="F16" s="85">
        <v>0.25</v>
      </c>
      <c r="G16" s="85">
        <f t="shared" si="7"/>
        <v>0.16730854</v>
      </c>
      <c r="H16" s="85">
        <f t="shared" si="4"/>
        <v>0.07654102847598487</v>
      </c>
      <c r="I16" s="86">
        <f t="shared" si="2"/>
        <v>1.126492586595307</v>
      </c>
      <c r="J16" s="104">
        <f t="shared" si="3"/>
        <v>0.0241070093841431</v>
      </c>
    </row>
    <row r="17" spans="1:10" ht="12.75">
      <c r="A17" s="84">
        <f t="shared" si="0"/>
        <v>2013</v>
      </c>
      <c r="B17" s="85">
        <f t="shared" si="1"/>
        <v>3.424647240241111</v>
      </c>
      <c r="C17" s="85">
        <f>IF($A$5&gt;0.03,1.5,IF($A$5&gt;0.015,1,0.65))</f>
        <v>0.65</v>
      </c>
      <c r="D17" s="85">
        <f t="shared" si="5"/>
        <v>0.55</v>
      </c>
      <c r="E17" s="85">
        <f t="shared" si="6"/>
        <v>0.58374995284375</v>
      </c>
      <c r="F17" s="85">
        <v>0.25</v>
      </c>
      <c r="G17" s="85">
        <f t="shared" si="7"/>
        <v>0.1698181681</v>
      </c>
      <c r="H17" s="85">
        <f t="shared" si="4"/>
        <v>0.07768914390312465</v>
      </c>
      <c r="I17" s="86">
        <f t="shared" si="2"/>
        <v>1.1433899753942367</v>
      </c>
      <c r="J17" s="104">
        <f t="shared" si="3"/>
        <v>0.02366845049484873</v>
      </c>
    </row>
    <row r="18" spans="1:10" ht="12.75">
      <c r="A18" s="84">
        <f t="shared" si="0"/>
        <v>2014</v>
      </c>
      <c r="B18" s="85">
        <f t="shared" si="1"/>
        <v>3.5042669488447284</v>
      </c>
      <c r="C18" s="85">
        <f>IF($A$5&gt;0.03,1.5,IF($A$5&gt;0.015,1,0.7))</f>
        <v>0.7</v>
      </c>
      <c r="D18" s="85">
        <f t="shared" si="5"/>
        <v>0.55</v>
      </c>
      <c r="E18" s="85">
        <f t="shared" si="6"/>
        <v>0.5925062021364063</v>
      </c>
      <c r="F18" s="85">
        <v>0.25</v>
      </c>
      <c r="G18" s="85">
        <f t="shared" si="7"/>
        <v>0.1723654406215</v>
      </c>
      <c r="H18" s="85">
        <f t="shared" si="4"/>
        <v>0.07885448106167152</v>
      </c>
      <c r="I18" s="86">
        <f t="shared" si="2"/>
        <v>1.1605408250251503</v>
      </c>
      <c r="J18" s="104">
        <f t="shared" si="3"/>
        <v>0.02324902479532814</v>
      </c>
    </row>
    <row r="19" spans="1:10" ht="12.75">
      <c r="A19" s="84">
        <f t="shared" si="0"/>
        <v>2015</v>
      </c>
      <c r="B19" s="85">
        <f t="shared" si="1"/>
        <v>3.5843309530773992</v>
      </c>
      <c r="C19" s="85">
        <f aca="true" t="shared" si="8" ref="C19:C24">IF($A$5&gt;0.03,1.5,IF($A$5&gt;0.015,1,0.75))</f>
        <v>0.75</v>
      </c>
      <c r="D19" s="85">
        <f t="shared" si="5"/>
        <v>0.55</v>
      </c>
      <c r="E19" s="85">
        <f t="shared" si="6"/>
        <v>0.6013937951684524</v>
      </c>
      <c r="F19" s="85">
        <v>0.25</v>
      </c>
      <c r="G19" s="85">
        <f t="shared" si="7"/>
        <v>0.1749509222308225</v>
      </c>
      <c r="H19" s="85">
        <f t="shared" si="4"/>
        <v>0.08003729827759659</v>
      </c>
      <c r="I19" s="86">
        <f t="shared" si="2"/>
        <v>1.1779489374005276</v>
      </c>
      <c r="J19" s="104">
        <f t="shared" si="3"/>
        <v>0.02284757565603441</v>
      </c>
    </row>
    <row r="20" spans="1:10" ht="12.75">
      <c r="A20" s="84">
        <f t="shared" si="0"/>
        <v>2016</v>
      </c>
      <c r="B20" s="85">
        <f t="shared" si="1"/>
        <v>3.61484591737356</v>
      </c>
      <c r="C20" s="85">
        <f t="shared" si="8"/>
        <v>0.75</v>
      </c>
      <c r="D20" s="85">
        <f t="shared" si="5"/>
        <v>0.55</v>
      </c>
      <c r="E20" s="85">
        <f t="shared" si="6"/>
        <v>0.6104147020959791</v>
      </c>
      <c r="F20" s="85">
        <v>0.25</v>
      </c>
      <c r="G20" s="85">
        <f t="shared" si="7"/>
        <v>0.17757518606428485</v>
      </c>
      <c r="H20" s="85">
        <f t="shared" si="4"/>
        <v>0.08123785775176054</v>
      </c>
      <c r="I20" s="86">
        <f t="shared" si="2"/>
        <v>1.1956181714615355</v>
      </c>
      <c r="J20" s="104">
        <f t="shared" si="3"/>
        <v>0.008513433802746818</v>
      </c>
    </row>
    <row r="21" spans="1:10" ht="12.75">
      <c r="A21" s="84">
        <f t="shared" si="0"/>
        <v>2017</v>
      </c>
      <c r="B21" s="85">
        <f t="shared" si="1"/>
        <v>3.6458186061341635</v>
      </c>
      <c r="C21" s="85">
        <f t="shared" si="8"/>
        <v>0.75</v>
      </c>
      <c r="D21" s="85">
        <f t="shared" si="5"/>
        <v>0.55</v>
      </c>
      <c r="E21" s="85">
        <f t="shared" si="6"/>
        <v>0.6195709226274189</v>
      </c>
      <c r="F21" s="85">
        <v>0.25</v>
      </c>
      <c r="G21" s="85">
        <f t="shared" si="7"/>
        <v>0.18023881385524912</v>
      </c>
      <c r="H21" s="85">
        <f t="shared" si="4"/>
        <v>0.08245642561803694</v>
      </c>
      <c r="I21" s="86">
        <f t="shared" si="2"/>
        <v>1.2135524440334584</v>
      </c>
      <c r="J21" s="104">
        <f t="shared" si="3"/>
        <v>0.008568190586421253</v>
      </c>
    </row>
    <row r="22" spans="1:10" ht="12.75">
      <c r="A22" s="84">
        <f t="shared" si="0"/>
        <v>2018</v>
      </c>
      <c r="B22" s="85">
        <f t="shared" si="1"/>
        <v>3.6772558852261765</v>
      </c>
      <c r="C22" s="85">
        <f t="shared" si="8"/>
        <v>0.75</v>
      </c>
      <c r="D22" s="85">
        <f t="shared" si="5"/>
        <v>0.55</v>
      </c>
      <c r="E22" s="85">
        <f t="shared" si="6"/>
        <v>0.6288644864668301</v>
      </c>
      <c r="F22" s="85">
        <v>0.25</v>
      </c>
      <c r="G22" s="85">
        <f t="shared" si="7"/>
        <v>0.18294239606307786</v>
      </c>
      <c r="H22" s="85">
        <f t="shared" si="4"/>
        <v>0.0836932720023075</v>
      </c>
      <c r="I22" s="86">
        <f t="shared" si="2"/>
        <v>1.2317557306939604</v>
      </c>
      <c r="J22" s="104">
        <f t="shared" si="3"/>
        <v>0.008622831382537556</v>
      </c>
    </row>
    <row r="23" spans="1:10" ht="12.75">
      <c r="A23" s="84">
        <f t="shared" si="0"/>
        <v>2019</v>
      </c>
      <c r="B23" s="85">
        <f t="shared" si="1"/>
        <v>3.7091647235045686</v>
      </c>
      <c r="C23" s="85">
        <f t="shared" si="8"/>
        <v>0.75</v>
      </c>
      <c r="D23" s="85">
        <f>IF($A$5&gt;0.03,1.13,IF($A$5&gt;0.015,0.85,0.55))</f>
        <v>0.55</v>
      </c>
      <c r="E23" s="85">
        <f t="shared" si="6"/>
        <v>0.6382974537638326</v>
      </c>
      <c r="F23" s="85">
        <v>0.25</v>
      </c>
      <c r="G23" s="85">
        <f t="shared" si="7"/>
        <v>0.18568653200402402</v>
      </c>
      <c r="H23" s="85">
        <f t="shared" si="4"/>
        <v>0.08494867108234211</v>
      </c>
      <c r="I23" s="86">
        <f t="shared" si="2"/>
        <v>1.2502320666543698</v>
      </c>
      <c r="J23" s="104">
        <f t="shared" si="3"/>
        <v>0.008677350522869439</v>
      </c>
    </row>
    <row r="24" spans="1:10" ht="13.5" thickBot="1">
      <c r="A24" s="87">
        <f t="shared" si="0"/>
        <v>2020</v>
      </c>
      <c r="B24" s="88">
        <f t="shared" si="1"/>
        <v>3.741552194357137</v>
      </c>
      <c r="C24" s="88">
        <f t="shared" si="8"/>
        <v>0.75</v>
      </c>
      <c r="D24" s="88">
        <f>IF($A$5&gt;0.03,1.13,IF($A$5&gt;0.015,0.85,0.55))</f>
        <v>0.55</v>
      </c>
      <c r="E24" s="88">
        <f t="shared" si="6"/>
        <v>0.6478719155702901</v>
      </c>
      <c r="F24" s="88">
        <v>0.25</v>
      </c>
      <c r="G24" s="88">
        <f t="shared" si="7"/>
        <v>0.18847182998408438</v>
      </c>
      <c r="H24" s="88">
        <f t="shared" si="4"/>
        <v>0.08622290114857724</v>
      </c>
      <c r="I24" s="89">
        <f t="shared" si="2"/>
        <v>1.2689855476541854</v>
      </c>
      <c r="J24" s="104">
        <f t="shared" si="3"/>
        <v>0.008731742391307832</v>
      </c>
    </row>
    <row r="25" ht="12.75">
      <c r="A25" s="102"/>
    </row>
    <row r="26" ht="12.75">
      <c r="A26" s="102"/>
    </row>
    <row r="27" ht="12.75">
      <c r="A27" s="102"/>
    </row>
    <row r="28" ht="12.75">
      <c r="A28"/>
    </row>
    <row r="29" ht="18">
      <c r="A29" s="111" t="s">
        <v>137</v>
      </c>
    </row>
    <row r="31" spans="1:3" ht="12.75">
      <c r="A31" s="155" t="s">
        <v>36</v>
      </c>
      <c r="B31" s="156"/>
      <c r="C31" s="156" t="s">
        <v>39</v>
      </c>
    </row>
    <row r="32" ht="13.5" thickBot="1"/>
    <row r="33" spans="1:10" ht="38.25">
      <c r="A33" s="81" t="s">
        <v>5</v>
      </c>
      <c r="B33" s="82" t="s">
        <v>28</v>
      </c>
      <c r="C33" s="82" t="s">
        <v>7</v>
      </c>
      <c r="D33" s="82" t="s">
        <v>0</v>
      </c>
      <c r="E33" s="82" t="s">
        <v>1</v>
      </c>
      <c r="F33" s="82" t="s">
        <v>2</v>
      </c>
      <c r="G33" s="82" t="s">
        <v>3</v>
      </c>
      <c r="H33" s="82" t="s">
        <v>4</v>
      </c>
      <c r="I33" s="83" t="s">
        <v>6</v>
      </c>
      <c r="J33" s="91" t="s">
        <v>90</v>
      </c>
    </row>
    <row r="34" spans="1:9" ht="12.75">
      <c r="A34" s="84">
        <v>2004</v>
      </c>
      <c r="B34" s="85">
        <f>SUM(C34:I34)</f>
        <v>2.029</v>
      </c>
      <c r="C34" s="85">
        <v>0.21</v>
      </c>
      <c r="D34" s="85">
        <v>0.248</v>
      </c>
      <c r="E34" s="85">
        <v>0.356</v>
      </c>
      <c r="F34" s="85">
        <v>0.115</v>
      </c>
      <c r="G34" s="85">
        <v>0.1</v>
      </c>
      <c r="H34" s="85">
        <v>0</v>
      </c>
      <c r="I34" s="86">
        <v>1</v>
      </c>
    </row>
    <row r="35" spans="1:10" ht="12.75">
      <c r="A35" s="84">
        <f aca="true" t="shared" si="9" ref="A35:A50">A34+1</f>
        <v>2005</v>
      </c>
      <c r="B35" s="85">
        <f aca="true" t="shared" si="10" ref="B35:B50">SUM(C35:I35)</f>
        <v>2.6100000000000003</v>
      </c>
      <c r="C35" s="85">
        <v>0.25</v>
      </c>
      <c r="D35" s="85">
        <v>0.58</v>
      </c>
      <c r="E35" s="85">
        <v>0.39</v>
      </c>
      <c r="F35" s="85">
        <v>0.18</v>
      </c>
      <c r="G35" s="85">
        <v>0.11</v>
      </c>
      <c r="H35" s="85">
        <v>0.05</v>
      </c>
      <c r="I35" s="86">
        <f>I34*1.05</f>
        <v>1.05</v>
      </c>
      <c r="J35" s="104">
        <f>(B35-B34)/B34</f>
        <v>0.28634795465746693</v>
      </c>
    </row>
    <row r="36" spans="1:10" ht="12.75">
      <c r="A36" s="84">
        <f t="shared" si="9"/>
        <v>2006</v>
      </c>
      <c r="B36" s="85">
        <f t="shared" si="10"/>
        <v>3.1525</v>
      </c>
      <c r="C36" s="85">
        <v>0.3</v>
      </c>
      <c r="D36" s="85">
        <v>0.942</v>
      </c>
      <c r="E36" s="85">
        <v>0.42</v>
      </c>
      <c r="F36" s="85">
        <v>0.198</v>
      </c>
      <c r="G36" s="85">
        <v>0.12</v>
      </c>
      <c r="H36" s="85">
        <v>0.07</v>
      </c>
      <c r="I36" s="86">
        <f aca="true" t="shared" si="11" ref="I36:I50">I35*1.05</f>
        <v>1.1025</v>
      </c>
      <c r="J36" s="104">
        <f aca="true" t="shared" si="12" ref="J36:J50">(B36-B35)/B35</f>
        <v>0.207854406130268</v>
      </c>
    </row>
    <row r="37" spans="1:10" ht="12.75">
      <c r="A37" s="84">
        <f t="shared" si="9"/>
        <v>2007</v>
      </c>
      <c r="B37" s="85">
        <f t="shared" si="10"/>
        <v>4.573125</v>
      </c>
      <c r="C37" s="85">
        <v>1.5</v>
      </c>
      <c r="D37" s="85">
        <v>1.042</v>
      </c>
      <c r="E37" s="85">
        <v>0.46</v>
      </c>
      <c r="F37" s="85">
        <v>0.2</v>
      </c>
      <c r="G37" s="85">
        <v>0.14</v>
      </c>
      <c r="H37" s="85">
        <f>H36*1.05</f>
        <v>0.07350000000000001</v>
      </c>
      <c r="I37" s="86">
        <f t="shared" si="11"/>
        <v>1.1576250000000001</v>
      </c>
      <c r="J37" s="104">
        <f t="shared" si="12"/>
        <v>0.4506344171292626</v>
      </c>
    </row>
    <row r="38" spans="1:10" ht="12.75">
      <c r="A38" s="84">
        <f t="shared" si="9"/>
        <v>2008</v>
      </c>
      <c r="B38" s="85">
        <f t="shared" si="10"/>
        <v>4.76268125</v>
      </c>
      <c r="C38" s="85">
        <v>1.5</v>
      </c>
      <c r="D38" s="85">
        <v>1.1</v>
      </c>
      <c r="E38" s="85">
        <v>0.5</v>
      </c>
      <c r="F38" s="85">
        <v>0.22</v>
      </c>
      <c r="G38" s="85">
        <v>0.15</v>
      </c>
      <c r="H38" s="85">
        <f>H37*1.05</f>
        <v>0.07717500000000001</v>
      </c>
      <c r="I38" s="86">
        <f t="shared" si="11"/>
        <v>1.2155062500000002</v>
      </c>
      <c r="J38" s="104">
        <f t="shared" si="12"/>
        <v>0.04145004783381164</v>
      </c>
    </row>
    <row r="39" spans="1:10" ht="12.75">
      <c r="A39" s="84">
        <f t="shared" si="9"/>
        <v>2009</v>
      </c>
      <c r="B39" s="85">
        <f t="shared" si="10"/>
        <v>4.9323153125</v>
      </c>
      <c r="C39" s="85">
        <v>1.5</v>
      </c>
      <c r="D39" s="85">
        <v>1.123</v>
      </c>
      <c r="E39" s="85">
        <v>0.55</v>
      </c>
      <c r="F39" s="85">
        <v>0.242</v>
      </c>
      <c r="G39" s="85">
        <v>0.16</v>
      </c>
      <c r="H39" s="85">
        <f>H38*1.05</f>
        <v>0.08103375000000002</v>
      </c>
      <c r="I39" s="86">
        <f t="shared" si="11"/>
        <v>1.2762815625000004</v>
      </c>
      <c r="J39" s="104">
        <f t="shared" si="12"/>
        <v>0.03561734527163667</v>
      </c>
    </row>
    <row r="40" spans="1:10" ht="12.75">
      <c r="A40" s="84">
        <f t="shared" si="9"/>
        <v>2010</v>
      </c>
      <c r="B40" s="85">
        <f t="shared" si="10"/>
        <v>5.048681078125</v>
      </c>
      <c r="C40" s="85">
        <v>1.5</v>
      </c>
      <c r="D40" s="85">
        <v>1.13</v>
      </c>
      <c r="E40" s="85">
        <f>E39*1.05</f>
        <v>0.5775000000000001</v>
      </c>
      <c r="F40" s="85">
        <v>0.248</v>
      </c>
      <c r="G40" s="85">
        <f>G39*1.05</f>
        <v>0.168</v>
      </c>
      <c r="H40" s="85">
        <f>H39*1.05</f>
        <v>0.08508543750000001</v>
      </c>
      <c r="I40" s="86">
        <f t="shared" si="11"/>
        <v>1.3400956406250004</v>
      </c>
      <c r="J40" s="104">
        <f t="shared" si="12"/>
        <v>0.02359252364302285</v>
      </c>
    </row>
    <row r="41" spans="1:10" ht="12.75">
      <c r="A41" s="84">
        <f t="shared" si="9"/>
        <v>2011</v>
      </c>
      <c r="B41" s="85">
        <f t="shared" si="10"/>
        <v>5.1592151320312505</v>
      </c>
      <c r="C41" s="85">
        <v>1.5</v>
      </c>
      <c r="D41" s="85">
        <v>1.13</v>
      </c>
      <c r="E41" s="85">
        <f aca="true" t="shared" si="13" ref="E41:E49">E40*1.05</f>
        <v>0.6063750000000001</v>
      </c>
      <c r="F41" s="85">
        <v>0.25</v>
      </c>
      <c r="G41" s="85">
        <f aca="true" t="shared" si="14" ref="G41:G50">G40*1.05</f>
        <v>0.17640000000000003</v>
      </c>
      <c r="H41" s="85">
        <f aca="true" t="shared" si="15" ref="H41:H50">H40*1.05</f>
        <v>0.08933970937500002</v>
      </c>
      <c r="I41" s="86">
        <f t="shared" si="11"/>
        <v>1.4071004226562505</v>
      </c>
      <c r="J41" s="104">
        <f t="shared" si="12"/>
        <v>0.021893649489006954</v>
      </c>
    </row>
    <row r="42" spans="1:10" ht="12.75">
      <c r="A42" s="84">
        <f t="shared" si="9"/>
        <v>2012</v>
      </c>
      <c r="B42" s="85">
        <f t="shared" si="10"/>
        <v>5.273175888632813</v>
      </c>
      <c r="C42" s="85">
        <v>1.5</v>
      </c>
      <c r="D42" s="85">
        <v>1.13</v>
      </c>
      <c r="E42" s="85">
        <f t="shared" si="13"/>
        <v>0.6366937500000002</v>
      </c>
      <c r="F42" s="85">
        <v>0.25</v>
      </c>
      <c r="G42" s="85">
        <f t="shared" si="14"/>
        <v>0.18522000000000005</v>
      </c>
      <c r="H42" s="85">
        <f t="shared" si="15"/>
        <v>0.09380669484375002</v>
      </c>
      <c r="I42" s="86">
        <f t="shared" si="11"/>
        <v>1.477455443789063</v>
      </c>
      <c r="J42" s="104">
        <f t="shared" si="12"/>
        <v>0.022088777785991356</v>
      </c>
    </row>
    <row r="43" spans="1:10" ht="12.75">
      <c r="A43" s="84">
        <f t="shared" si="9"/>
        <v>2013</v>
      </c>
      <c r="B43" s="85">
        <f t="shared" si="10"/>
        <v>5.392834683064454</v>
      </c>
      <c r="C43" s="85">
        <v>1.5</v>
      </c>
      <c r="D43" s="85">
        <v>1.13</v>
      </c>
      <c r="E43" s="85">
        <f t="shared" si="13"/>
        <v>0.6685284375000002</v>
      </c>
      <c r="F43" s="85">
        <v>0.25</v>
      </c>
      <c r="G43" s="85">
        <f t="shared" si="14"/>
        <v>0.19448100000000007</v>
      </c>
      <c r="H43" s="85">
        <f t="shared" si="15"/>
        <v>0.09849702958593753</v>
      </c>
      <c r="I43" s="86">
        <f t="shared" si="11"/>
        <v>1.5513282159785162</v>
      </c>
      <c r="J43" s="104">
        <f t="shared" si="12"/>
        <v>0.0226919786024177</v>
      </c>
    </row>
    <row r="44" spans="1:10" ht="12.75">
      <c r="A44" s="84">
        <f t="shared" si="9"/>
        <v>2014</v>
      </c>
      <c r="B44" s="85">
        <f t="shared" si="10"/>
        <v>5.518476417217677</v>
      </c>
      <c r="C44" s="85">
        <v>1.5</v>
      </c>
      <c r="D44" s="85">
        <v>1.13</v>
      </c>
      <c r="E44" s="85">
        <f t="shared" si="13"/>
        <v>0.7019548593750002</v>
      </c>
      <c r="F44" s="85">
        <v>0.25</v>
      </c>
      <c r="G44" s="85">
        <f t="shared" si="14"/>
        <v>0.20420505000000008</v>
      </c>
      <c r="H44" s="85">
        <f t="shared" si="15"/>
        <v>0.10342188106523442</v>
      </c>
      <c r="I44" s="86">
        <f t="shared" si="11"/>
        <v>1.628894626777442</v>
      </c>
      <c r="J44" s="104">
        <f t="shared" si="12"/>
        <v>0.023297902038010944</v>
      </c>
    </row>
    <row r="45" spans="1:10" ht="12.75">
      <c r="A45" s="84">
        <f t="shared" si="9"/>
        <v>2015</v>
      </c>
      <c r="B45" s="85">
        <f t="shared" si="10"/>
        <v>5.650400238078561</v>
      </c>
      <c r="C45" s="85">
        <v>1.5</v>
      </c>
      <c r="D45" s="85">
        <v>1.13</v>
      </c>
      <c r="E45" s="85">
        <f t="shared" si="13"/>
        <v>0.7370526023437503</v>
      </c>
      <c r="F45" s="85">
        <v>0.25</v>
      </c>
      <c r="G45" s="85">
        <f t="shared" si="14"/>
        <v>0.2144153025000001</v>
      </c>
      <c r="H45" s="85">
        <f t="shared" si="15"/>
        <v>0.10859297511849615</v>
      </c>
      <c r="I45" s="86">
        <f t="shared" si="11"/>
        <v>1.7103393581163142</v>
      </c>
      <c r="J45" s="104">
        <f t="shared" si="12"/>
        <v>0.023905841193645527</v>
      </c>
    </row>
    <row r="46" spans="1:10" ht="12.75">
      <c r="A46" s="84">
        <f t="shared" si="9"/>
        <v>2016</v>
      </c>
      <c r="B46" s="85">
        <f t="shared" si="10"/>
        <v>5.788920249982489</v>
      </c>
      <c r="C46" s="85">
        <v>1.5</v>
      </c>
      <c r="D46" s="85">
        <v>1.13</v>
      </c>
      <c r="E46" s="85">
        <f t="shared" si="13"/>
        <v>0.7739052324609378</v>
      </c>
      <c r="F46" s="85">
        <v>0.25</v>
      </c>
      <c r="G46" s="85">
        <f t="shared" si="14"/>
        <v>0.2251360676250001</v>
      </c>
      <c r="H46" s="85">
        <f t="shared" si="15"/>
        <v>0.11402262387442097</v>
      </c>
      <c r="I46" s="86">
        <f t="shared" si="11"/>
        <v>1.79585632602213</v>
      </c>
      <c r="J46" s="104">
        <f t="shared" si="12"/>
        <v>0.02451507965231017</v>
      </c>
    </row>
    <row r="47" spans="1:10" ht="12.75">
      <c r="A47" s="84">
        <f t="shared" si="9"/>
        <v>2017</v>
      </c>
      <c r="B47" s="85">
        <f t="shared" si="10"/>
        <v>5.934366262481613</v>
      </c>
      <c r="C47" s="85">
        <v>1.5</v>
      </c>
      <c r="D47" s="85">
        <v>1.13</v>
      </c>
      <c r="E47" s="85">
        <f t="shared" si="13"/>
        <v>0.8126004940839847</v>
      </c>
      <c r="F47" s="85">
        <v>0.25</v>
      </c>
      <c r="G47" s="85">
        <f t="shared" si="14"/>
        <v>0.23639287100625012</v>
      </c>
      <c r="H47" s="85">
        <f t="shared" si="15"/>
        <v>0.11972375506814202</v>
      </c>
      <c r="I47" s="86">
        <f t="shared" si="11"/>
        <v>1.8856491423232367</v>
      </c>
      <c r="J47" s="104">
        <f t="shared" si="12"/>
        <v>0.02512489483674682</v>
      </c>
    </row>
    <row r="48" spans="1:10" ht="12.75">
      <c r="A48" s="84">
        <f t="shared" si="9"/>
        <v>2018</v>
      </c>
      <c r="B48" s="85">
        <f t="shared" si="10"/>
        <v>6.087084575605694</v>
      </c>
      <c r="C48" s="85">
        <v>1.5</v>
      </c>
      <c r="D48" s="85">
        <v>1.13</v>
      </c>
      <c r="E48" s="85">
        <f t="shared" si="13"/>
        <v>0.853230518788184</v>
      </c>
      <c r="F48" s="85">
        <v>0.25</v>
      </c>
      <c r="G48" s="85">
        <f t="shared" si="14"/>
        <v>0.24821251455656262</v>
      </c>
      <c r="H48" s="85">
        <f t="shared" si="15"/>
        <v>0.12570994282154913</v>
      </c>
      <c r="I48" s="86">
        <f t="shared" si="11"/>
        <v>1.9799315994393987</v>
      </c>
      <c r="J48" s="104">
        <f t="shared" si="12"/>
        <v>0.025734561429010507</v>
      </c>
    </row>
    <row r="49" spans="1:10" ht="12.75">
      <c r="A49" s="84">
        <f t="shared" si="9"/>
        <v>2019</v>
      </c>
      <c r="B49" s="85">
        <f t="shared" si="10"/>
        <v>6.247438804385979</v>
      </c>
      <c r="C49" s="85">
        <v>1.5</v>
      </c>
      <c r="D49" s="85">
        <v>1.13</v>
      </c>
      <c r="E49" s="85">
        <f t="shared" si="13"/>
        <v>0.8958920447275932</v>
      </c>
      <c r="F49" s="85">
        <v>0.25</v>
      </c>
      <c r="G49" s="85">
        <f t="shared" si="14"/>
        <v>0.26062314028439076</v>
      </c>
      <c r="H49" s="85">
        <f t="shared" si="15"/>
        <v>0.13199543996262658</v>
      </c>
      <c r="I49" s="86">
        <f t="shared" si="11"/>
        <v>2.0789281794113688</v>
      </c>
      <c r="J49" s="104">
        <f t="shared" si="12"/>
        <v>0.02634335481765986</v>
      </c>
    </row>
    <row r="50" spans="1:10" ht="13.5" thickBot="1">
      <c r="A50" s="87">
        <f t="shared" si="9"/>
        <v>2020</v>
      </c>
      <c r="B50" s="88">
        <f t="shared" si="10"/>
        <v>6.415810744605279</v>
      </c>
      <c r="C50" s="88">
        <v>1.5</v>
      </c>
      <c r="D50" s="88">
        <v>1.13</v>
      </c>
      <c r="E50" s="88">
        <f>E49*1.05</f>
        <v>0.9406866469639729</v>
      </c>
      <c r="F50" s="88">
        <v>0.25</v>
      </c>
      <c r="G50" s="88">
        <f t="shared" si="14"/>
        <v>0.2736542972986103</v>
      </c>
      <c r="H50" s="88">
        <f t="shared" si="15"/>
        <v>0.1385952119607579</v>
      </c>
      <c r="I50" s="89">
        <f t="shared" si="11"/>
        <v>2.1828745883819374</v>
      </c>
      <c r="J50" s="104">
        <f t="shared" si="12"/>
        <v>0.02695055453782047</v>
      </c>
    </row>
    <row r="51" spans="2:8" ht="12.75">
      <c r="B51" s="90"/>
      <c r="C51" s="90"/>
      <c r="D51" s="90"/>
      <c r="E51" s="90"/>
      <c r="F51" s="90"/>
      <c r="G51" s="90"/>
      <c r="H51" s="90"/>
    </row>
    <row r="52" spans="2:8" ht="12.75">
      <c r="B52" s="90"/>
      <c r="C52" s="90"/>
      <c r="D52" s="90"/>
      <c r="E52" s="90"/>
      <c r="F52" s="90"/>
      <c r="G52" s="90"/>
      <c r="H52" s="90"/>
    </row>
    <row r="53" spans="2:8" ht="12.75">
      <c r="B53" s="90"/>
      <c r="C53" s="90"/>
      <c r="D53" s="90"/>
      <c r="E53" s="90"/>
      <c r="F53" s="90"/>
      <c r="G53" s="90"/>
      <c r="H53" s="90"/>
    </row>
    <row r="54" spans="2:8" ht="12.75">
      <c r="B54" s="90"/>
      <c r="C54" s="90"/>
      <c r="D54" s="90"/>
      <c r="E54" s="90"/>
      <c r="F54" s="90"/>
      <c r="G54" s="90"/>
      <c r="H54" s="90"/>
    </row>
    <row r="55" spans="2:8" ht="12.75">
      <c r="B55" s="90"/>
      <c r="C55" s="90"/>
      <c r="D55" s="90"/>
      <c r="E55" s="90"/>
      <c r="F55" s="90"/>
      <c r="G55" s="90"/>
      <c r="H55" s="90"/>
    </row>
    <row r="56" spans="1:8" s="156" customFormat="1" ht="12.75">
      <c r="A56" s="155" t="s">
        <v>37</v>
      </c>
      <c r="B56" s="157"/>
      <c r="C56" s="157" t="s">
        <v>40</v>
      </c>
      <c r="D56" s="157"/>
      <c r="E56" s="157"/>
      <c r="F56" s="157"/>
      <c r="G56" s="157"/>
      <c r="H56" s="157"/>
    </row>
    <row r="57" spans="2:8" ht="12.75">
      <c r="B57" s="90"/>
      <c r="C57" s="90"/>
      <c r="D57" s="90"/>
      <c r="E57" s="90"/>
      <c r="F57" s="90"/>
      <c r="G57" s="90"/>
      <c r="H57" s="90"/>
    </row>
    <row r="58" spans="2:8" ht="13.5" thickBot="1">
      <c r="B58" s="90"/>
      <c r="C58" s="90"/>
      <c r="D58" s="90"/>
      <c r="E58" s="90"/>
      <c r="F58" s="90"/>
      <c r="G58" s="90"/>
      <c r="H58" s="90"/>
    </row>
    <row r="59" spans="1:10" ht="38.25">
      <c r="A59" s="81" t="s">
        <v>5</v>
      </c>
      <c r="B59" s="82" t="s">
        <v>29</v>
      </c>
      <c r="C59" s="82" t="str">
        <f aca="true" t="shared" si="16" ref="C59:I59">C33</f>
        <v>Chemical Plant</v>
      </c>
      <c r="D59" s="82" t="str">
        <f t="shared" si="16"/>
        <v>Power</v>
      </c>
      <c r="E59" s="82" t="str">
        <f t="shared" si="16"/>
        <v>Tbilgazi</v>
      </c>
      <c r="F59" s="82" t="str">
        <f t="shared" si="16"/>
        <v>Saktsementi</v>
      </c>
      <c r="G59" s="82" t="str">
        <f t="shared" si="16"/>
        <v>Itera</v>
      </c>
      <c r="H59" s="82" t="str">
        <f t="shared" si="16"/>
        <v>West Georgia</v>
      </c>
      <c r="I59" s="83" t="str">
        <f t="shared" si="16"/>
        <v>Transit Armenia</v>
      </c>
      <c r="J59" s="91" t="s">
        <v>90</v>
      </c>
    </row>
    <row r="60" spans="1:9" ht="12.75">
      <c r="A60" s="84">
        <v>2004</v>
      </c>
      <c r="B60" s="85">
        <f aca="true" t="shared" si="17" ref="B60:B76">SUM(C60:I60)</f>
        <v>2.029</v>
      </c>
      <c r="C60" s="85">
        <v>0.21</v>
      </c>
      <c r="D60" s="85">
        <v>0.248</v>
      </c>
      <c r="E60" s="85">
        <v>0.356</v>
      </c>
      <c r="F60" s="85">
        <v>0.115</v>
      </c>
      <c r="G60" s="85">
        <v>0.1</v>
      </c>
      <c r="H60" s="85">
        <v>0</v>
      </c>
      <c r="I60" s="86">
        <v>1</v>
      </c>
    </row>
    <row r="61" spans="1:10" ht="12.75">
      <c r="A61" s="84">
        <f aca="true" t="shared" si="18" ref="A61:A76">A60+1</f>
        <v>2005</v>
      </c>
      <c r="B61" s="85">
        <f t="shared" si="17"/>
        <v>2.41</v>
      </c>
      <c r="C61" s="85">
        <v>0.25</v>
      </c>
      <c r="D61" s="85">
        <v>0.4</v>
      </c>
      <c r="E61" s="85">
        <v>0.39</v>
      </c>
      <c r="F61" s="85">
        <v>0.18</v>
      </c>
      <c r="G61" s="85">
        <v>0.11</v>
      </c>
      <c r="H61" s="85">
        <v>0.05</v>
      </c>
      <c r="I61" s="86">
        <f>I60*1.03</f>
        <v>1.03</v>
      </c>
      <c r="J61" s="104">
        <f>(B61-B60)/B60</f>
        <v>0.1877772301626418</v>
      </c>
    </row>
    <row r="62" spans="1:10" ht="12.75">
      <c r="A62" s="84">
        <f t="shared" si="18"/>
        <v>2006</v>
      </c>
      <c r="B62" s="85">
        <f t="shared" si="17"/>
        <v>2.6689</v>
      </c>
      <c r="C62" s="85">
        <v>0.3</v>
      </c>
      <c r="D62" s="85">
        <v>0.5</v>
      </c>
      <c r="E62" s="85">
        <v>0.42</v>
      </c>
      <c r="F62" s="85">
        <v>0.198</v>
      </c>
      <c r="G62" s="85">
        <v>0.12</v>
      </c>
      <c r="H62" s="85">
        <v>0.07</v>
      </c>
      <c r="I62" s="86">
        <f aca="true" t="shared" si="19" ref="I62:I76">I61*1.03</f>
        <v>1.0609</v>
      </c>
      <c r="J62" s="104">
        <f aca="true" t="shared" si="20" ref="J62:J76">(B62-B61)/B61</f>
        <v>0.10742738589211605</v>
      </c>
    </row>
    <row r="63" spans="1:10" ht="12.75">
      <c r="A63" s="84">
        <f t="shared" si="18"/>
        <v>2007</v>
      </c>
      <c r="B63" s="85">
        <f t="shared" si="17"/>
        <v>3.2648269999999995</v>
      </c>
      <c r="C63" s="85">
        <v>0.7</v>
      </c>
      <c r="D63" s="85">
        <v>0.6</v>
      </c>
      <c r="E63" s="85">
        <v>0.46</v>
      </c>
      <c r="F63" s="85">
        <v>0.2</v>
      </c>
      <c r="G63" s="85">
        <v>0.14</v>
      </c>
      <c r="H63" s="85">
        <f>H62*1.03</f>
        <v>0.07210000000000001</v>
      </c>
      <c r="I63" s="86">
        <f t="shared" si="19"/>
        <v>1.092727</v>
      </c>
      <c r="J63" s="104">
        <f t="shared" si="20"/>
        <v>0.2232856232904941</v>
      </c>
    </row>
    <row r="64" spans="1:10" ht="12.75">
      <c r="A64" s="84">
        <f t="shared" si="18"/>
        <v>2008</v>
      </c>
      <c r="B64" s="85">
        <f t="shared" si="17"/>
        <v>3.51977181</v>
      </c>
      <c r="C64" s="85">
        <v>0.75</v>
      </c>
      <c r="D64" s="85">
        <v>0.7</v>
      </c>
      <c r="E64" s="85">
        <v>0.5</v>
      </c>
      <c r="F64" s="85">
        <v>0.22</v>
      </c>
      <c r="G64" s="85">
        <v>0.15</v>
      </c>
      <c r="H64" s="85">
        <f aca="true" t="shared" si="21" ref="H64:H76">H63*1.03</f>
        <v>0.07426300000000001</v>
      </c>
      <c r="I64" s="86">
        <f t="shared" si="19"/>
        <v>1.1255088100000001</v>
      </c>
      <c r="J64" s="104">
        <f t="shared" si="20"/>
        <v>0.07808830605725832</v>
      </c>
    </row>
    <row r="65" spans="1:10" ht="12.75">
      <c r="A65" s="84">
        <f t="shared" si="18"/>
        <v>2009</v>
      </c>
      <c r="B65" s="85">
        <f t="shared" si="17"/>
        <v>3.787764964300001</v>
      </c>
      <c r="C65" s="85">
        <v>0.8</v>
      </c>
      <c r="D65" s="85">
        <v>0.8</v>
      </c>
      <c r="E65" s="85">
        <v>0.55</v>
      </c>
      <c r="F65" s="85">
        <v>0.242</v>
      </c>
      <c r="G65" s="85">
        <v>0.16</v>
      </c>
      <c r="H65" s="85">
        <f t="shared" si="21"/>
        <v>0.07649089</v>
      </c>
      <c r="I65" s="86">
        <f t="shared" si="19"/>
        <v>1.1592740743</v>
      </c>
      <c r="J65" s="104">
        <f t="shared" si="20"/>
        <v>0.07613935469867887</v>
      </c>
    </row>
    <row r="66" spans="1:10" ht="12.75">
      <c r="A66" s="84">
        <f t="shared" si="18"/>
        <v>2010</v>
      </c>
      <c r="B66" s="85">
        <f t="shared" si="17"/>
        <v>4.102137913229001</v>
      </c>
      <c r="C66" s="85">
        <v>1</v>
      </c>
      <c r="D66" s="85">
        <v>0.85</v>
      </c>
      <c r="E66" s="85">
        <f>E65*1.03</f>
        <v>0.5665000000000001</v>
      </c>
      <c r="F66" s="85">
        <v>0.248</v>
      </c>
      <c r="G66" s="85">
        <f>G65*1.03</f>
        <v>0.1648</v>
      </c>
      <c r="H66" s="85">
        <f t="shared" si="21"/>
        <v>0.0787856167</v>
      </c>
      <c r="I66" s="86">
        <f t="shared" si="19"/>
        <v>1.1940522965290001</v>
      </c>
      <c r="J66" s="104">
        <f t="shared" si="20"/>
        <v>0.08299695252793958</v>
      </c>
    </row>
    <row r="67" spans="1:10" ht="12.75">
      <c r="A67" s="84">
        <f t="shared" si="18"/>
        <v>2011</v>
      </c>
      <c r="B67" s="85">
        <f t="shared" si="17"/>
        <v>4.1642620506258705</v>
      </c>
      <c r="C67" s="85">
        <v>1</v>
      </c>
      <c r="D67" s="85">
        <v>0.85</v>
      </c>
      <c r="E67" s="85">
        <f aca="true" t="shared" si="22" ref="E67:E76">E66*1.03</f>
        <v>0.5834950000000001</v>
      </c>
      <c r="F67" s="85">
        <v>0.25</v>
      </c>
      <c r="G67" s="85">
        <f aca="true" t="shared" si="23" ref="G67:G76">G66*1.03</f>
        <v>0.169744</v>
      </c>
      <c r="H67" s="85">
        <f t="shared" si="21"/>
        <v>0.08114918520100001</v>
      </c>
      <c r="I67" s="86">
        <f t="shared" si="19"/>
        <v>1.2298738654248702</v>
      </c>
      <c r="J67" s="104">
        <f t="shared" si="20"/>
        <v>0.015144331738951378</v>
      </c>
    </row>
    <row r="68" spans="1:10" ht="12.75">
      <c r="A68" s="84">
        <f t="shared" si="18"/>
        <v>2012</v>
      </c>
      <c r="B68" s="85">
        <f t="shared" si="17"/>
        <v>4.226189912144646</v>
      </c>
      <c r="C68" s="85">
        <v>1</v>
      </c>
      <c r="D68" s="85">
        <v>0.85</v>
      </c>
      <c r="E68" s="85">
        <f t="shared" si="22"/>
        <v>0.6009998500000001</v>
      </c>
      <c r="F68" s="85">
        <v>0.25</v>
      </c>
      <c r="G68" s="85">
        <f t="shared" si="23"/>
        <v>0.17483632000000002</v>
      </c>
      <c r="H68" s="85">
        <f t="shared" si="21"/>
        <v>0.08358366075703001</v>
      </c>
      <c r="I68" s="86">
        <f t="shared" si="19"/>
        <v>1.2667700813876164</v>
      </c>
      <c r="J68" s="104">
        <f t="shared" si="20"/>
        <v>0.014871269090634626</v>
      </c>
    </row>
    <row r="69" spans="1:10" ht="12.75">
      <c r="A69" s="84">
        <f t="shared" si="18"/>
        <v>2013</v>
      </c>
      <c r="B69" s="85">
        <f t="shared" si="17"/>
        <v>4.2899756095089865</v>
      </c>
      <c r="C69" s="85">
        <v>1</v>
      </c>
      <c r="D69" s="85">
        <v>0.85</v>
      </c>
      <c r="E69" s="85">
        <f t="shared" si="22"/>
        <v>0.6190298455000002</v>
      </c>
      <c r="F69" s="85">
        <v>0.25</v>
      </c>
      <c r="G69" s="85">
        <f t="shared" si="23"/>
        <v>0.18008140960000002</v>
      </c>
      <c r="H69" s="85">
        <f t="shared" si="21"/>
        <v>0.08609117057974092</v>
      </c>
      <c r="I69" s="86">
        <f t="shared" si="19"/>
        <v>1.304773183829245</v>
      </c>
      <c r="J69" s="104">
        <f t="shared" si="20"/>
        <v>0.015092955756919985</v>
      </c>
    </row>
    <row r="70" spans="1:10" ht="12.75">
      <c r="A70" s="84">
        <f t="shared" si="18"/>
        <v>2014</v>
      </c>
      <c r="B70" s="85">
        <f t="shared" si="17"/>
        <v>4.3556748777942556</v>
      </c>
      <c r="C70" s="85">
        <v>1</v>
      </c>
      <c r="D70" s="85">
        <v>0.85</v>
      </c>
      <c r="E70" s="85">
        <f t="shared" si="22"/>
        <v>0.6376007408650002</v>
      </c>
      <c r="F70" s="85">
        <v>0.25</v>
      </c>
      <c r="G70" s="85">
        <f t="shared" si="23"/>
        <v>0.185483851888</v>
      </c>
      <c r="H70" s="85">
        <f t="shared" si="21"/>
        <v>0.08867390569713314</v>
      </c>
      <c r="I70" s="86">
        <f t="shared" si="19"/>
        <v>1.3439163793441222</v>
      </c>
      <c r="J70" s="104">
        <f t="shared" si="20"/>
        <v>0.015314601821894447</v>
      </c>
    </row>
    <row r="71" spans="1:10" ht="12.75">
      <c r="A71" s="84">
        <f t="shared" si="18"/>
        <v>2015</v>
      </c>
      <c r="B71" s="85">
        <f t="shared" si="17"/>
        <v>4.423345124128083</v>
      </c>
      <c r="C71" s="85">
        <v>1</v>
      </c>
      <c r="D71" s="85">
        <v>0.85</v>
      </c>
      <c r="E71" s="85">
        <f t="shared" si="22"/>
        <v>0.6567287630909502</v>
      </c>
      <c r="F71" s="85">
        <v>0.25</v>
      </c>
      <c r="G71" s="85">
        <f t="shared" si="23"/>
        <v>0.19104836744464002</v>
      </c>
      <c r="H71" s="85">
        <f t="shared" si="21"/>
        <v>0.09133412286804714</v>
      </c>
      <c r="I71" s="86">
        <f t="shared" si="19"/>
        <v>1.384233870724446</v>
      </c>
      <c r="J71" s="104">
        <f t="shared" si="20"/>
        <v>0.015536110529924669</v>
      </c>
    </row>
    <row r="72" spans="1:10" ht="12.75">
      <c r="A72" s="84">
        <f t="shared" si="18"/>
        <v>2016</v>
      </c>
      <c r="B72" s="85">
        <f t="shared" si="17"/>
        <v>4.4930454778519255</v>
      </c>
      <c r="C72" s="85">
        <v>1</v>
      </c>
      <c r="D72" s="85">
        <v>0.85</v>
      </c>
      <c r="E72" s="85">
        <f t="shared" si="22"/>
        <v>0.6764306259836788</v>
      </c>
      <c r="F72" s="85">
        <v>0.25</v>
      </c>
      <c r="G72" s="85">
        <f t="shared" si="23"/>
        <v>0.19677981846797923</v>
      </c>
      <c r="H72" s="85">
        <f t="shared" si="21"/>
        <v>0.09407414655408855</v>
      </c>
      <c r="I72" s="86">
        <f t="shared" si="19"/>
        <v>1.4257608868461793</v>
      </c>
      <c r="J72" s="104">
        <f t="shared" si="20"/>
        <v>0.015757385365127132</v>
      </c>
    </row>
    <row r="73" spans="1:10" ht="12.75">
      <c r="A73" s="84">
        <f t="shared" si="18"/>
        <v>2017</v>
      </c>
      <c r="B73" s="85">
        <f t="shared" si="17"/>
        <v>4.564836842187484</v>
      </c>
      <c r="C73" s="85">
        <v>1</v>
      </c>
      <c r="D73" s="85">
        <v>0.85</v>
      </c>
      <c r="E73" s="85">
        <f t="shared" si="22"/>
        <v>0.6967235447631891</v>
      </c>
      <c r="F73" s="85">
        <v>0.25</v>
      </c>
      <c r="G73" s="85">
        <f t="shared" si="23"/>
        <v>0.2026832130220186</v>
      </c>
      <c r="H73" s="85">
        <f t="shared" si="21"/>
        <v>0.09689637095071121</v>
      </c>
      <c r="I73" s="86">
        <f t="shared" si="19"/>
        <v>1.4685337134515648</v>
      </c>
      <c r="J73" s="104">
        <f t="shared" si="20"/>
        <v>0.01597833021932397</v>
      </c>
    </row>
    <row r="74" spans="1:10" ht="12.75">
      <c r="A74" s="84">
        <f t="shared" si="18"/>
        <v>2018</v>
      </c>
      <c r="B74" s="85">
        <f t="shared" si="17"/>
        <v>4.638781947453109</v>
      </c>
      <c r="C74" s="85">
        <v>1</v>
      </c>
      <c r="D74" s="85">
        <v>0.85</v>
      </c>
      <c r="E74" s="85">
        <f t="shared" si="22"/>
        <v>0.7176252511060848</v>
      </c>
      <c r="F74" s="85">
        <v>0.25</v>
      </c>
      <c r="G74" s="85">
        <f t="shared" si="23"/>
        <v>0.20876370941267916</v>
      </c>
      <c r="H74" s="85">
        <f t="shared" si="21"/>
        <v>0.09980326207923255</v>
      </c>
      <c r="I74" s="86">
        <f t="shared" si="19"/>
        <v>1.512589724855112</v>
      </c>
      <c r="J74" s="104">
        <f t="shared" si="20"/>
        <v>0.016198849558485006</v>
      </c>
    </row>
    <row r="75" spans="1:10" ht="12.75">
      <c r="A75" s="84">
        <f t="shared" si="18"/>
        <v>2019</v>
      </c>
      <c r="B75" s="85">
        <f t="shared" si="17"/>
        <v>4.714945405876702</v>
      </c>
      <c r="C75" s="85">
        <v>1</v>
      </c>
      <c r="D75" s="85">
        <v>0.85</v>
      </c>
      <c r="E75" s="85">
        <f t="shared" si="22"/>
        <v>0.7391540086392673</v>
      </c>
      <c r="F75" s="85">
        <v>0.25</v>
      </c>
      <c r="G75" s="85">
        <f t="shared" si="23"/>
        <v>0.21502662069505954</v>
      </c>
      <c r="H75" s="85">
        <f t="shared" si="21"/>
        <v>0.10279735994160953</v>
      </c>
      <c r="I75" s="86">
        <f t="shared" si="19"/>
        <v>1.5579674166007653</v>
      </c>
      <c r="J75" s="104">
        <f t="shared" si="20"/>
        <v>0.016418848587054308</v>
      </c>
    </row>
    <row r="76" spans="1:10" ht="13.5" thickBot="1">
      <c r="A76" s="87">
        <f t="shared" si="18"/>
        <v>2020</v>
      </c>
      <c r="B76" s="88">
        <f t="shared" si="17"/>
        <v>4.793393768053003</v>
      </c>
      <c r="C76" s="88">
        <v>1</v>
      </c>
      <c r="D76" s="88">
        <v>0.85</v>
      </c>
      <c r="E76" s="88">
        <f t="shared" si="22"/>
        <v>0.7613286288984453</v>
      </c>
      <c r="F76" s="88">
        <v>0.25</v>
      </c>
      <c r="G76" s="88">
        <f t="shared" si="23"/>
        <v>0.22147741931591133</v>
      </c>
      <c r="H76" s="88">
        <f t="shared" si="21"/>
        <v>0.10588128073985782</v>
      </c>
      <c r="I76" s="89">
        <f t="shared" si="19"/>
        <v>1.6047064390987884</v>
      </c>
      <c r="J76" s="104">
        <f t="shared" si="20"/>
        <v>0.016638233409558317</v>
      </c>
    </row>
    <row r="77" spans="2:8" ht="12.75">
      <c r="B77" s="90"/>
      <c r="C77" s="90"/>
      <c r="D77" s="90"/>
      <c r="E77" s="90"/>
      <c r="F77" s="90"/>
      <c r="G77" s="90"/>
      <c r="H77" s="90"/>
    </row>
    <row r="78" spans="2:8" ht="12.75">
      <c r="B78" s="90"/>
      <c r="C78" s="90"/>
      <c r="D78" s="90"/>
      <c r="E78" s="90"/>
      <c r="F78" s="90"/>
      <c r="G78" s="90"/>
      <c r="H78" s="90"/>
    </row>
    <row r="79" spans="2:8" ht="12.75">
      <c r="B79" s="90"/>
      <c r="C79" s="90"/>
      <c r="D79" s="90"/>
      <c r="E79" s="90"/>
      <c r="F79" s="90"/>
      <c r="G79" s="90"/>
      <c r="H79" s="90"/>
    </row>
    <row r="80" spans="2:8" ht="12.75">
      <c r="B80" s="90"/>
      <c r="C80" s="90"/>
      <c r="D80" s="90"/>
      <c r="E80" s="90"/>
      <c r="F80" s="90"/>
      <c r="G80" s="90"/>
      <c r="H80" s="90"/>
    </row>
    <row r="81" spans="2:8" ht="12.75">
      <c r="B81" s="90"/>
      <c r="C81" s="90"/>
      <c r="D81" s="90"/>
      <c r="E81" s="90"/>
      <c r="F81" s="90"/>
      <c r="G81" s="90"/>
      <c r="H81" s="90"/>
    </row>
    <row r="82" spans="2:8" ht="12.75">
      <c r="B82" s="90"/>
      <c r="C82" s="90"/>
      <c r="D82" s="90"/>
      <c r="E82" s="90"/>
      <c r="F82" s="90"/>
      <c r="G82" s="90"/>
      <c r="H82" s="90"/>
    </row>
    <row r="83" spans="2:8" ht="12.75">
      <c r="B83" s="90"/>
      <c r="C83" s="90"/>
      <c r="D83" s="90"/>
      <c r="E83" s="90"/>
      <c r="F83" s="90"/>
      <c r="G83" s="90"/>
      <c r="H83" s="90"/>
    </row>
    <row r="84" spans="2:8" ht="12.75">
      <c r="B84" s="90"/>
      <c r="C84" s="90"/>
      <c r="D84" s="90"/>
      <c r="E84" s="90"/>
      <c r="F84" s="90"/>
      <c r="G84" s="90"/>
      <c r="H84" s="90"/>
    </row>
    <row r="85" spans="2:8" ht="12.75">
      <c r="B85" s="90"/>
      <c r="C85" s="90"/>
      <c r="D85" s="90"/>
      <c r="E85" s="90"/>
      <c r="F85" s="90"/>
      <c r="G85" s="90"/>
      <c r="H85" s="90"/>
    </row>
    <row r="86" spans="1:8" ht="12.75">
      <c r="A86" s="155" t="s">
        <v>38</v>
      </c>
      <c r="B86" s="90"/>
      <c r="C86" s="90"/>
      <c r="D86" s="90" t="s">
        <v>41</v>
      </c>
      <c r="E86" s="90"/>
      <c r="F86" s="90"/>
      <c r="G86" s="90"/>
      <c r="H86" s="90"/>
    </row>
    <row r="87" spans="2:8" ht="13.5" thickBot="1">
      <c r="B87" s="90"/>
      <c r="C87" s="90"/>
      <c r="D87" s="90"/>
      <c r="E87" s="90"/>
      <c r="F87" s="90"/>
      <c r="G87" s="90"/>
      <c r="H87" s="90"/>
    </row>
    <row r="88" spans="1:10" ht="38.25">
      <c r="A88" s="81" t="s">
        <v>5</v>
      </c>
      <c r="B88" s="82" t="s">
        <v>30</v>
      </c>
      <c r="C88" s="82" t="str">
        <f aca="true" t="shared" si="24" ref="C88:I88">C33</f>
        <v>Chemical Plant</v>
      </c>
      <c r="D88" s="82" t="str">
        <f t="shared" si="24"/>
        <v>Power</v>
      </c>
      <c r="E88" s="82" t="str">
        <f t="shared" si="24"/>
        <v>Tbilgazi</v>
      </c>
      <c r="F88" s="82" t="str">
        <f t="shared" si="24"/>
        <v>Saktsementi</v>
      </c>
      <c r="G88" s="82" t="str">
        <f t="shared" si="24"/>
        <v>Itera</v>
      </c>
      <c r="H88" s="82" t="str">
        <f t="shared" si="24"/>
        <v>West Georgia</v>
      </c>
      <c r="I88" s="83" t="str">
        <f t="shared" si="24"/>
        <v>Transit Armenia</v>
      </c>
      <c r="J88" s="91" t="s">
        <v>90</v>
      </c>
    </row>
    <row r="89" spans="1:9" ht="12.75">
      <c r="A89" s="84">
        <v>2004</v>
      </c>
      <c r="B89" s="85">
        <f aca="true" t="shared" si="25" ref="B89:B105">SUM(C89:I89)</f>
        <v>2.029</v>
      </c>
      <c r="C89" s="85">
        <v>0.21</v>
      </c>
      <c r="D89" s="85">
        <v>0.248</v>
      </c>
      <c r="E89" s="85">
        <v>0.356</v>
      </c>
      <c r="F89" s="85">
        <v>0.115</v>
      </c>
      <c r="G89" s="85">
        <v>0.1</v>
      </c>
      <c r="H89" s="85">
        <v>0</v>
      </c>
      <c r="I89" s="86">
        <v>1</v>
      </c>
    </row>
    <row r="90" spans="1:10" ht="12.75">
      <c r="A90" s="84">
        <f aca="true" t="shared" si="26" ref="A90:A105">A89+1</f>
        <v>2005</v>
      </c>
      <c r="B90" s="85">
        <f t="shared" si="25"/>
        <v>2.295</v>
      </c>
      <c r="C90" s="85">
        <v>0.25</v>
      </c>
      <c r="D90" s="85">
        <v>0.3</v>
      </c>
      <c r="E90" s="85">
        <v>0.39</v>
      </c>
      <c r="F90" s="85">
        <v>0.18</v>
      </c>
      <c r="G90" s="85">
        <v>0.11</v>
      </c>
      <c r="H90" s="85">
        <v>0.05</v>
      </c>
      <c r="I90" s="86">
        <f>I89*1.015</f>
        <v>1.015</v>
      </c>
      <c r="J90" s="104">
        <f>(B90-B89)/B89</f>
        <v>0.13109906357811732</v>
      </c>
    </row>
    <row r="91" spans="1:10" ht="12.75">
      <c r="A91" s="84">
        <f t="shared" si="26"/>
        <v>2006</v>
      </c>
      <c r="B91" s="85">
        <f t="shared" si="25"/>
        <v>2.488225</v>
      </c>
      <c r="C91" s="85">
        <v>0.3</v>
      </c>
      <c r="D91" s="85">
        <v>0.35</v>
      </c>
      <c r="E91" s="85">
        <v>0.42</v>
      </c>
      <c r="F91" s="85">
        <v>0.198</v>
      </c>
      <c r="G91" s="85">
        <v>0.12</v>
      </c>
      <c r="H91" s="85">
        <v>0.07</v>
      </c>
      <c r="I91" s="86">
        <f aca="true" t="shared" si="27" ref="I91:I105">I90*1.015</f>
        <v>1.0302249999999997</v>
      </c>
      <c r="J91" s="104">
        <f aca="true" t="shared" si="28" ref="J91:J105">(B91-B90)/B90</f>
        <v>0.08419389978213507</v>
      </c>
    </row>
    <row r="92" spans="1:10" ht="12.75">
      <c r="A92" s="84">
        <f t="shared" si="26"/>
        <v>2007</v>
      </c>
      <c r="B92" s="85">
        <f t="shared" si="25"/>
        <v>2.6667283749999995</v>
      </c>
      <c r="C92" s="85">
        <v>0.35</v>
      </c>
      <c r="D92" s="85">
        <v>0.4</v>
      </c>
      <c r="E92" s="85">
        <v>0.46</v>
      </c>
      <c r="F92" s="85">
        <v>0.2</v>
      </c>
      <c r="G92" s="85">
        <v>0.14</v>
      </c>
      <c r="H92" s="85">
        <f>H91*1.015</f>
        <v>0.07105</v>
      </c>
      <c r="I92" s="86">
        <f t="shared" si="27"/>
        <v>1.0456783749999996</v>
      </c>
      <c r="J92" s="104">
        <f t="shared" si="28"/>
        <v>0.07173924182901449</v>
      </c>
    </row>
    <row r="93" spans="1:10" ht="12.75">
      <c r="A93" s="84">
        <f t="shared" si="26"/>
        <v>2008</v>
      </c>
      <c r="B93" s="85">
        <f t="shared" si="25"/>
        <v>2.8534793006249997</v>
      </c>
      <c r="C93" s="85">
        <v>0.4</v>
      </c>
      <c r="D93" s="85">
        <v>0.45</v>
      </c>
      <c r="E93" s="85">
        <v>0.5</v>
      </c>
      <c r="F93" s="85">
        <v>0.22</v>
      </c>
      <c r="G93" s="85">
        <v>0.15</v>
      </c>
      <c r="H93" s="85">
        <f aca="true" t="shared" si="29" ref="H93:H105">H92*1.015</f>
        <v>0.07211574999999999</v>
      </c>
      <c r="I93" s="86">
        <f t="shared" si="27"/>
        <v>1.0613635506249994</v>
      </c>
      <c r="J93" s="104">
        <f t="shared" si="28"/>
        <v>0.07002997657194847</v>
      </c>
    </row>
    <row r="94" spans="1:10" ht="12.75">
      <c r="A94" s="84">
        <f t="shared" si="26"/>
        <v>2009</v>
      </c>
      <c r="B94" s="85">
        <f t="shared" si="25"/>
        <v>3.052481490134374</v>
      </c>
      <c r="C94" s="85">
        <v>0.45</v>
      </c>
      <c r="D94" s="85">
        <v>0.5</v>
      </c>
      <c r="E94" s="85">
        <v>0.55</v>
      </c>
      <c r="F94" s="85">
        <v>0.242</v>
      </c>
      <c r="G94" s="85">
        <v>0.16</v>
      </c>
      <c r="H94" s="85">
        <f t="shared" si="29"/>
        <v>0.07319748624999999</v>
      </c>
      <c r="I94" s="86">
        <f t="shared" si="27"/>
        <v>1.0772840038843743</v>
      </c>
      <c r="J94" s="104">
        <f t="shared" si="28"/>
        <v>0.06974019032336662</v>
      </c>
    </row>
    <row r="95" spans="1:10" ht="12.75">
      <c r="A95" s="84">
        <f t="shared" si="26"/>
        <v>2010</v>
      </c>
      <c r="B95" s="85">
        <f t="shared" si="25"/>
        <v>3.18638871248639</v>
      </c>
      <c r="C95" s="85">
        <v>0.5</v>
      </c>
      <c r="D95" s="85">
        <v>0.55</v>
      </c>
      <c r="E95" s="85">
        <f>E94*1.015</f>
        <v>0.55825</v>
      </c>
      <c r="F95" s="85">
        <v>0.248</v>
      </c>
      <c r="G95" s="85">
        <f>G94*1.015</f>
        <v>0.1624</v>
      </c>
      <c r="H95" s="85">
        <f t="shared" si="29"/>
        <v>0.07429544854374998</v>
      </c>
      <c r="I95" s="86">
        <f t="shared" si="27"/>
        <v>1.0934432639426397</v>
      </c>
      <c r="J95" s="104">
        <f t="shared" si="28"/>
        <v>0.04386831592093321</v>
      </c>
    </row>
    <row r="96" spans="1:10" ht="12.75">
      <c r="A96" s="84">
        <f t="shared" si="26"/>
        <v>2011</v>
      </c>
      <c r="B96" s="85">
        <f t="shared" si="25"/>
        <v>3.266714543173685</v>
      </c>
      <c r="C96" s="85">
        <v>0.55</v>
      </c>
      <c r="D96" s="85">
        <v>0.55</v>
      </c>
      <c r="E96" s="85">
        <f aca="true" t="shared" si="30" ref="E96:E105">E95*1.015</f>
        <v>0.56662375</v>
      </c>
      <c r="F96" s="85">
        <v>0.25</v>
      </c>
      <c r="G96" s="85">
        <f aca="true" t="shared" si="31" ref="G96:G105">G95*1.015</f>
        <v>0.16483599999999998</v>
      </c>
      <c r="H96" s="85">
        <f t="shared" si="29"/>
        <v>0.07540988027190622</v>
      </c>
      <c r="I96" s="86">
        <f t="shared" si="27"/>
        <v>1.1098449129017791</v>
      </c>
      <c r="J96" s="104">
        <f t="shared" si="28"/>
        <v>0.02520904947112232</v>
      </c>
    </row>
    <row r="97" spans="1:10" ht="12.75">
      <c r="A97" s="84">
        <f t="shared" si="26"/>
        <v>2012</v>
      </c>
      <c r="B97" s="85">
        <f t="shared" si="25"/>
        <v>3.3454652613212907</v>
      </c>
      <c r="C97" s="85">
        <v>0.6</v>
      </c>
      <c r="D97" s="85">
        <v>0.55</v>
      </c>
      <c r="E97" s="85">
        <f t="shared" si="30"/>
        <v>0.57512310625</v>
      </c>
      <c r="F97" s="85">
        <v>0.25</v>
      </c>
      <c r="G97" s="85">
        <f t="shared" si="31"/>
        <v>0.16730853999999998</v>
      </c>
      <c r="H97" s="85">
        <f t="shared" si="29"/>
        <v>0.0765410284759848</v>
      </c>
      <c r="I97" s="86">
        <f t="shared" si="27"/>
        <v>1.1264925865953057</v>
      </c>
      <c r="J97" s="104">
        <f t="shared" si="28"/>
        <v>0.024107009384143386</v>
      </c>
    </row>
    <row r="98" spans="1:10" ht="12.75">
      <c r="A98" s="84">
        <f t="shared" si="26"/>
        <v>2013</v>
      </c>
      <c r="B98" s="85">
        <f t="shared" si="25"/>
        <v>3.4246472402411094</v>
      </c>
      <c r="C98" s="85">
        <v>0.65</v>
      </c>
      <c r="D98" s="85">
        <v>0.55</v>
      </c>
      <c r="E98" s="85">
        <f t="shared" si="30"/>
        <v>0.5837499528437499</v>
      </c>
      <c r="F98" s="85">
        <v>0.25</v>
      </c>
      <c r="G98" s="85">
        <f t="shared" si="31"/>
        <v>0.16981816809999997</v>
      </c>
      <c r="H98" s="85">
        <f t="shared" si="29"/>
        <v>0.07768914390312456</v>
      </c>
      <c r="I98" s="86">
        <f t="shared" si="27"/>
        <v>1.1433899753942351</v>
      </c>
      <c r="J98" s="104">
        <f t="shared" si="28"/>
        <v>0.0236684504948486</v>
      </c>
    </row>
    <row r="99" spans="1:10" ht="12.75">
      <c r="A99" s="84">
        <f t="shared" si="26"/>
        <v>2014</v>
      </c>
      <c r="B99" s="85">
        <f t="shared" si="25"/>
        <v>3.504266948844726</v>
      </c>
      <c r="C99" s="85">
        <v>0.7</v>
      </c>
      <c r="D99" s="85">
        <v>0.55</v>
      </c>
      <c r="E99" s="85">
        <f t="shared" si="30"/>
        <v>0.592506202136406</v>
      </c>
      <c r="F99" s="85">
        <v>0.25</v>
      </c>
      <c r="G99" s="85">
        <f t="shared" si="31"/>
        <v>0.17236544062149994</v>
      </c>
      <c r="H99" s="85">
        <f t="shared" si="29"/>
        <v>0.07885448106167142</v>
      </c>
      <c r="I99" s="86">
        <f t="shared" si="27"/>
        <v>1.1605408250251485</v>
      </c>
      <c r="J99" s="104">
        <f t="shared" si="28"/>
        <v>0.02324902479532776</v>
      </c>
    </row>
    <row r="100" spans="1:10" ht="12.75">
      <c r="A100" s="84">
        <f t="shared" si="26"/>
        <v>2015</v>
      </c>
      <c r="B100" s="85">
        <f t="shared" si="25"/>
        <v>3.584330953077396</v>
      </c>
      <c r="C100" s="85">
        <v>0.75</v>
      </c>
      <c r="D100" s="85">
        <v>0.55</v>
      </c>
      <c r="E100" s="85">
        <f t="shared" si="30"/>
        <v>0.601393795168452</v>
      </c>
      <c r="F100" s="85">
        <v>0.25</v>
      </c>
      <c r="G100" s="85">
        <f t="shared" si="31"/>
        <v>0.17495092223082243</v>
      </c>
      <c r="H100" s="85">
        <f t="shared" si="29"/>
        <v>0.08003729827759648</v>
      </c>
      <c r="I100" s="86">
        <f t="shared" si="27"/>
        <v>1.1779489374005256</v>
      </c>
      <c r="J100" s="104">
        <f t="shared" si="28"/>
        <v>0.022847575656034298</v>
      </c>
    </row>
    <row r="101" spans="1:10" ht="12.75">
      <c r="A101" s="84">
        <f t="shared" si="26"/>
        <v>2016</v>
      </c>
      <c r="B101" s="85">
        <f t="shared" si="25"/>
        <v>3.614845917373558</v>
      </c>
      <c r="C101" s="85">
        <v>0.75</v>
      </c>
      <c r="D101" s="85">
        <v>0.55</v>
      </c>
      <c r="E101" s="85">
        <f t="shared" si="30"/>
        <v>0.6104147020959788</v>
      </c>
      <c r="F101" s="85">
        <v>0.25</v>
      </c>
      <c r="G101" s="85">
        <f t="shared" si="31"/>
        <v>0.17757518606428474</v>
      </c>
      <c r="H101" s="85">
        <f t="shared" si="29"/>
        <v>0.08123785775176041</v>
      </c>
      <c r="I101" s="86">
        <f t="shared" si="27"/>
        <v>1.1956181714615335</v>
      </c>
      <c r="J101" s="104">
        <f t="shared" si="28"/>
        <v>0.008513433802747074</v>
      </c>
    </row>
    <row r="102" spans="1:10" ht="12.75">
      <c r="A102" s="84">
        <f t="shared" si="26"/>
        <v>2017</v>
      </c>
      <c r="B102" s="85">
        <f t="shared" si="25"/>
        <v>3.645818606134161</v>
      </c>
      <c r="C102" s="85">
        <v>0.75</v>
      </c>
      <c r="D102" s="85">
        <v>0.55</v>
      </c>
      <c r="E102" s="85">
        <f t="shared" si="30"/>
        <v>0.6195709226274184</v>
      </c>
      <c r="F102" s="85">
        <v>0.25</v>
      </c>
      <c r="G102" s="85">
        <f t="shared" si="31"/>
        <v>0.18023881385524898</v>
      </c>
      <c r="H102" s="85">
        <f t="shared" si="29"/>
        <v>0.08245642561803682</v>
      </c>
      <c r="I102" s="86">
        <f t="shared" si="27"/>
        <v>1.2135524440334564</v>
      </c>
      <c r="J102" s="104">
        <f t="shared" si="28"/>
        <v>0.008568190586421137</v>
      </c>
    </row>
    <row r="103" spans="1:10" ht="12.75">
      <c r="A103" s="84">
        <f t="shared" si="26"/>
        <v>2018</v>
      </c>
      <c r="B103" s="85">
        <f t="shared" si="25"/>
        <v>3.677255885226173</v>
      </c>
      <c r="C103" s="85">
        <v>0.75</v>
      </c>
      <c r="D103" s="85">
        <v>0.55</v>
      </c>
      <c r="E103" s="85">
        <f t="shared" si="30"/>
        <v>0.6288644864668297</v>
      </c>
      <c r="F103" s="85">
        <v>0.25</v>
      </c>
      <c r="G103" s="85">
        <f t="shared" si="31"/>
        <v>0.1829423960630777</v>
      </c>
      <c r="H103" s="85">
        <f t="shared" si="29"/>
        <v>0.08369327200230736</v>
      </c>
      <c r="I103" s="86">
        <f t="shared" si="27"/>
        <v>1.2317557306939582</v>
      </c>
      <c r="J103" s="104">
        <f t="shared" si="28"/>
        <v>0.008622831382537319</v>
      </c>
    </row>
    <row r="104" spans="1:10" ht="12.75">
      <c r="A104" s="84">
        <f t="shared" si="26"/>
        <v>2019</v>
      </c>
      <c r="B104" s="85">
        <f t="shared" si="25"/>
        <v>3.7091647235045655</v>
      </c>
      <c r="C104" s="85">
        <v>0.75</v>
      </c>
      <c r="D104" s="85">
        <v>0.55</v>
      </c>
      <c r="E104" s="85">
        <f t="shared" si="30"/>
        <v>0.6382974537638321</v>
      </c>
      <c r="F104" s="85">
        <v>0.25</v>
      </c>
      <c r="G104" s="85">
        <f t="shared" si="31"/>
        <v>0.18568653200402382</v>
      </c>
      <c r="H104" s="85">
        <f t="shared" si="29"/>
        <v>0.08494867108234197</v>
      </c>
      <c r="I104" s="86">
        <f t="shared" si="27"/>
        <v>1.2502320666543674</v>
      </c>
      <c r="J104" s="104">
        <f t="shared" si="28"/>
        <v>0.008677350522869567</v>
      </c>
    </row>
    <row r="105" spans="1:10" ht="13.5" thickBot="1">
      <c r="A105" s="87">
        <f t="shared" si="26"/>
        <v>2020</v>
      </c>
      <c r="B105" s="88">
        <f t="shared" si="25"/>
        <v>3.741552194357133</v>
      </c>
      <c r="C105" s="88">
        <v>0.75</v>
      </c>
      <c r="D105" s="88">
        <v>0.55</v>
      </c>
      <c r="E105" s="88">
        <f t="shared" si="30"/>
        <v>0.6478719155702894</v>
      </c>
      <c r="F105" s="88">
        <v>0.25</v>
      </c>
      <c r="G105" s="88">
        <f t="shared" si="31"/>
        <v>0.18847182998408415</v>
      </c>
      <c r="H105" s="88">
        <f t="shared" si="29"/>
        <v>0.08622290114857709</v>
      </c>
      <c r="I105" s="89">
        <f t="shared" si="27"/>
        <v>1.2689855476541827</v>
      </c>
      <c r="J105" s="104">
        <f t="shared" si="28"/>
        <v>0.0087317423913076</v>
      </c>
    </row>
    <row r="117" spans="1:5" ht="51">
      <c r="A117" s="80" t="s">
        <v>5</v>
      </c>
      <c r="B117" s="91" t="str">
        <f>B33</f>
        <v>Total for High Growth
in bcm</v>
      </c>
      <c r="C117" s="92" t="str">
        <f>B59</f>
        <v>Total for High Medium
in bcm</v>
      </c>
      <c r="D117" s="92" t="str">
        <f>B88</f>
        <v>Total for Low Growth
in bcm</v>
      </c>
      <c r="E117" s="91" t="s">
        <v>140</v>
      </c>
    </row>
    <row r="118" spans="1:5" ht="12.75">
      <c r="A118" s="80">
        <v>2004</v>
      </c>
      <c r="B118" s="93">
        <f>B34</f>
        <v>2.029</v>
      </c>
      <c r="C118" s="93">
        <f>B60</f>
        <v>2.029</v>
      </c>
      <c r="D118" s="93">
        <f>B89</f>
        <v>2.029</v>
      </c>
      <c r="E118" s="93">
        <f>B8</f>
        <v>2.029</v>
      </c>
    </row>
    <row r="119" spans="1:5" ht="12.75">
      <c r="A119" s="80">
        <v>2005</v>
      </c>
      <c r="B119" s="93">
        <f aca="true" t="shared" si="32" ref="B119:B134">B35</f>
        <v>2.6100000000000003</v>
      </c>
      <c r="C119" s="93">
        <f aca="true" t="shared" si="33" ref="C119:C134">B61</f>
        <v>2.41</v>
      </c>
      <c r="D119" s="93">
        <f>B90</f>
        <v>2.295</v>
      </c>
      <c r="E119" s="93">
        <f aca="true" t="shared" si="34" ref="E119:E134">B9</f>
        <v>2.295</v>
      </c>
    </row>
    <row r="120" spans="1:5" ht="12.75">
      <c r="A120" s="80">
        <v>2006</v>
      </c>
      <c r="B120" s="93">
        <f t="shared" si="32"/>
        <v>3.1525</v>
      </c>
      <c r="C120" s="93">
        <f t="shared" si="33"/>
        <v>2.6689</v>
      </c>
      <c r="D120" s="93">
        <f aca="true" t="shared" si="35" ref="D120:D134">B91</f>
        <v>2.488225</v>
      </c>
      <c r="E120" s="93">
        <f t="shared" si="34"/>
        <v>2.488225</v>
      </c>
    </row>
    <row r="121" spans="1:5" ht="12.75">
      <c r="A121" s="80">
        <v>2007</v>
      </c>
      <c r="B121" s="93">
        <f t="shared" si="32"/>
        <v>4.573125</v>
      </c>
      <c r="C121" s="93">
        <f t="shared" si="33"/>
        <v>3.2648269999999995</v>
      </c>
      <c r="D121" s="93">
        <f t="shared" si="35"/>
        <v>2.6667283749999995</v>
      </c>
      <c r="E121" s="93">
        <f t="shared" si="34"/>
        <v>2.606728375</v>
      </c>
    </row>
    <row r="122" spans="1:5" ht="12.75">
      <c r="A122" s="80">
        <v>2008</v>
      </c>
      <c r="B122" s="93">
        <f t="shared" si="32"/>
        <v>4.76268125</v>
      </c>
      <c r="C122" s="93">
        <f t="shared" si="33"/>
        <v>3.51977181</v>
      </c>
      <c r="D122" s="93">
        <f t="shared" si="35"/>
        <v>2.8534793006249997</v>
      </c>
      <c r="E122" s="93">
        <f t="shared" si="34"/>
        <v>2.853479300625</v>
      </c>
    </row>
    <row r="123" spans="1:5" ht="12.75">
      <c r="A123" s="80">
        <v>2009</v>
      </c>
      <c r="B123" s="93">
        <f t="shared" si="32"/>
        <v>4.9323153125</v>
      </c>
      <c r="C123" s="93">
        <f t="shared" si="33"/>
        <v>3.787764964300001</v>
      </c>
      <c r="D123" s="93">
        <f t="shared" si="35"/>
        <v>3.052481490134374</v>
      </c>
      <c r="E123" s="93">
        <f t="shared" si="34"/>
        <v>3.052481490134375</v>
      </c>
    </row>
    <row r="124" spans="1:5" ht="12.75">
      <c r="A124" s="80">
        <v>2010</v>
      </c>
      <c r="B124" s="93">
        <f t="shared" si="32"/>
        <v>5.048681078125</v>
      </c>
      <c r="C124" s="93">
        <f t="shared" si="33"/>
        <v>4.102137913229001</v>
      </c>
      <c r="D124" s="93">
        <f t="shared" si="35"/>
        <v>3.18638871248639</v>
      </c>
      <c r="E124" s="93">
        <f t="shared" si="34"/>
        <v>3.1863887124863908</v>
      </c>
    </row>
    <row r="125" spans="1:5" ht="12.75">
      <c r="A125" s="80">
        <v>2011</v>
      </c>
      <c r="B125" s="93">
        <f t="shared" si="32"/>
        <v>5.1592151320312505</v>
      </c>
      <c r="C125" s="93">
        <f t="shared" si="33"/>
        <v>4.1642620506258705</v>
      </c>
      <c r="D125" s="93">
        <f t="shared" si="35"/>
        <v>3.266714543173685</v>
      </c>
      <c r="E125" s="93">
        <f t="shared" si="34"/>
        <v>3.266714543173687</v>
      </c>
    </row>
    <row r="126" spans="1:5" ht="12.75">
      <c r="A126" s="80">
        <v>2012</v>
      </c>
      <c r="B126" s="93">
        <f t="shared" si="32"/>
        <v>5.273175888632813</v>
      </c>
      <c r="C126" s="93">
        <f t="shared" si="33"/>
        <v>4.226189912144646</v>
      </c>
      <c r="D126" s="93">
        <f t="shared" si="35"/>
        <v>3.3454652613212907</v>
      </c>
      <c r="E126" s="93">
        <f t="shared" si="34"/>
        <v>3.3454652613212916</v>
      </c>
    </row>
    <row r="127" spans="1:5" ht="12.75">
      <c r="A127" s="80">
        <v>2013</v>
      </c>
      <c r="B127" s="93">
        <f t="shared" si="32"/>
        <v>5.392834683064454</v>
      </c>
      <c r="C127" s="93">
        <f t="shared" si="33"/>
        <v>4.2899756095089865</v>
      </c>
      <c r="D127" s="93">
        <f t="shared" si="35"/>
        <v>3.4246472402411094</v>
      </c>
      <c r="E127" s="93">
        <f t="shared" si="34"/>
        <v>3.424647240241111</v>
      </c>
    </row>
    <row r="128" spans="1:5" ht="12.75">
      <c r="A128" s="80">
        <v>2014</v>
      </c>
      <c r="B128" s="93">
        <f t="shared" si="32"/>
        <v>5.518476417217677</v>
      </c>
      <c r="C128" s="93">
        <f t="shared" si="33"/>
        <v>4.3556748777942556</v>
      </c>
      <c r="D128" s="93">
        <f t="shared" si="35"/>
        <v>3.504266948844726</v>
      </c>
      <c r="E128" s="93">
        <f t="shared" si="34"/>
        <v>3.5042669488447284</v>
      </c>
    </row>
    <row r="129" spans="1:5" ht="12.75">
      <c r="A129" s="80">
        <v>2015</v>
      </c>
      <c r="B129" s="93">
        <f t="shared" si="32"/>
        <v>5.650400238078561</v>
      </c>
      <c r="C129" s="93">
        <f t="shared" si="33"/>
        <v>4.423345124128083</v>
      </c>
      <c r="D129" s="93">
        <f t="shared" si="35"/>
        <v>3.584330953077396</v>
      </c>
      <c r="E129" s="93">
        <f t="shared" si="34"/>
        <v>3.5843309530773992</v>
      </c>
    </row>
    <row r="130" spans="1:5" ht="12.75">
      <c r="A130" s="80">
        <v>2016</v>
      </c>
      <c r="B130" s="93">
        <f t="shared" si="32"/>
        <v>5.788920249982489</v>
      </c>
      <c r="C130" s="93">
        <f t="shared" si="33"/>
        <v>4.4930454778519255</v>
      </c>
      <c r="D130" s="93">
        <f t="shared" si="35"/>
        <v>3.614845917373558</v>
      </c>
      <c r="E130" s="93">
        <f t="shared" si="34"/>
        <v>3.61484591737356</v>
      </c>
    </row>
    <row r="131" spans="1:5" ht="12.75">
      <c r="A131" s="80">
        <v>2017</v>
      </c>
      <c r="B131" s="93">
        <f t="shared" si="32"/>
        <v>5.934366262481613</v>
      </c>
      <c r="C131" s="93">
        <f t="shared" si="33"/>
        <v>4.564836842187484</v>
      </c>
      <c r="D131" s="93">
        <f t="shared" si="35"/>
        <v>3.645818606134161</v>
      </c>
      <c r="E131" s="93">
        <f t="shared" si="34"/>
        <v>3.6458186061341635</v>
      </c>
    </row>
    <row r="132" spans="1:5" ht="12.75">
      <c r="A132" s="80">
        <v>2018</v>
      </c>
      <c r="B132" s="93">
        <f t="shared" si="32"/>
        <v>6.087084575605694</v>
      </c>
      <c r="C132" s="93">
        <f t="shared" si="33"/>
        <v>4.638781947453109</v>
      </c>
      <c r="D132" s="93">
        <f t="shared" si="35"/>
        <v>3.677255885226173</v>
      </c>
      <c r="E132" s="93">
        <f t="shared" si="34"/>
        <v>3.6772558852261765</v>
      </c>
    </row>
    <row r="133" spans="1:5" ht="12.75">
      <c r="A133" s="80">
        <v>2019</v>
      </c>
      <c r="B133" s="93">
        <f t="shared" si="32"/>
        <v>6.247438804385979</v>
      </c>
      <c r="C133" s="93">
        <f t="shared" si="33"/>
        <v>4.714945405876702</v>
      </c>
      <c r="D133" s="93">
        <f t="shared" si="35"/>
        <v>3.7091647235045655</v>
      </c>
      <c r="E133" s="93">
        <f t="shared" si="34"/>
        <v>3.7091647235045686</v>
      </c>
    </row>
    <row r="134" spans="1:5" ht="12.75">
      <c r="A134" s="80">
        <v>2020</v>
      </c>
      <c r="B134" s="93">
        <f t="shared" si="32"/>
        <v>6.415810744605279</v>
      </c>
      <c r="C134" s="93">
        <f t="shared" si="33"/>
        <v>4.793393768053003</v>
      </c>
      <c r="D134" s="93">
        <f t="shared" si="35"/>
        <v>3.741552194357133</v>
      </c>
      <c r="E134" s="93">
        <f t="shared" si="34"/>
        <v>3.741552194357137</v>
      </c>
    </row>
  </sheetData>
  <mergeCells count="1">
    <mergeCell ref="A4:J4"/>
  </mergeCells>
  <conditionalFormatting sqref="A4">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B1:O26"/>
  <sheetViews>
    <sheetView zoomScale="75" zoomScaleNormal="75" workbookViewId="0" topLeftCell="A1">
      <selection activeCell="A1" sqref="A1"/>
    </sheetView>
  </sheetViews>
  <sheetFormatPr defaultColWidth="9.140625" defaultRowHeight="12.75"/>
  <cols>
    <col min="1" max="2" width="9.140625" style="94" customWidth="1"/>
    <col min="3" max="3" width="13.00390625" style="94" customWidth="1"/>
    <col min="4" max="4" width="12.8515625" style="94" customWidth="1"/>
    <col min="5" max="5" width="18.7109375" style="94" customWidth="1"/>
    <col min="6" max="6" width="19.28125" style="94" customWidth="1"/>
    <col min="7" max="7" width="16.00390625" style="94" customWidth="1"/>
    <col min="8" max="8" width="15.421875" style="94" customWidth="1"/>
    <col min="9" max="10" width="9.140625" style="94" customWidth="1"/>
    <col min="11" max="11" width="19.140625" style="94" customWidth="1"/>
    <col min="12" max="12" width="10.00390625" style="94" customWidth="1"/>
    <col min="13" max="13" width="11.7109375" style="94" customWidth="1"/>
    <col min="14" max="14" width="14.7109375" style="94" customWidth="1"/>
    <col min="15" max="15" width="16.140625" style="94" customWidth="1"/>
    <col min="16" max="16384" width="9.140625" style="94" customWidth="1"/>
  </cols>
  <sheetData>
    <row r="1" spans="2:8" ht="12.75">
      <c r="B1" s="275">
        <f>IF('ERR &amp; Sensitivity Analysis'!$I$10="N","Note: Current calculations are based on user input and are not the original MCC estimates.",IF('ERR &amp; Sensitivity Analysis'!$I$11="N","Note: Current calculations are based on user input and are not the original MCC estimates.",0))</f>
        <v>0</v>
      </c>
      <c r="C1" s="275"/>
      <c r="D1" s="275"/>
      <c r="E1" s="275"/>
      <c r="F1" s="275"/>
      <c r="G1" s="275"/>
      <c r="H1" s="275"/>
    </row>
    <row r="2" ht="20.25">
      <c r="B2" s="112" t="s">
        <v>109</v>
      </c>
    </row>
    <row r="3" ht="20.25">
      <c r="B3" s="112"/>
    </row>
    <row r="4" spans="2:9" ht="12.75">
      <c r="B4" s="101"/>
      <c r="C4" s="101" t="s">
        <v>14</v>
      </c>
      <c r="D4" s="101"/>
      <c r="E4" s="101"/>
      <c r="F4" s="101"/>
      <c r="G4" s="101"/>
      <c r="H4" s="101" t="s">
        <v>15</v>
      </c>
      <c r="I4" s="101"/>
    </row>
    <row r="6" spans="2:14" ht="71.25">
      <c r="B6" s="3" t="s">
        <v>5</v>
      </c>
      <c r="C6" s="4" t="s">
        <v>9</v>
      </c>
      <c r="D6" s="4" t="s">
        <v>12</v>
      </c>
      <c r="E6" s="4" t="s">
        <v>11</v>
      </c>
      <c r="F6" s="4" t="s">
        <v>10</v>
      </c>
      <c r="G6" s="91"/>
      <c r="H6" s="3" t="s">
        <v>5</v>
      </c>
      <c r="I6" s="4" t="s">
        <v>18</v>
      </c>
      <c r="J6" s="4" t="s">
        <v>8</v>
      </c>
      <c r="K6" s="4" t="s">
        <v>34</v>
      </c>
      <c r="L6" s="4" t="s">
        <v>11</v>
      </c>
      <c r="M6" s="4" t="s">
        <v>20</v>
      </c>
      <c r="N6" s="4" t="s">
        <v>16</v>
      </c>
    </row>
    <row r="7" spans="2:14" ht="15">
      <c r="B7" s="5">
        <v>2007</v>
      </c>
      <c r="C7" s="5">
        <v>2</v>
      </c>
      <c r="D7" s="6">
        <v>50</v>
      </c>
      <c r="E7" s="7">
        <f>C7*1000000*0.05</f>
        <v>100000</v>
      </c>
      <c r="F7" s="8">
        <f aca="true" t="shared" si="0" ref="F7:F13">C7*1000000*0.05*D7</f>
        <v>5000000</v>
      </c>
      <c r="G7" s="95"/>
      <c r="H7" s="5">
        <v>2005</v>
      </c>
      <c r="I7" s="9">
        <v>1</v>
      </c>
      <c r="J7" s="6">
        <v>50</v>
      </c>
      <c r="K7" s="10">
        <v>0.05</v>
      </c>
      <c r="L7" s="7">
        <f aca="true" t="shared" si="1" ref="L7:L13">(I7*1000000*0.1)</f>
        <v>100000</v>
      </c>
      <c r="M7" s="7">
        <f>I7*1000000*K7</f>
        <v>50000</v>
      </c>
      <c r="N7" s="8">
        <f>(L7-M7)*J7</f>
        <v>2500000</v>
      </c>
    </row>
    <row r="8" spans="2:14" ht="15">
      <c r="B8" s="5">
        <f aca="true" t="shared" si="2" ref="B8:B13">B7+1</f>
        <v>2008</v>
      </c>
      <c r="C8" s="5">
        <v>3</v>
      </c>
      <c r="D8" s="6">
        <f aca="true" t="shared" si="3" ref="D8:D13">D7+(D7*$B$19)</f>
        <v>51</v>
      </c>
      <c r="E8" s="7">
        <f aca="true" t="shared" si="4" ref="E8:E13">C8*1000000*0.05</f>
        <v>150000</v>
      </c>
      <c r="F8" s="8">
        <f t="shared" si="0"/>
        <v>7650000</v>
      </c>
      <c r="G8" s="95"/>
      <c r="H8" s="5">
        <f aca="true" t="shared" si="5" ref="H8:H13">H7+1</f>
        <v>2006</v>
      </c>
      <c r="I8" s="9">
        <f aca="true" t="shared" si="6" ref="I8:I13">I7+(I7*$B$21)</f>
        <v>1.05</v>
      </c>
      <c r="J8" s="6">
        <v>50</v>
      </c>
      <c r="K8" s="10">
        <v>0.055</v>
      </c>
      <c r="L8" s="7">
        <f t="shared" si="1"/>
        <v>105000</v>
      </c>
      <c r="M8" s="7">
        <f aca="true" t="shared" si="7" ref="M8:M13">I8*1000000*K8</f>
        <v>57750</v>
      </c>
      <c r="N8" s="8">
        <f aca="true" t="shared" si="8" ref="N8:N13">(L8-M8)*J8</f>
        <v>2362500</v>
      </c>
    </row>
    <row r="9" spans="2:14" ht="15">
      <c r="B9" s="5">
        <f t="shared" si="2"/>
        <v>2009</v>
      </c>
      <c r="C9" s="5">
        <v>3</v>
      </c>
      <c r="D9" s="6">
        <f t="shared" si="3"/>
        <v>52.02</v>
      </c>
      <c r="E9" s="7">
        <f t="shared" si="4"/>
        <v>150000</v>
      </c>
      <c r="F9" s="8">
        <f t="shared" si="0"/>
        <v>7803000.000000001</v>
      </c>
      <c r="G9" s="95"/>
      <c r="H9" s="5">
        <f t="shared" si="5"/>
        <v>2007</v>
      </c>
      <c r="I9" s="9">
        <f t="shared" si="6"/>
        <v>1.1025</v>
      </c>
      <c r="J9" s="6">
        <v>50</v>
      </c>
      <c r="K9" s="10">
        <v>0.06</v>
      </c>
      <c r="L9" s="7">
        <f t="shared" si="1"/>
        <v>110250</v>
      </c>
      <c r="M9" s="7">
        <f t="shared" si="7"/>
        <v>66150</v>
      </c>
      <c r="N9" s="8">
        <f t="shared" si="8"/>
        <v>2205000</v>
      </c>
    </row>
    <row r="10" spans="2:14" ht="15">
      <c r="B10" s="5">
        <f t="shared" si="2"/>
        <v>2010</v>
      </c>
      <c r="C10" s="5">
        <v>5</v>
      </c>
      <c r="D10" s="6">
        <f t="shared" si="3"/>
        <v>53.0604</v>
      </c>
      <c r="E10" s="7">
        <f t="shared" si="4"/>
        <v>250000</v>
      </c>
      <c r="F10" s="8">
        <f t="shared" si="0"/>
        <v>13265100</v>
      </c>
      <c r="G10" s="95"/>
      <c r="H10" s="5">
        <f t="shared" si="5"/>
        <v>2008</v>
      </c>
      <c r="I10" s="9">
        <f t="shared" si="6"/>
        <v>1.1576250000000001</v>
      </c>
      <c r="J10" s="6">
        <v>50</v>
      </c>
      <c r="K10" s="10">
        <v>0.065</v>
      </c>
      <c r="L10" s="7">
        <f t="shared" si="1"/>
        <v>115762.50000000003</v>
      </c>
      <c r="M10" s="7">
        <f t="shared" si="7"/>
        <v>75245.62500000001</v>
      </c>
      <c r="N10" s="8">
        <f t="shared" si="8"/>
        <v>2025843.7500000007</v>
      </c>
    </row>
    <row r="11" spans="2:14" ht="15">
      <c r="B11" s="5">
        <f t="shared" si="2"/>
        <v>2011</v>
      </c>
      <c r="C11" s="5">
        <v>6</v>
      </c>
      <c r="D11" s="6">
        <f t="shared" si="3"/>
        <v>54.121608</v>
      </c>
      <c r="E11" s="7">
        <f t="shared" si="4"/>
        <v>300000</v>
      </c>
      <c r="F11" s="8">
        <f t="shared" si="0"/>
        <v>16236482.4</v>
      </c>
      <c r="G11" s="95"/>
      <c r="H11" s="5">
        <f t="shared" si="5"/>
        <v>2009</v>
      </c>
      <c r="I11" s="9">
        <f t="shared" si="6"/>
        <v>1.2155062500000002</v>
      </c>
      <c r="J11" s="6">
        <v>50</v>
      </c>
      <c r="K11" s="10">
        <v>0.07</v>
      </c>
      <c r="L11" s="7">
        <f t="shared" si="1"/>
        <v>121550.62500000003</v>
      </c>
      <c r="M11" s="7">
        <f t="shared" si="7"/>
        <v>85085.43750000003</v>
      </c>
      <c r="N11" s="8">
        <f t="shared" si="8"/>
        <v>1823259.375</v>
      </c>
    </row>
    <row r="12" spans="2:14" ht="15">
      <c r="B12" s="5">
        <f t="shared" si="2"/>
        <v>2012</v>
      </c>
      <c r="C12" s="5">
        <v>6.6</v>
      </c>
      <c r="D12" s="6">
        <f t="shared" si="3"/>
        <v>55.204040160000005</v>
      </c>
      <c r="E12" s="7">
        <f t="shared" si="4"/>
        <v>330000</v>
      </c>
      <c r="F12" s="8">
        <f t="shared" si="0"/>
        <v>18217333.252800003</v>
      </c>
      <c r="G12" s="95"/>
      <c r="H12" s="5">
        <f t="shared" si="5"/>
        <v>2010</v>
      </c>
      <c r="I12" s="9">
        <f t="shared" si="6"/>
        <v>1.2762815625000004</v>
      </c>
      <c r="J12" s="6">
        <v>50</v>
      </c>
      <c r="K12" s="10">
        <v>0.075</v>
      </c>
      <c r="L12" s="7">
        <f t="shared" si="1"/>
        <v>127628.15625000006</v>
      </c>
      <c r="M12" s="7">
        <f t="shared" si="7"/>
        <v>95721.11718750003</v>
      </c>
      <c r="N12" s="8">
        <f t="shared" si="8"/>
        <v>1595351.9531250014</v>
      </c>
    </row>
    <row r="13" spans="2:14" ht="15">
      <c r="B13" s="5">
        <f t="shared" si="2"/>
        <v>2013</v>
      </c>
      <c r="C13" s="5">
        <v>6.6</v>
      </c>
      <c r="D13" s="6">
        <f t="shared" si="3"/>
        <v>56.308120963200004</v>
      </c>
      <c r="E13" s="7">
        <f t="shared" si="4"/>
        <v>330000</v>
      </c>
      <c r="F13" s="8">
        <f t="shared" si="0"/>
        <v>18581679.917856</v>
      </c>
      <c r="G13" s="95"/>
      <c r="H13" s="5">
        <f t="shared" si="5"/>
        <v>2011</v>
      </c>
      <c r="I13" s="9">
        <f t="shared" si="6"/>
        <v>1.3400956406250004</v>
      </c>
      <c r="J13" s="6">
        <v>50</v>
      </c>
      <c r="K13" s="10">
        <v>0.075</v>
      </c>
      <c r="L13" s="7">
        <f t="shared" si="1"/>
        <v>134009.56406250005</v>
      </c>
      <c r="M13" s="7">
        <f t="shared" si="7"/>
        <v>100507.17304687503</v>
      </c>
      <c r="N13" s="8">
        <f t="shared" si="8"/>
        <v>1675119.550781251</v>
      </c>
    </row>
    <row r="14" spans="2:13" ht="15">
      <c r="B14" s="2" t="s">
        <v>13</v>
      </c>
      <c r="C14" s="1"/>
      <c r="D14" s="1"/>
      <c r="E14" s="1"/>
      <c r="F14" s="1"/>
      <c r="G14" s="80"/>
      <c r="H14" s="2" t="s">
        <v>19</v>
      </c>
      <c r="I14" s="1"/>
      <c r="J14" s="1"/>
      <c r="K14" s="1"/>
      <c r="L14" s="1"/>
      <c r="M14" s="1"/>
    </row>
    <row r="15" spans="3:6" ht="15">
      <c r="C15" s="2"/>
      <c r="D15" s="2"/>
      <c r="E15" s="2"/>
      <c r="F15" s="2"/>
    </row>
    <row r="18" spans="8:15" ht="71.25">
      <c r="H18" s="3" t="s">
        <v>5</v>
      </c>
      <c r="I18" s="4" t="s">
        <v>18</v>
      </c>
      <c r="J18" s="4" t="s">
        <v>8</v>
      </c>
      <c r="K18" s="4" t="s">
        <v>35</v>
      </c>
      <c r="L18" s="4" t="s">
        <v>11</v>
      </c>
      <c r="M18" s="4" t="s">
        <v>20</v>
      </c>
      <c r="N18" s="4" t="s">
        <v>17</v>
      </c>
      <c r="O18" s="4" t="s">
        <v>21</v>
      </c>
    </row>
    <row r="19" spans="2:15" ht="15">
      <c r="B19" s="167">
        <f>'ERR &amp; Sensitivity Analysis'!D17</f>
        <v>0.02</v>
      </c>
      <c r="C19" s="101" t="s">
        <v>142</v>
      </c>
      <c r="H19" s="5">
        <v>2005</v>
      </c>
      <c r="I19" s="9">
        <v>1</v>
      </c>
      <c r="J19" s="6">
        <v>50</v>
      </c>
      <c r="K19" s="10">
        <v>0.05</v>
      </c>
      <c r="L19" s="7">
        <f>(I19*1000000*0.1)</f>
        <v>100000</v>
      </c>
      <c r="M19" s="7">
        <f>I19*1000000*K19</f>
        <v>50000</v>
      </c>
      <c r="N19" s="8">
        <f>(L19-M19)*J19</f>
        <v>2500000</v>
      </c>
      <c r="O19" s="8">
        <f>N19-N7</f>
        <v>0</v>
      </c>
    </row>
    <row r="20" spans="8:15" ht="15">
      <c r="H20" s="5">
        <f aca="true" t="shared" si="9" ref="H20:H25">H19+1</f>
        <v>2006</v>
      </c>
      <c r="I20" s="9">
        <f aca="true" t="shared" si="10" ref="I20:I25">I19+(I19*$B$21)</f>
        <v>1.05</v>
      </c>
      <c r="J20" s="6">
        <v>50</v>
      </c>
      <c r="K20" s="10">
        <v>0.04</v>
      </c>
      <c r="L20" s="7">
        <f aca="true" t="shared" si="11" ref="L20:L25">(I20*1000000*0.1)</f>
        <v>105000</v>
      </c>
      <c r="M20" s="7">
        <f aca="true" t="shared" si="12" ref="M20:M25">I20*1000000*K20</f>
        <v>42000</v>
      </c>
      <c r="N20" s="8">
        <f aca="true" t="shared" si="13" ref="N20:N25">(L20-M20)*J20</f>
        <v>3150000</v>
      </c>
      <c r="O20" s="8">
        <f aca="true" t="shared" si="14" ref="O20:O25">N20-N8</f>
        <v>787500</v>
      </c>
    </row>
    <row r="21" spans="2:15" ht="15">
      <c r="B21" s="167">
        <f>'ERR &amp; Sensitivity Analysis'!D18</f>
        <v>0.05</v>
      </c>
      <c r="C21" s="101" t="s">
        <v>147</v>
      </c>
      <c r="H21" s="5">
        <f t="shared" si="9"/>
        <v>2007</v>
      </c>
      <c r="I21" s="9">
        <f t="shared" si="10"/>
        <v>1.1025</v>
      </c>
      <c r="J21" s="6">
        <v>50</v>
      </c>
      <c r="K21" s="10">
        <v>0.02</v>
      </c>
      <c r="L21" s="7">
        <f t="shared" si="11"/>
        <v>110250</v>
      </c>
      <c r="M21" s="7">
        <f t="shared" si="12"/>
        <v>22050</v>
      </c>
      <c r="N21" s="8">
        <f t="shared" si="13"/>
        <v>4410000</v>
      </c>
      <c r="O21" s="8">
        <f t="shared" si="14"/>
        <v>2205000</v>
      </c>
    </row>
    <row r="22" spans="8:15" ht="15">
      <c r="H22" s="5">
        <f t="shared" si="9"/>
        <v>2008</v>
      </c>
      <c r="I22" s="9">
        <f t="shared" si="10"/>
        <v>1.1576250000000001</v>
      </c>
      <c r="J22" s="6">
        <v>50</v>
      </c>
      <c r="K22" s="10">
        <v>0.015</v>
      </c>
      <c r="L22" s="7">
        <f t="shared" si="11"/>
        <v>115762.50000000003</v>
      </c>
      <c r="M22" s="7">
        <f t="shared" si="12"/>
        <v>17364.375000000004</v>
      </c>
      <c r="N22" s="8">
        <f t="shared" si="13"/>
        <v>4919906.250000002</v>
      </c>
      <c r="O22" s="8">
        <f t="shared" si="14"/>
        <v>2894062.500000001</v>
      </c>
    </row>
    <row r="23" spans="8:15" ht="15">
      <c r="H23" s="5">
        <f t="shared" si="9"/>
        <v>2009</v>
      </c>
      <c r="I23" s="9">
        <f t="shared" si="10"/>
        <v>1.2155062500000002</v>
      </c>
      <c r="J23" s="6">
        <v>50</v>
      </c>
      <c r="K23" s="10">
        <v>0.01</v>
      </c>
      <c r="L23" s="7">
        <f t="shared" si="11"/>
        <v>121550.62500000003</v>
      </c>
      <c r="M23" s="7">
        <f t="shared" si="12"/>
        <v>12155.062500000002</v>
      </c>
      <c r="N23" s="8">
        <f t="shared" si="13"/>
        <v>5469778.125000002</v>
      </c>
      <c r="O23" s="8">
        <f t="shared" si="14"/>
        <v>3646518.750000002</v>
      </c>
    </row>
    <row r="24" spans="8:15" ht="15">
      <c r="H24" s="5">
        <f t="shared" si="9"/>
        <v>2010</v>
      </c>
      <c r="I24" s="9">
        <f t="shared" si="10"/>
        <v>1.2762815625000004</v>
      </c>
      <c r="J24" s="6">
        <v>50</v>
      </c>
      <c r="K24" s="10">
        <v>0.01</v>
      </c>
      <c r="L24" s="7">
        <f t="shared" si="11"/>
        <v>127628.15625000006</v>
      </c>
      <c r="M24" s="7">
        <f t="shared" si="12"/>
        <v>12762.815625000005</v>
      </c>
      <c r="N24" s="8">
        <f t="shared" si="13"/>
        <v>5743267.031250003</v>
      </c>
      <c r="O24" s="8">
        <f t="shared" si="14"/>
        <v>4147915.0781250014</v>
      </c>
    </row>
    <row r="25" spans="8:15" ht="15">
      <c r="H25" s="5">
        <f t="shared" si="9"/>
        <v>2011</v>
      </c>
      <c r="I25" s="9">
        <f t="shared" si="10"/>
        <v>1.3400956406250004</v>
      </c>
      <c r="J25" s="6">
        <v>50</v>
      </c>
      <c r="K25" s="10">
        <v>0.01</v>
      </c>
      <c r="L25" s="7">
        <f t="shared" si="11"/>
        <v>134009.56406250005</v>
      </c>
      <c r="M25" s="7">
        <f t="shared" si="12"/>
        <v>13400.956406250005</v>
      </c>
      <c r="N25" s="8">
        <f t="shared" si="13"/>
        <v>6030430.382812503</v>
      </c>
      <c r="O25" s="8">
        <f t="shared" si="14"/>
        <v>4355310.832031252</v>
      </c>
    </row>
    <row r="26" spans="8:15" ht="15">
      <c r="H26" s="2" t="s">
        <v>19</v>
      </c>
      <c r="I26" s="1"/>
      <c r="J26" s="1"/>
      <c r="K26" s="1"/>
      <c r="L26" s="1"/>
      <c r="M26" s="1"/>
      <c r="O26" s="11">
        <f>SUM(O19:O25)</f>
        <v>18036307.160156257</v>
      </c>
    </row>
  </sheetData>
  <mergeCells count="1">
    <mergeCell ref="B1:H1"/>
  </mergeCells>
  <conditionalFormatting sqref="B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8"/>
  <dimension ref="B1:N139"/>
  <sheetViews>
    <sheetView workbookViewId="0" topLeftCell="A1">
      <selection activeCell="A1" sqref="A1"/>
    </sheetView>
  </sheetViews>
  <sheetFormatPr defaultColWidth="9.140625" defaultRowHeight="12.75"/>
  <cols>
    <col min="1" max="1" width="0.9921875" style="16" customWidth="1"/>
    <col min="2" max="2" width="13.57421875" style="16" bestFit="1" customWidth="1"/>
    <col min="3" max="3" width="15.28125" style="16" bestFit="1" customWidth="1"/>
    <col min="4" max="4" width="14.00390625" style="16" bestFit="1" customWidth="1"/>
    <col min="5" max="5" width="16.00390625" style="16" bestFit="1" customWidth="1"/>
    <col min="6" max="6" width="12.28125" style="16" bestFit="1" customWidth="1"/>
    <col min="7" max="8" width="12.57421875" style="16" bestFit="1" customWidth="1"/>
    <col min="9" max="9" width="14.28125" style="16" bestFit="1" customWidth="1"/>
    <col min="10" max="10" width="14.7109375" style="16" bestFit="1" customWidth="1"/>
    <col min="11" max="11" width="12.57421875" style="16" bestFit="1" customWidth="1"/>
    <col min="12" max="12" width="12.421875" style="16" customWidth="1"/>
    <col min="13" max="13" width="14.28125" style="16" customWidth="1"/>
    <col min="14" max="14" width="12.57421875" style="16" customWidth="1"/>
    <col min="15" max="15" width="11.421875" style="16" customWidth="1"/>
    <col min="16" max="16384" width="9.140625" style="16" customWidth="1"/>
  </cols>
  <sheetData>
    <row r="1" spans="2:8" ht="12.75">
      <c r="B1" s="275">
        <f>IF('ERR &amp; Sensitivity Analysis'!$I$10="N","Note: Current calculations are based on user input and are not the original MCC estimates.",IF('ERR &amp; Sensitivity Analysis'!$I$11="N","Note: Current calculations are based on user input and are not the original MCC estimates.",0))</f>
        <v>0</v>
      </c>
      <c r="C1" s="275"/>
      <c r="D1" s="275"/>
      <c r="E1" s="275"/>
      <c r="F1" s="275"/>
      <c r="G1" s="275"/>
      <c r="H1" s="275"/>
    </row>
    <row r="2" s="94" customFormat="1" ht="20.25">
      <c r="B2" s="112" t="s">
        <v>109</v>
      </c>
    </row>
    <row r="3" s="94" customFormat="1" ht="20.25">
      <c r="B3" s="112"/>
    </row>
    <row r="4" ht="5.25" customHeight="1" thickBot="1"/>
    <row r="5" spans="2:11" ht="38.25">
      <c r="B5" s="17" t="s">
        <v>22</v>
      </c>
      <c r="C5" s="18" t="str">
        <f>Demand!C33</f>
        <v>Chemical Plant</v>
      </c>
      <c r="D5" s="18" t="str">
        <f>Demand!D33</f>
        <v>Power</v>
      </c>
      <c r="E5" s="18" t="str">
        <f>Demand!E33</f>
        <v>Tbilgazi</v>
      </c>
      <c r="F5" s="18" t="str">
        <f>Demand!F33</f>
        <v>Saktsementi</v>
      </c>
      <c r="G5" s="18" t="str">
        <f>Demand!G33</f>
        <v>Itera</v>
      </c>
      <c r="H5" s="18" t="str">
        <f>Demand!H33</f>
        <v>West Georgia</v>
      </c>
      <c r="I5" s="18" t="str">
        <f>Demand!I33</f>
        <v>Transit Armenia</v>
      </c>
      <c r="J5" s="19" t="s">
        <v>32</v>
      </c>
      <c r="K5" s="91" t="s">
        <v>90</v>
      </c>
    </row>
    <row r="6" spans="2:13" ht="12.75">
      <c r="B6" s="20">
        <f>Demand!A34</f>
        <v>2004</v>
      </c>
      <c r="C6" s="21">
        <f>Demand!C34</f>
        <v>0.21</v>
      </c>
      <c r="D6" s="21">
        <f>Demand!D34</f>
        <v>0.248</v>
      </c>
      <c r="E6" s="21">
        <f>Demand!E34</f>
        <v>0.356</v>
      </c>
      <c r="F6" s="21">
        <f>Demand!F34</f>
        <v>0.115</v>
      </c>
      <c r="G6" s="21">
        <f>Demand!G34</f>
        <v>0.1</v>
      </c>
      <c r="H6" s="21">
        <f>Demand!H34</f>
        <v>0</v>
      </c>
      <c r="I6" s="21">
        <f>Demand!I34</f>
        <v>1</v>
      </c>
      <c r="J6" s="22">
        <f>SUM(C6:I6)</f>
        <v>2.029</v>
      </c>
      <c r="K6" s="80"/>
      <c r="L6" s="23"/>
      <c r="M6" s="23"/>
    </row>
    <row r="7" spans="2:13" ht="12.75">
      <c r="B7" s="20">
        <f>Demand!A35</f>
        <v>2005</v>
      </c>
      <c r="C7" s="21">
        <f>Demand!C35</f>
        <v>0.25</v>
      </c>
      <c r="D7" s="21">
        <f>Demand!D35</f>
        <v>0.58</v>
      </c>
      <c r="E7" s="21">
        <f>Demand!E35</f>
        <v>0.39</v>
      </c>
      <c r="F7" s="21">
        <f>Demand!F35</f>
        <v>0.18</v>
      </c>
      <c r="G7" s="21">
        <f>Demand!G35</f>
        <v>0.11</v>
      </c>
      <c r="H7" s="21">
        <f>Demand!H35</f>
        <v>0.05</v>
      </c>
      <c r="I7" s="21">
        <f>Demand!I35</f>
        <v>1.05</v>
      </c>
      <c r="J7" s="22">
        <f aca="true" t="shared" si="0" ref="J7:J22">SUM(C7:I7)</f>
        <v>2.6100000000000003</v>
      </c>
      <c r="K7" s="104">
        <f>(J7-J6)/J6</f>
        <v>0.28634795465746693</v>
      </c>
      <c r="L7" s="23"/>
      <c r="M7" s="23"/>
    </row>
    <row r="8" spans="2:13" ht="12.75">
      <c r="B8" s="20">
        <f>Demand!A36</f>
        <v>2006</v>
      </c>
      <c r="C8" s="21">
        <f>Demand!C36</f>
        <v>0.3</v>
      </c>
      <c r="D8" s="21">
        <f>Demand!D36</f>
        <v>0.942</v>
      </c>
      <c r="E8" s="21">
        <f>Demand!E36</f>
        <v>0.42</v>
      </c>
      <c r="F8" s="21">
        <f>Demand!F36</f>
        <v>0.198</v>
      </c>
      <c r="G8" s="21">
        <f>Demand!G36</f>
        <v>0.12</v>
      </c>
      <c r="H8" s="21">
        <f>Demand!H36</f>
        <v>0.07</v>
      </c>
      <c r="I8" s="21">
        <f>Demand!I36</f>
        <v>1.1025</v>
      </c>
      <c r="J8" s="22">
        <f t="shared" si="0"/>
        <v>3.1525</v>
      </c>
      <c r="K8" s="104">
        <f aca="true" t="shared" si="1" ref="K8:K22">(J8-J7)/J7</f>
        <v>0.207854406130268</v>
      </c>
      <c r="L8" s="23"/>
      <c r="M8" s="23"/>
    </row>
    <row r="9" spans="2:11" ht="12.75">
      <c r="B9" s="20">
        <f>Demand!A37</f>
        <v>2007</v>
      </c>
      <c r="C9" s="21">
        <f>Demand!C37</f>
        <v>1.5</v>
      </c>
      <c r="D9" s="21">
        <f>Demand!D37</f>
        <v>1.042</v>
      </c>
      <c r="E9" s="21">
        <f>Demand!E37</f>
        <v>0.46</v>
      </c>
      <c r="F9" s="21">
        <f>Demand!F37</f>
        <v>0.2</v>
      </c>
      <c r="G9" s="21">
        <f>Demand!G37</f>
        <v>0.14</v>
      </c>
      <c r="H9" s="21">
        <f>Demand!H37</f>
        <v>0.07350000000000001</v>
      </c>
      <c r="I9" s="21">
        <f>Demand!I37</f>
        <v>1.1576250000000001</v>
      </c>
      <c r="J9" s="22">
        <f t="shared" si="0"/>
        <v>4.573125</v>
      </c>
      <c r="K9" s="104">
        <f t="shared" si="1"/>
        <v>0.4506344171292626</v>
      </c>
    </row>
    <row r="10" spans="2:11" ht="12.75">
      <c r="B10" s="20">
        <f>Demand!A38</f>
        <v>2008</v>
      </c>
      <c r="C10" s="21">
        <f>Demand!C38</f>
        <v>1.5</v>
      </c>
      <c r="D10" s="21">
        <f>Demand!D38</f>
        <v>1.1</v>
      </c>
      <c r="E10" s="21">
        <f>Demand!E38</f>
        <v>0.5</v>
      </c>
      <c r="F10" s="21">
        <f>Demand!F38</f>
        <v>0.22</v>
      </c>
      <c r="G10" s="21">
        <f>Demand!G38</f>
        <v>0.15</v>
      </c>
      <c r="H10" s="21">
        <f>Demand!H38</f>
        <v>0.07717500000000001</v>
      </c>
      <c r="I10" s="21">
        <f>Demand!I38</f>
        <v>1.2155062500000002</v>
      </c>
      <c r="J10" s="22">
        <f t="shared" si="0"/>
        <v>4.76268125</v>
      </c>
      <c r="K10" s="104">
        <f t="shared" si="1"/>
        <v>0.04145004783381164</v>
      </c>
    </row>
    <row r="11" spans="2:11" ht="12.75">
      <c r="B11" s="20">
        <f>Demand!A39</f>
        <v>2009</v>
      </c>
      <c r="C11" s="21">
        <f>Demand!C39</f>
        <v>1.5</v>
      </c>
      <c r="D11" s="21">
        <f>Demand!D39</f>
        <v>1.123</v>
      </c>
      <c r="E11" s="21">
        <f>Demand!E39</f>
        <v>0.55</v>
      </c>
      <c r="F11" s="21">
        <f>Demand!F39</f>
        <v>0.242</v>
      </c>
      <c r="G11" s="21">
        <f>Demand!G39</f>
        <v>0.16</v>
      </c>
      <c r="H11" s="21">
        <f>Demand!H39</f>
        <v>0.08103375000000002</v>
      </c>
      <c r="I11" s="21">
        <f>Demand!I39</f>
        <v>1.2762815625000004</v>
      </c>
      <c r="J11" s="22">
        <f t="shared" si="0"/>
        <v>4.9323153125</v>
      </c>
      <c r="K11" s="104">
        <f t="shared" si="1"/>
        <v>0.03561734527163667</v>
      </c>
    </row>
    <row r="12" spans="2:11" ht="12.75">
      <c r="B12" s="20">
        <f>Demand!A40</f>
        <v>2010</v>
      </c>
      <c r="C12" s="21">
        <f>Demand!C40</f>
        <v>1.5</v>
      </c>
      <c r="D12" s="21">
        <f>Demand!D40</f>
        <v>1.13</v>
      </c>
      <c r="E12" s="21">
        <f>Demand!E40</f>
        <v>0.5775000000000001</v>
      </c>
      <c r="F12" s="21">
        <f>Demand!F40</f>
        <v>0.248</v>
      </c>
      <c r="G12" s="21">
        <f>Demand!G40</f>
        <v>0.168</v>
      </c>
      <c r="H12" s="21">
        <f>Demand!H40</f>
        <v>0.08508543750000001</v>
      </c>
      <c r="I12" s="21">
        <f>Demand!I40</f>
        <v>1.3400956406250004</v>
      </c>
      <c r="J12" s="22">
        <f t="shared" si="0"/>
        <v>5.048681078125</v>
      </c>
      <c r="K12" s="104">
        <f t="shared" si="1"/>
        <v>0.02359252364302285</v>
      </c>
    </row>
    <row r="13" spans="2:11" ht="12.75">
      <c r="B13" s="20">
        <f>Demand!A41</f>
        <v>2011</v>
      </c>
      <c r="C13" s="21">
        <f>Demand!C41</f>
        <v>1.5</v>
      </c>
      <c r="D13" s="21">
        <f>Demand!D41</f>
        <v>1.13</v>
      </c>
      <c r="E13" s="21">
        <f>Demand!E41</f>
        <v>0.6063750000000001</v>
      </c>
      <c r="F13" s="21">
        <f>Demand!F41</f>
        <v>0.25</v>
      </c>
      <c r="G13" s="21">
        <f>Demand!G41</f>
        <v>0.17640000000000003</v>
      </c>
      <c r="H13" s="21">
        <f>Demand!H41</f>
        <v>0.08933970937500002</v>
      </c>
      <c r="I13" s="21">
        <f>Demand!I41</f>
        <v>1.4071004226562505</v>
      </c>
      <c r="J13" s="22">
        <f t="shared" si="0"/>
        <v>5.1592151320312505</v>
      </c>
      <c r="K13" s="104">
        <f t="shared" si="1"/>
        <v>0.021893649489006954</v>
      </c>
    </row>
    <row r="14" spans="2:11" ht="12.75">
      <c r="B14" s="20">
        <f>Demand!A42</f>
        <v>2012</v>
      </c>
      <c r="C14" s="21">
        <f>Demand!C42</f>
        <v>1.5</v>
      </c>
      <c r="D14" s="21">
        <f>Demand!D42</f>
        <v>1.13</v>
      </c>
      <c r="E14" s="21">
        <f>Demand!E42</f>
        <v>0.6366937500000002</v>
      </c>
      <c r="F14" s="21">
        <f>Demand!F42</f>
        <v>0.25</v>
      </c>
      <c r="G14" s="21">
        <f>Demand!G42</f>
        <v>0.18522000000000005</v>
      </c>
      <c r="H14" s="21">
        <f>Demand!H42</f>
        <v>0.09380669484375002</v>
      </c>
      <c r="I14" s="21">
        <f>Demand!I42</f>
        <v>1.477455443789063</v>
      </c>
      <c r="J14" s="22">
        <f t="shared" si="0"/>
        <v>5.273175888632813</v>
      </c>
      <c r="K14" s="104">
        <f t="shared" si="1"/>
        <v>0.022088777785991356</v>
      </c>
    </row>
    <row r="15" spans="2:11" ht="12.75">
      <c r="B15" s="20">
        <f>Demand!A43</f>
        <v>2013</v>
      </c>
      <c r="C15" s="21">
        <f>Demand!C43</f>
        <v>1.5</v>
      </c>
      <c r="D15" s="21">
        <f>Demand!D43</f>
        <v>1.13</v>
      </c>
      <c r="E15" s="21">
        <f>Demand!E43</f>
        <v>0.6685284375000002</v>
      </c>
      <c r="F15" s="21">
        <f>Demand!F43</f>
        <v>0.25</v>
      </c>
      <c r="G15" s="21">
        <f>Demand!G43</f>
        <v>0.19448100000000007</v>
      </c>
      <c r="H15" s="21">
        <f>Demand!H43</f>
        <v>0.09849702958593753</v>
      </c>
      <c r="I15" s="21">
        <f>Demand!I43</f>
        <v>1.5513282159785162</v>
      </c>
      <c r="J15" s="22">
        <f t="shared" si="0"/>
        <v>5.392834683064454</v>
      </c>
      <c r="K15" s="104">
        <f t="shared" si="1"/>
        <v>0.0226919786024177</v>
      </c>
    </row>
    <row r="16" spans="2:11" ht="12.75">
      <c r="B16" s="20">
        <f>Demand!A44</f>
        <v>2014</v>
      </c>
      <c r="C16" s="21">
        <f>Demand!C44</f>
        <v>1.5</v>
      </c>
      <c r="D16" s="21">
        <f>Demand!D44</f>
        <v>1.13</v>
      </c>
      <c r="E16" s="21">
        <f>Demand!E44</f>
        <v>0.7019548593750002</v>
      </c>
      <c r="F16" s="21">
        <f>Demand!F44</f>
        <v>0.25</v>
      </c>
      <c r="G16" s="21">
        <f>Demand!G44</f>
        <v>0.20420505000000008</v>
      </c>
      <c r="H16" s="21">
        <f>Demand!H44</f>
        <v>0.10342188106523442</v>
      </c>
      <c r="I16" s="21">
        <f>Demand!I44</f>
        <v>1.628894626777442</v>
      </c>
      <c r="J16" s="22">
        <f t="shared" si="0"/>
        <v>5.518476417217677</v>
      </c>
      <c r="K16" s="104">
        <f t="shared" si="1"/>
        <v>0.023297902038010944</v>
      </c>
    </row>
    <row r="17" spans="2:11" ht="12.75">
      <c r="B17" s="20">
        <f>Demand!A45</f>
        <v>2015</v>
      </c>
      <c r="C17" s="21">
        <f>Demand!C45</f>
        <v>1.5</v>
      </c>
      <c r="D17" s="21">
        <f>Demand!D45</f>
        <v>1.13</v>
      </c>
      <c r="E17" s="21">
        <f>Demand!E45</f>
        <v>0.7370526023437503</v>
      </c>
      <c r="F17" s="21">
        <f>Demand!F45</f>
        <v>0.25</v>
      </c>
      <c r="G17" s="21">
        <f>Demand!G45</f>
        <v>0.2144153025000001</v>
      </c>
      <c r="H17" s="21">
        <f>Demand!H45</f>
        <v>0.10859297511849615</v>
      </c>
      <c r="I17" s="21">
        <f>Demand!I45</f>
        <v>1.7103393581163142</v>
      </c>
      <c r="J17" s="22">
        <f t="shared" si="0"/>
        <v>5.650400238078561</v>
      </c>
      <c r="K17" s="104">
        <f t="shared" si="1"/>
        <v>0.023905841193645527</v>
      </c>
    </row>
    <row r="18" spans="2:11" ht="12.75">
      <c r="B18" s="20">
        <f>Demand!A46</f>
        <v>2016</v>
      </c>
      <c r="C18" s="21">
        <f>Demand!C46</f>
        <v>1.5</v>
      </c>
      <c r="D18" s="21">
        <f>Demand!D46</f>
        <v>1.13</v>
      </c>
      <c r="E18" s="21">
        <f>Demand!E46</f>
        <v>0.7739052324609378</v>
      </c>
      <c r="F18" s="21">
        <f>Demand!F46</f>
        <v>0.25</v>
      </c>
      <c r="G18" s="21">
        <f>Demand!G46</f>
        <v>0.2251360676250001</v>
      </c>
      <c r="H18" s="21">
        <f>Demand!H46</f>
        <v>0.11402262387442097</v>
      </c>
      <c r="I18" s="21">
        <f>Demand!I46</f>
        <v>1.79585632602213</v>
      </c>
      <c r="J18" s="22">
        <f t="shared" si="0"/>
        <v>5.788920249982489</v>
      </c>
      <c r="K18" s="104">
        <f t="shared" si="1"/>
        <v>0.02451507965231017</v>
      </c>
    </row>
    <row r="19" spans="2:11" ht="12.75">
      <c r="B19" s="20">
        <f>Demand!A47</f>
        <v>2017</v>
      </c>
      <c r="C19" s="21">
        <f>Demand!C47</f>
        <v>1.5</v>
      </c>
      <c r="D19" s="21">
        <f>Demand!D47</f>
        <v>1.13</v>
      </c>
      <c r="E19" s="21">
        <f>Demand!E47</f>
        <v>0.8126004940839847</v>
      </c>
      <c r="F19" s="21">
        <f>Demand!F47</f>
        <v>0.25</v>
      </c>
      <c r="G19" s="21">
        <f>Demand!G47</f>
        <v>0.23639287100625012</v>
      </c>
      <c r="H19" s="21">
        <f>Demand!H47</f>
        <v>0.11972375506814202</v>
      </c>
      <c r="I19" s="21">
        <f>Demand!I47</f>
        <v>1.8856491423232367</v>
      </c>
      <c r="J19" s="22">
        <f t="shared" si="0"/>
        <v>5.934366262481613</v>
      </c>
      <c r="K19" s="104">
        <f t="shared" si="1"/>
        <v>0.02512489483674682</v>
      </c>
    </row>
    <row r="20" spans="2:11" ht="12.75">
      <c r="B20" s="20">
        <f>Demand!A48</f>
        <v>2018</v>
      </c>
      <c r="C20" s="21">
        <f>Demand!C48</f>
        <v>1.5</v>
      </c>
      <c r="D20" s="21">
        <f>Demand!D48</f>
        <v>1.13</v>
      </c>
      <c r="E20" s="21">
        <f>Demand!E48</f>
        <v>0.853230518788184</v>
      </c>
      <c r="F20" s="21">
        <f>Demand!F48</f>
        <v>0.25</v>
      </c>
      <c r="G20" s="21">
        <f>Demand!G48</f>
        <v>0.24821251455656262</v>
      </c>
      <c r="H20" s="21">
        <f>Demand!H48</f>
        <v>0.12570994282154913</v>
      </c>
      <c r="I20" s="21">
        <f>Demand!I48</f>
        <v>1.9799315994393987</v>
      </c>
      <c r="J20" s="22">
        <f t="shared" si="0"/>
        <v>6.087084575605694</v>
      </c>
      <c r="K20" s="104">
        <f t="shared" si="1"/>
        <v>0.025734561429010507</v>
      </c>
    </row>
    <row r="21" spans="2:11" ht="12.75">
      <c r="B21" s="20">
        <f>Demand!A49</f>
        <v>2019</v>
      </c>
      <c r="C21" s="21">
        <f>Demand!C49</f>
        <v>1.5</v>
      </c>
      <c r="D21" s="21">
        <f>Demand!D49</f>
        <v>1.13</v>
      </c>
      <c r="E21" s="21">
        <f>Demand!E49</f>
        <v>0.8958920447275932</v>
      </c>
      <c r="F21" s="21">
        <f>Demand!F49</f>
        <v>0.25</v>
      </c>
      <c r="G21" s="21">
        <f>Demand!G49</f>
        <v>0.26062314028439076</v>
      </c>
      <c r="H21" s="21">
        <f>Demand!H49</f>
        <v>0.13199543996262658</v>
      </c>
      <c r="I21" s="21">
        <f>Demand!I49</f>
        <v>2.0789281794113688</v>
      </c>
      <c r="J21" s="22">
        <f t="shared" si="0"/>
        <v>6.247438804385979</v>
      </c>
      <c r="K21" s="104">
        <f t="shared" si="1"/>
        <v>0.02634335481765986</v>
      </c>
    </row>
    <row r="22" spans="2:11" ht="12.75">
      <c r="B22" s="20">
        <f>Demand!A50</f>
        <v>2020</v>
      </c>
      <c r="C22" s="21">
        <f>Demand!C50</f>
        <v>1.5</v>
      </c>
      <c r="D22" s="21">
        <f>Demand!D50</f>
        <v>1.13</v>
      </c>
      <c r="E22" s="21">
        <f>Demand!E50</f>
        <v>0.9406866469639729</v>
      </c>
      <c r="F22" s="21">
        <f>Demand!F50</f>
        <v>0.25</v>
      </c>
      <c r="G22" s="21">
        <f>Demand!G50</f>
        <v>0.2736542972986103</v>
      </c>
      <c r="H22" s="21">
        <f>Demand!H50</f>
        <v>0.1385952119607579</v>
      </c>
      <c r="I22" s="21">
        <f>Demand!I50</f>
        <v>2.1828745883819374</v>
      </c>
      <c r="J22" s="22">
        <f t="shared" si="0"/>
        <v>6.415810744605279</v>
      </c>
      <c r="K22" s="104">
        <f t="shared" si="1"/>
        <v>0.02695055453782047</v>
      </c>
    </row>
    <row r="23" spans="2:10" ht="11.25">
      <c r="B23" s="99"/>
      <c r="C23" s="100"/>
      <c r="D23" s="100"/>
      <c r="E23" s="100"/>
      <c r="F23" s="100"/>
      <c r="G23" s="100"/>
      <c r="H23" s="100"/>
      <c r="I23" s="100"/>
      <c r="J23" s="100"/>
    </row>
    <row r="24" spans="2:9" ht="13.5" thickBot="1">
      <c r="B24" s="101" t="s">
        <v>69</v>
      </c>
      <c r="C24" s="24"/>
      <c r="D24" s="24"/>
      <c r="E24" s="24"/>
      <c r="F24" s="24"/>
      <c r="G24" s="24"/>
      <c r="I24" s="164"/>
    </row>
    <row r="25" spans="2:10" ht="48" customHeight="1">
      <c r="B25" s="17" t="s">
        <v>22</v>
      </c>
      <c r="C25" s="18" t="s">
        <v>32</v>
      </c>
      <c r="D25" s="281" t="s">
        <v>31</v>
      </c>
      <c r="E25" s="281"/>
      <c r="F25" s="281" t="s">
        <v>33</v>
      </c>
      <c r="G25" s="281"/>
      <c r="H25" s="18" t="s">
        <v>53</v>
      </c>
      <c r="I25" s="18" t="s">
        <v>42</v>
      </c>
      <c r="J25" s="19" t="s">
        <v>52</v>
      </c>
    </row>
    <row r="26" spans="2:12" ht="11.25">
      <c r="B26" s="25">
        <f>B6</f>
        <v>2004</v>
      </c>
      <c r="C26" s="21">
        <f>J6</f>
        <v>2.029</v>
      </c>
      <c r="D26" s="26">
        <v>0.05</v>
      </c>
      <c r="E26" s="27">
        <f>D26*1000000*C26</f>
        <v>101450</v>
      </c>
      <c r="F26" s="28">
        <v>0.05</v>
      </c>
      <c r="G26" s="27">
        <f>F26*C26*1000000</f>
        <v>101450</v>
      </c>
      <c r="H26" s="27">
        <f>E26-G26</f>
        <v>0</v>
      </c>
      <c r="I26" s="29">
        <v>65</v>
      </c>
      <c r="J26" s="30">
        <f>I26*H26</f>
        <v>0</v>
      </c>
      <c r="K26" s="168">
        <f>'ERR &amp; Sensitivity Analysis'!D17</f>
        <v>0.02</v>
      </c>
      <c r="L26" s="70" t="s">
        <v>142</v>
      </c>
    </row>
    <row r="27" spans="2:10" ht="11.25">
      <c r="B27" s="25">
        <f>B7</f>
        <v>2005</v>
      </c>
      <c r="C27" s="21">
        <f>J7</f>
        <v>2.6100000000000003</v>
      </c>
      <c r="D27" s="26">
        <v>0.05</v>
      </c>
      <c r="E27" s="27">
        <f>D27*1000000*C27</f>
        <v>130500.00000000001</v>
      </c>
      <c r="F27" s="28">
        <v>0.05</v>
      </c>
      <c r="G27" s="27">
        <f>F27*C27*1000000</f>
        <v>130500.00000000003</v>
      </c>
      <c r="H27" s="27">
        <f>E27-G27</f>
        <v>0</v>
      </c>
      <c r="I27" s="29">
        <v>65</v>
      </c>
      <c r="J27" s="30">
        <f>I27*H27</f>
        <v>0</v>
      </c>
    </row>
    <row r="28" spans="2:10" ht="11.25">
      <c r="B28" s="25">
        <f>B8</f>
        <v>2006</v>
      </c>
      <c r="C28" s="21">
        <f>J8</f>
        <v>3.1525</v>
      </c>
      <c r="D28" s="26">
        <v>0.05</v>
      </c>
      <c r="E28" s="27">
        <f>D28*1000000*C28</f>
        <v>157625</v>
      </c>
      <c r="F28" s="28">
        <v>0.04</v>
      </c>
      <c r="G28" s="27">
        <f>F28*C28*1000000</f>
        <v>126099.99999999999</v>
      </c>
      <c r="H28" s="27">
        <f>E28-G28</f>
        <v>31525.000000000015</v>
      </c>
      <c r="I28" s="29">
        <f>I27+(I27*$K$26)</f>
        <v>66.3</v>
      </c>
      <c r="J28" s="30">
        <f>I28*H28</f>
        <v>2090107.500000001</v>
      </c>
    </row>
    <row r="29" spans="2:10" ht="11.25">
      <c r="B29" s="25">
        <f>B9</f>
        <v>2007</v>
      </c>
      <c r="C29" s="21">
        <f>J9</f>
        <v>4.573125</v>
      </c>
      <c r="D29" s="26">
        <v>0.05</v>
      </c>
      <c r="E29" s="27">
        <f>D29*1000000*C29</f>
        <v>228656.25</v>
      </c>
      <c r="F29" s="28">
        <v>0.03</v>
      </c>
      <c r="G29" s="27">
        <f>F29*C29*1000000</f>
        <v>137193.75</v>
      </c>
      <c r="H29" s="27">
        <f>E29-G29</f>
        <v>91462.5</v>
      </c>
      <c r="I29" s="29">
        <f aca="true" t="shared" si="2" ref="I29:I42">I28+(I28*$K$26)</f>
        <v>67.62599999999999</v>
      </c>
      <c r="J29" s="30">
        <f>I29*H29</f>
        <v>6185243.024999999</v>
      </c>
    </row>
    <row r="30" spans="2:10" ht="11.25">
      <c r="B30" s="25">
        <f aca="true" t="shared" si="3" ref="B30:B42">B10</f>
        <v>2008</v>
      </c>
      <c r="C30" s="21">
        <f aca="true" t="shared" si="4" ref="C30:C42">J10</f>
        <v>4.76268125</v>
      </c>
      <c r="D30" s="26">
        <v>0.05</v>
      </c>
      <c r="E30" s="27">
        <f aca="true" t="shared" si="5" ref="E30:E42">D30*1000000*C30</f>
        <v>238134.0625</v>
      </c>
      <c r="F30" s="28">
        <v>0.02</v>
      </c>
      <c r="G30" s="27">
        <f aca="true" t="shared" si="6" ref="G30:G42">F30*C30*1000000</f>
        <v>95253.62500000001</v>
      </c>
      <c r="H30" s="27">
        <f aca="true" t="shared" si="7" ref="H30:H42">E30-G30</f>
        <v>142880.4375</v>
      </c>
      <c r="I30" s="29">
        <f t="shared" si="2"/>
        <v>68.97851999999999</v>
      </c>
      <c r="J30" s="30">
        <f aca="true" t="shared" si="8" ref="J30:J42">I30*H30</f>
        <v>9855681.115702499</v>
      </c>
    </row>
    <row r="31" spans="2:10" ht="11.25">
      <c r="B31" s="25">
        <f t="shared" si="3"/>
        <v>2009</v>
      </c>
      <c r="C31" s="21">
        <f t="shared" si="4"/>
        <v>4.9323153125</v>
      </c>
      <c r="D31" s="26">
        <v>0.05</v>
      </c>
      <c r="E31" s="27">
        <f t="shared" si="5"/>
        <v>246615.765625</v>
      </c>
      <c r="F31" s="28">
        <v>0.02</v>
      </c>
      <c r="G31" s="27">
        <f t="shared" si="6"/>
        <v>98646.30625000001</v>
      </c>
      <c r="H31" s="27">
        <f t="shared" si="7"/>
        <v>147969.45937499998</v>
      </c>
      <c r="I31" s="29">
        <f t="shared" si="2"/>
        <v>70.3580904</v>
      </c>
      <c r="J31" s="30">
        <f t="shared" si="8"/>
        <v>10410848.599145375</v>
      </c>
    </row>
    <row r="32" spans="2:10" ht="11.25">
      <c r="B32" s="25">
        <f t="shared" si="3"/>
        <v>2010</v>
      </c>
      <c r="C32" s="21">
        <f t="shared" si="4"/>
        <v>5.048681078125</v>
      </c>
      <c r="D32" s="26">
        <v>0.05</v>
      </c>
      <c r="E32" s="27">
        <f t="shared" si="5"/>
        <v>252434.05390625</v>
      </c>
      <c r="F32" s="28">
        <v>0.02</v>
      </c>
      <c r="G32" s="27">
        <f t="shared" si="6"/>
        <v>100973.6215625</v>
      </c>
      <c r="H32" s="27">
        <f t="shared" si="7"/>
        <v>151460.43234374997</v>
      </c>
      <c r="I32" s="29">
        <f t="shared" si="2"/>
        <v>71.76525220799999</v>
      </c>
      <c r="J32" s="30">
        <f t="shared" si="8"/>
        <v>10869596.126681937</v>
      </c>
    </row>
    <row r="33" spans="2:10" ht="11.25">
      <c r="B33" s="25">
        <f t="shared" si="3"/>
        <v>2011</v>
      </c>
      <c r="C33" s="21">
        <f t="shared" si="4"/>
        <v>5.1592151320312505</v>
      </c>
      <c r="D33" s="26">
        <v>0.05</v>
      </c>
      <c r="E33" s="27">
        <f t="shared" si="5"/>
        <v>257960.75660156252</v>
      </c>
      <c r="F33" s="28">
        <v>0.02</v>
      </c>
      <c r="G33" s="27">
        <f t="shared" si="6"/>
        <v>103184.30264062501</v>
      </c>
      <c r="H33" s="27">
        <f t="shared" si="7"/>
        <v>154776.4539609375</v>
      </c>
      <c r="I33" s="29">
        <f t="shared" si="2"/>
        <v>73.20055725216</v>
      </c>
      <c r="J33" s="30">
        <f t="shared" si="8"/>
        <v>11329722.679453911</v>
      </c>
    </row>
    <row r="34" spans="2:10" ht="11.25">
      <c r="B34" s="25">
        <f t="shared" si="3"/>
        <v>2012</v>
      </c>
      <c r="C34" s="21">
        <f t="shared" si="4"/>
        <v>5.273175888632813</v>
      </c>
      <c r="D34" s="26">
        <v>0.05</v>
      </c>
      <c r="E34" s="27">
        <f t="shared" si="5"/>
        <v>263658.79443164065</v>
      </c>
      <c r="F34" s="28">
        <v>0.02</v>
      </c>
      <c r="G34" s="27">
        <f t="shared" si="6"/>
        <v>105463.51777265627</v>
      </c>
      <c r="H34" s="27">
        <f t="shared" si="7"/>
        <v>158195.27665898437</v>
      </c>
      <c r="I34" s="29">
        <f t="shared" si="2"/>
        <v>74.6645683972032</v>
      </c>
      <c r="J34" s="30">
        <f t="shared" si="8"/>
        <v>11811582.054219222</v>
      </c>
    </row>
    <row r="35" spans="2:10" ht="11.25">
      <c r="B35" s="25">
        <f t="shared" si="3"/>
        <v>2013</v>
      </c>
      <c r="C35" s="21">
        <f t="shared" si="4"/>
        <v>5.392834683064454</v>
      </c>
      <c r="D35" s="26">
        <v>0.05</v>
      </c>
      <c r="E35" s="27">
        <f t="shared" si="5"/>
        <v>269641.7341532227</v>
      </c>
      <c r="F35" s="28">
        <v>0.02</v>
      </c>
      <c r="G35" s="27">
        <f t="shared" si="6"/>
        <v>107856.69366128907</v>
      </c>
      <c r="H35" s="27">
        <f t="shared" si="7"/>
        <v>161785.04049193364</v>
      </c>
      <c r="I35" s="29">
        <f t="shared" si="2"/>
        <v>76.15785976514726</v>
      </c>
      <c r="J35" s="30">
        <f t="shared" si="8"/>
        <v>12321202.425883355</v>
      </c>
    </row>
    <row r="36" spans="2:10" ht="11.25">
      <c r="B36" s="25">
        <f t="shared" si="3"/>
        <v>2014</v>
      </c>
      <c r="C36" s="21">
        <f t="shared" si="4"/>
        <v>5.518476417217677</v>
      </c>
      <c r="D36" s="26">
        <v>0.05</v>
      </c>
      <c r="E36" s="27">
        <f t="shared" si="5"/>
        <v>275923.82086088386</v>
      </c>
      <c r="F36" s="28">
        <v>0.02</v>
      </c>
      <c r="G36" s="27">
        <f t="shared" si="6"/>
        <v>110369.52834435354</v>
      </c>
      <c r="H36" s="27">
        <f t="shared" si="7"/>
        <v>165554.29251653032</v>
      </c>
      <c r="I36" s="29">
        <f t="shared" si="2"/>
        <v>77.68101696045021</v>
      </c>
      <c r="J36" s="30">
        <f t="shared" si="8"/>
        <v>12860425.804851927</v>
      </c>
    </row>
    <row r="37" spans="2:10" ht="11.25">
      <c r="B37" s="25">
        <f t="shared" si="3"/>
        <v>2015</v>
      </c>
      <c r="C37" s="21">
        <f t="shared" si="4"/>
        <v>5.650400238078561</v>
      </c>
      <c r="D37" s="26">
        <v>0.05</v>
      </c>
      <c r="E37" s="27">
        <f t="shared" si="5"/>
        <v>282520.011903928</v>
      </c>
      <c r="F37" s="28">
        <v>0.02</v>
      </c>
      <c r="G37" s="27">
        <f t="shared" si="6"/>
        <v>113008.00476157122</v>
      </c>
      <c r="H37" s="27">
        <f t="shared" si="7"/>
        <v>169512.00714235677</v>
      </c>
      <c r="I37" s="29">
        <f t="shared" si="2"/>
        <v>79.23463729965921</v>
      </c>
      <c r="J37" s="30">
        <f t="shared" si="8"/>
        <v>13431222.40386188</v>
      </c>
    </row>
    <row r="38" spans="2:10" ht="11.25">
      <c r="B38" s="25">
        <f t="shared" si="3"/>
        <v>2016</v>
      </c>
      <c r="C38" s="21">
        <f t="shared" si="4"/>
        <v>5.788920249982489</v>
      </c>
      <c r="D38" s="26">
        <v>0.05</v>
      </c>
      <c r="E38" s="27">
        <f t="shared" si="5"/>
        <v>289446.01249912445</v>
      </c>
      <c r="F38" s="28">
        <v>0.02</v>
      </c>
      <c r="G38" s="27">
        <f t="shared" si="6"/>
        <v>115778.40499964978</v>
      </c>
      <c r="H38" s="27">
        <f t="shared" si="7"/>
        <v>173667.60749947466</v>
      </c>
      <c r="I38" s="29">
        <f t="shared" si="2"/>
        <v>80.81933004565239</v>
      </c>
      <c r="J38" s="30">
        <f t="shared" si="8"/>
        <v>14035699.688738858</v>
      </c>
    </row>
    <row r="39" spans="2:10" ht="11.25">
      <c r="B39" s="25">
        <f t="shared" si="3"/>
        <v>2017</v>
      </c>
      <c r="C39" s="21">
        <f t="shared" si="4"/>
        <v>5.934366262481613</v>
      </c>
      <c r="D39" s="26">
        <v>0.05</v>
      </c>
      <c r="E39" s="27">
        <f t="shared" si="5"/>
        <v>296718.31312408065</v>
      </c>
      <c r="F39" s="28">
        <v>0.02</v>
      </c>
      <c r="G39" s="27">
        <f t="shared" si="6"/>
        <v>118687.32524963227</v>
      </c>
      <c r="H39" s="27">
        <f t="shared" si="7"/>
        <v>178030.9878744484</v>
      </c>
      <c r="I39" s="29">
        <f t="shared" si="2"/>
        <v>82.43571664656544</v>
      </c>
      <c r="J39" s="30">
        <f t="shared" si="8"/>
        <v>14676112.070726154</v>
      </c>
    </row>
    <row r="40" spans="2:10" ht="11.25">
      <c r="B40" s="25">
        <f t="shared" si="3"/>
        <v>2018</v>
      </c>
      <c r="C40" s="21">
        <f t="shared" si="4"/>
        <v>6.087084575605694</v>
      </c>
      <c r="D40" s="26">
        <v>0.05</v>
      </c>
      <c r="E40" s="27">
        <f t="shared" si="5"/>
        <v>304354.2287802847</v>
      </c>
      <c r="F40" s="28">
        <v>0.02</v>
      </c>
      <c r="G40" s="27">
        <f t="shared" si="6"/>
        <v>121741.69151211387</v>
      </c>
      <c r="H40" s="27">
        <f t="shared" si="7"/>
        <v>182612.53726817082</v>
      </c>
      <c r="I40" s="29">
        <f t="shared" si="2"/>
        <v>84.08443097949674</v>
      </c>
      <c r="J40" s="30">
        <f t="shared" si="8"/>
        <v>15354871.285916287</v>
      </c>
    </row>
    <row r="41" spans="2:10" ht="11.25">
      <c r="B41" s="25">
        <f t="shared" si="3"/>
        <v>2019</v>
      </c>
      <c r="C41" s="21">
        <f t="shared" si="4"/>
        <v>6.247438804385979</v>
      </c>
      <c r="D41" s="26">
        <v>0.05</v>
      </c>
      <c r="E41" s="27">
        <f t="shared" si="5"/>
        <v>312371.94021929894</v>
      </c>
      <c r="F41" s="28">
        <v>0.02</v>
      </c>
      <c r="G41" s="27">
        <f t="shared" si="6"/>
        <v>124948.77608771958</v>
      </c>
      <c r="H41" s="27">
        <f t="shared" si="7"/>
        <v>187423.16413157934</v>
      </c>
      <c r="I41" s="29">
        <f t="shared" si="2"/>
        <v>85.76611959908668</v>
      </c>
      <c r="J41" s="30">
        <f t="shared" si="8"/>
        <v>16074557.510548286</v>
      </c>
    </row>
    <row r="42" spans="2:10" ht="11.25">
      <c r="B42" s="25">
        <f t="shared" si="3"/>
        <v>2020</v>
      </c>
      <c r="C42" s="21">
        <f t="shared" si="4"/>
        <v>6.415810744605279</v>
      </c>
      <c r="D42" s="26">
        <v>0.05</v>
      </c>
      <c r="E42" s="27">
        <f t="shared" si="5"/>
        <v>320790.537230264</v>
      </c>
      <c r="F42" s="28">
        <v>0.02</v>
      </c>
      <c r="G42" s="27">
        <f t="shared" si="6"/>
        <v>128316.21489210559</v>
      </c>
      <c r="H42" s="27">
        <f t="shared" si="7"/>
        <v>192474.32233815838</v>
      </c>
      <c r="I42" s="29">
        <f t="shared" si="2"/>
        <v>87.48144199106841</v>
      </c>
      <c r="J42" s="30">
        <f t="shared" si="8"/>
        <v>16837931.264395803</v>
      </c>
    </row>
    <row r="43" spans="2:10" s="36" customFormat="1" ht="11.25" thickBot="1">
      <c r="B43" s="31" t="s">
        <v>23</v>
      </c>
      <c r="C43" s="32">
        <f>SUM(C26:C42)</f>
        <v>84.57602563671081</v>
      </c>
      <c r="D43" s="33"/>
      <c r="E43" s="34">
        <f>SUM(E26:E42)</f>
        <v>4228801.28183554</v>
      </c>
      <c r="F43" s="33"/>
      <c r="G43" s="34">
        <f>SUM(G26:G42)</f>
        <v>1939471.7627342166</v>
      </c>
      <c r="H43" s="34">
        <f>SUM(H26:H42)</f>
        <v>2289329.519101324</v>
      </c>
      <c r="I43" s="33"/>
      <c r="J43" s="35">
        <f>SUM(J26:J42)</f>
        <v>178144803.5551255</v>
      </c>
    </row>
    <row r="45" ht="12" thickBot="1"/>
    <row r="46" spans="2:13" ht="15">
      <c r="B46" s="37"/>
      <c r="C46" s="38" t="s">
        <v>61</v>
      </c>
      <c r="D46" s="39">
        <v>17.4</v>
      </c>
      <c r="E46" s="39" t="s">
        <v>62</v>
      </c>
      <c r="F46" s="40"/>
      <c r="G46" s="39"/>
      <c r="H46" s="39"/>
      <c r="I46" s="39"/>
      <c r="J46" s="39"/>
      <c r="K46" s="39"/>
      <c r="L46" s="39"/>
      <c r="M46" s="41"/>
    </row>
    <row r="47" spans="2:13" ht="12.75">
      <c r="B47" s="282">
        <f>H43*1000</f>
        <v>2289329519.101324</v>
      </c>
      <c r="C47" s="283"/>
      <c r="D47" s="42">
        <f>B47*D46</f>
        <v>39834333632.36304</v>
      </c>
      <c r="E47" s="43" t="s">
        <v>62</v>
      </c>
      <c r="F47" s="43"/>
      <c r="G47" s="43"/>
      <c r="H47" s="43"/>
      <c r="I47" s="43"/>
      <c r="J47" s="43"/>
      <c r="K47" s="43"/>
      <c r="L47" s="43"/>
      <c r="M47" s="44"/>
    </row>
    <row r="48" spans="2:13" ht="12.75">
      <c r="B48" s="45"/>
      <c r="C48" s="43"/>
      <c r="D48" s="42">
        <f>D47/1000</f>
        <v>39834333.63236304</v>
      </c>
      <c r="E48" s="43" t="s">
        <v>63</v>
      </c>
      <c r="F48" s="43"/>
      <c r="G48" s="43"/>
      <c r="H48" s="43"/>
      <c r="I48" s="43"/>
      <c r="J48" s="43"/>
      <c r="K48" s="43"/>
      <c r="L48" s="43"/>
      <c r="M48" s="44"/>
    </row>
    <row r="49" spans="2:13" ht="11.25">
      <c r="B49" s="45"/>
      <c r="C49" s="43"/>
      <c r="D49" s="169">
        <v>5</v>
      </c>
      <c r="E49" s="43" t="s">
        <v>25</v>
      </c>
      <c r="F49" s="43"/>
      <c r="G49" s="43"/>
      <c r="H49" s="43"/>
      <c r="I49" s="43"/>
      <c r="J49" s="43"/>
      <c r="K49" s="43"/>
      <c r="L49" s="43"/>
      <c r="M49" s="44"/>
    </row>
    <row r="50" spans="2:13" ht="12" thickBot="1">
      <c r="B50" s="45"/>
      <c r="C50" s="46" t="s">
        <v>24</v>
      </c>
      <c r="D50" s="47"/>
      <c r="E50" s="43"/>
      <c r="F50" s="43"/>
      <c r="G50" s="43"/>
      <c r="H50" s="43"/>
      <c r="I50" s="43"/>
      <c r="J50" s="43"/>
      <c r="K50" s="43"/>
      <c r="L50" s="43"/>
      <c r="M50" s="44"/>
    </row>
    <row r="51" spans="2:13" ht="45">
      <c r="B51" s="48" t="s">
        <v>22</v>
      </c>
      <c r="C51" s="49" t="s">
        <v>64</v>
      </c>
      <c r="D51" s="49" t="s">
        <v>65</v>
      </c>
      <c r="E51" s="49" t="s">
        <v>50</v>
      </c>
      <c r="F51" s="49" t="s">
        <v>54</v>
      </c>
      <c r="G51" s="49" t="s">
        <v>54</v>
      </c>
      <c r="H51" s="49" t="s">
        <v>54</v>
      </c>
      <c r="I51" s="49" t="s">
        <v>54</v>
      </c>
      <c r="J51" s="49" t="s">
        <v>54</v>
      </c>
      <c r="K51" s="49" t="s">
        <v>54</v>
      </c>
      <c r="L51" s="43"/>
      <c r="M51" s="44"/>
    </row>
    <row r="52" spans="2:13" ht="11.25">
      <c r="B52" s="50"/>
      <c r="C52" s="51"/>
      <c r="D52" s="51"/>
      <c r="E52" s="51"/>
      <c r="F52" s="51">
        <f>$D$49</f>
        <v>5</v>
      </c>
      <c r="G52" s="51">
        <f>F52-1</f>
        <v>4</v>
      </c>
      <c r="H52" s="51">
        <f>G52-1</f>
        <v>3</v>
      </c>
      <c r="I52" s="51">
        <f>H52-1</f>
        <v>2</v>
      </c>
      <c r="J52" s="51">
        <f>I52-1</f>
        <v>1</v>
      </c>
      <c r="K52" s="51">
        <f>J52-1</f>
        <v>0</v>
      </c>
      <c r="L52" s="43"/>
      <c r="M52" s="44"/>
    </row>
    <row r="53" spans="2:13" ht="11.25">
      <c r="B53" s="25">
        <f aca="true" t="shared" si="9" ref="B53:B61">B27</f>
        <v>2005</v>
      </c>
      <c r="C53" s="52">
        <f>H27*1000</f>
        <v>0</v>
      </c>
      <c r="D53" s="52">
        <f aca="true" t="shared" si="10" ref="D53:D61">C53*$D$46/1000</f>
        <v>0</v>
      </c>
      <c r="E53" s="53">
        <f>$D$49*C53</f>
        <v>0</v>
      </c>
      <c r="F53" s="53">
        <v>0</v>
      </c>
      <c r="G53" s="53">
        <v>0</v>
      </c>
      <c r="H53" s="53">
        <f>$D52*$H$52</f>
        <v>0</v>
      </c>
      <c r="I53" s="53">
        <f>H53</f>
        <v>0</v>
      </c>
      <c r="J53" s="53">
        <f>I53</f>
        <v>0</v>
      </c>
      <c r="K53" s="54">
        <f>J53</f>
        <v>0</v>
      </c>
      <c r="L53" s="43"/>
      <c r="M53" s="44"/>
    </row>
    <row r="54" spans="2:13" ht="11.25">
      <c r="B54" s="25">
        <f t="shared" si="9"/>
        <v>2006</v>
      </c>
      <c r="C54" s="52">
        <f>H28*1000</f>
        <v>31525000.000000015</v>
      </c>
      <c r="D54" s="52">
        <f t="shared" si="10"/>
        <v>548535.0000000002</v>
      </c>
      <c r="E54" s="53">
        <f>$D$49*D54</f>
        <v>2742675.000000001</v>
      </c>
      <c r="F54" s="53">
        <f>E53</f>
        <v>0</v>
      </c>
      <c r="G54" s="53">
        <f>$D53*$G$52</f>
        <v>0</v>
      </c>
      <c r="H54" s="53">
        <f>$D53*$H$52</f>
        <v>0</v>
      </c>
      <c r="I54" s="53">
        <f aca="true" t="shared" si="11" ref="I54:I61">$D53*$I$52</f>
        <v>0</v>
      </c>
      <c r="J54" s="53">
        <f aca="true" t="shared" si="12" ref="J54:J61">$D53*$J$52</f>
        <v>0</v>
      </c>
      <c r="K54" s="54">
        <f>$D53*4</f>
        <v>0</v>
      </c>
      <c r="L54" s="43"/>
      <c r="M54" s="44"/>
    </row>
    <row r="55" spans="2:13" ht="11.25">
      <c r="B55" s="25">
        <f t="shared" si="9"/>
        <v>2007</v>
      </c>
      <c r="C55" s="52">
        <f aca="true" t="shared" si="13" ref="C55:C61">H29*1000</f>
        <v>91462500</v>
      </c>
      <c r="D55" s="52">
        <f t="shared" si="10"/>
        <v>1591447.4999999998</v>
      </c>
      <c r="E55" s="53">
        <f aca="true" t="shared" si="14" ref="E55:E60">$D$49*D55</f>
        <v>7957237.499999999</v>
      </c>
      <c r="F55" s="53">
        <f aca="true" t="shared" si="15" ref="F55:F61">E54</f>
        <v>2742675.000000001</v>
      </c>
      <c r="G55" s="53">
        <f aca="true" t="shared" si="16" ref="G55:G61">$D54*$G$52</f>
        <v>2194140.000000001</v>
      </c>
      <c r="H55" s="53">
        <f>$D54*$H$52</f>
        <v>1645605.0000000007</v>
      </c>
      <c r="I55" s="53">
        <f t="shared" si="11"/>
        <v>1097070.0000000005</v>
      </c>
      <c r="J55" s="53">
        <f t="shared" si="12"/>
        <v>548535.0000000002</v>
      </c>
      <c r="K55" s="54">
        <f>$D54*$K$52</f>
        <v>0</v>
      </c>
      <c r="L55" s="43"/>
      <c r="M55" s="44"/>
    </row>
    <row r="56" spans="2:13" ht="11.25">
      <c r="B56" s="25">
        <f t="shared" si="9"/>
        <v>2008</v>
      </c>
      <c r="C56" s="52">
        <f t="shared" si="13"/>
        <v>142880437.5</v>
      </c>
      <c r="D56" s="52">
        <f t="shared" si="10"/>
        <v>2486119.6125</v>
      </c>
      <c r="E56" s="53">
        <f t="shared" si="14"/>
        <v>12430598.0625</v>
      </c>
      <c r="F56" s="53">
        <f t="shared" si="15"/>
        <v>7957237.499999999</v>
      </c>
      <c r="G56" s="53">
        <f t="shared" si="16"/>
        <v>6365789.999999999</v>
      </c>
      <c r="H56" s="53">
        <f aca="true" t="shared" si="17" ref="H56:H61">$D55*$H$52</f>
        <v>4774342.499999999</v>
      </c>
      <c r="I56" s="53">
        <f t="shared" si="11"/>
        <v>3182894.9999999995</v>
      </c>
      <c r="J56" s="53">
        <f t="shared" si="12"/>
        <v>1591447.4999999998</v>
      </c>
      <c r="K56" s="54">
        <f aca="true" t="shared" si="18" ref="K56:K61">$D55*$K$52</f>
        <v>0</v>
      </c>
      <c r="L56" s="43"/>
      <c r="M56" s="44"/>
    </row>
    <row r="57" spans="2:13" ht="11.25">
      <c r="B57" s="25">
        <f t="shared" si="9"/>
        <v>2009</v>
      </c>
      <c r="C57" s="52">
        <f t="shared" si="13"/>
        <v>147969459.37499997</v>
      </c>
      <c r="D57" s="52">
        <f t="shared" si="10"/>
        <v>2574668.593124999</v>
      </c>
      <c r="E57" s="53">
        <f t="shared" si="14"/>
        <v>12873342.965624996</v>
      </c>
      <c r="F57" s="53">
        <f t="shared" si="15"/>
        <v>12430598.0625</v>
      </c>
      <c r="G57" s="53">
        <f t="shared" si="16"/>
        <v>9944478.45</v>
      </c>
      <c r="H57" s="53">
        <f t="shared" si="17"/>
        <v>7458358.837499999</v>
      </c>
      <c r="I57" s="53">
        <f t="shared" si="11"/>
        <v>4972239.225</v>
      </c>
      <c r="J57" s="53">
        <f t="shared" si="12"/>
        <v>2486119.6125</v>
      </c>
      <c r="K57" s="54">
        <f t="shared" si="18"/>
        <v>0</v>
      </c>
      <c r="L57" s="43"/>
      <c r="M57" s="44"/>
    </row>
    <row r="58" spans="2:13" ht="11.25">
      <c r="B58" s="25">
        <f t="shared" si="9"/>
        <v>2010</v>
      </c>
      <c r="C58" s="52">
        <f t="shared" si="13"/>
        <v>151460432.34374997</v>
      </c>
      <c r="D58" s="52">
        <f t="shared" si="10"/>
        <v>2635411.522781249</v>
      </c>
      <c r="E58" s="53">
        <f t="shared" si="14"/>
        <v>13177057.613906246</v>
      </c>
      <c r="F58" s="53">
        <f t="shared" si="15"/>
        <v>12873342.965624996</v>
      </c>
      <c r="G58" s="53">
        <f t="shared" si="16"/>
        <v>10298674.372499997</v>
      </c>
      <c r="H58" s="53">
        <f t="shared" si="17"/>
        <v>7724005.779374998</v>
      </c>
      <c r="I58" s="53">
        <f t="shared" si="11"/>
        <v>5149337.186249998</v>
      </c>
      <c r="J58" s="53">
        <f t="shared" si="12"/>
        <v>2574668.593124999</v>
      </c>
      <c r="K58" s="54">
        <f t="shared" si="18"/>
        <v>0</v>
      </c>
      <c r="L58" s="43"/>
      <c r="M58" s="44"/>
    </row>
    <row r="59" spans="2:13" ht="11.25">
      <c r="B59" s="25">
        <f t="shared" si="9"/>
        <v>2011</v>
      </c>
      <c r="C59" s="52">
        <f t="shared" si="13"/>
        <v>154776453.9609375</v>
      </c>
      <c r="D59" s="52">
        <f t="shared" si="10"/>
        <v>2693110.2989203124</v>
      </c>
      <c r="E59" s="53">
        <f t="shared" si="14"/>
        <v>13465551.494601563</v>
      </c>
      <c r="F59" s="53">
        <f t="shared" si="15"/>
        <v>13177057.613906246</v>
      </c>
      <c r="G59" s="53">
        <f t="shared" si="16"/>
        <v>10541646.091124997</v>
      </c>
      <c r="H59" s="53">
        <f t="shared" si="17"/>
        <v>7906234.568343747</v>
      </c>
      <c r="I59" s="53">
        <f t="shared" si="11"/>
        <v>5270823.045562498</v>
      </c>
      <c r="J59" s="53">
        <f t="shared" si="12"/>
        <v>2635411.522781249</v>
      </c>
      <c r="K59" s="54">
        <f t="shared" si="18"/>
        <v>0</v>
      </c>
      <c r="L59" s="43"/>
      <c r="M59" s="44"/>
    </row>
    <row r="60" spans="2:13" ht="11.25">
      <c r="B60" s="25">
        <f t="shared" si="9"/>
        <v>2012</v>
      </c>
      <c r="C60" s="52">
        <f t="shared" si="13"/>
        <v>158195276.65898436</v>
      </c>
      <c r="D60" s="52">
        <f t="shared" si="10"/>
        <v>2752597.813866328</v>
      </c>
      <c r="E60" s="53">
        <f t="shared" si="14"/>
        <v>13762989.06933164</v>
      </c>
      <c r="F60" s="53">
        <f t="shared" si="15"/>
        <v>13465551.494601563</v>
      </c>
      <c r="G60" s="53">
        <f t="shared" si="16"/>
        <v>10772441.19568125</v>
      </c>
      <c r="H60" s="53">
        <f t="shared" si="17"/>
        <v>8079330.896760937</v>
      </c>
      <c r="I60" s="53">
        <f t="shared" si="11"/>
        <v>5386220.597840625</v>
      </c>
      <c r="J60" s="53">
        <f t="shared" si="12"/>
        <v>2693110.2989203124</v>
      </c>
      <c r="K60" s="54">
        <f t="shared" si="18"/>
        <v>0</v>
      </c>
      <c r="L60" s="43"/>
      <c r="M60" s="44"/>
    </row>
    <row r="61" spans="2:13" ht="11.25">
      <c r="B61" s="25">
        <f t="shared" si="9"/>
        <v>2013</v>
      </c>
      <c r="C61" s="52">
        <f t="shared" si="13"/>
        <v>161785040.49193364</v>
      </c>
      <c r="D61" s="52">
        <f t="shared" si="10"/>
        <v>2815059.704559645</v>
      </c>
      <c r="E61" s="53"/>
      <c r="F61" s="53">
        <f t="shared" si="15"/>
        <v>13762989.06933164</v>
      </c>
      <c r="G61" s="53">
        <f t="shared" si="16"/>
        <v>11010391.255465312</v>
      </c>
      <c r="H61" s="53">
        <f t="shared" si="17"/>
        <v>8257793.4415989835</v>
      </c>
      <c r="I61" s="53">
        <f t="shared" si="11"/>
        <v>5505195.627732656</v>
      </c>
      <c r="J61" s="53">
        <f t="shared" si="12"/>
        <v>2752597.813866328</v>
      </c>
      <c r="K61" s="54">
        <f t="shared" si="18"/>
        <v>0</v>
      </c>
      <c r="L61" s="43"/>
      <c r="M61" s="44"/>
    </row>
    <row r="62" spans="2:13" ht="12" thickBot="1">
      <c r="B62" s="31" t="s">
        <v>23</v>
      </c>
      <c r="C62" s="55">
        <f aca="true" t="shared" si="19" ref="C62:K62">SUM(C53:C61)</f>
        <v>1040054600.3306055</v>
      </c>
      <c r="D62" s="55">
        <f t="shared" si="19"/>
        <v>18096950.045752537</v>
      </c>
      <c r="E62" s="55">
        <f t="shared" si="19"/>
        <v>76409451.70596445</v>
      </c>
      <c r="F62" s="55">
        <f t="shared" si="19"/>
        <v>76409451.70596445</v>
      </c>
      <c r="G62" s="55">
        <f t="shared" si="19"/>
        <v>61127561.36477156</v>
      </c>
      <c r="H62" s="55">
        <f t="shared" si="19"/>
        <v>45845671.02357866</v>
      </c>
      <c r="I62" s="55">
        <f t="shared" si="19"/>
        <v>30563780.68238578</v>
      </c>
      <c r="J62" s="55">
        <f t="shared" si="19"/>
        <v>15281890.34119289</v>
      </c>
      <c r="K62" s="56">
        <f t="shared" si="19"/>
        <v>0</v>
      </c>
      <c r="L62" s="43"/>
      <c r="M62" s="44"/>
    </row>
    <row r="63" spans="2:13" ht="11.25">
      <c r="B63" s="45"/>
      <c r="C63" s="43"/>
      <c r="D63" s="43"/>
      <c r="E63" s="43"/>
      <c r="F63" s="43"/>
      <c r="G63" s="43"/>
      <c r="H63" s="43"/>
      <c r="I63" s="43"/>
      <c r="J63" s="43"/>
      <c r="K63" s="43"/>
      <c r="L63" s="43"/>
      <c r="M63" s="44"/>
    </row>
    <row r="64" spans="2:13" ht="11.25">
      <c r="B64" s="45"/>
      <c r="C64" s="43"/>
      <c r="D64" s="43"/>
      <c r="E64" s="43"/>
      <c r="F64" s="43"/>
      <c r="G64" s="43"/>
      <c r="H64" s="43"/>
      <c r="I64" s="43"/>
      <c r="J64" s="43"/>
      <c r="K64" s="43"/>
      <c r="L64" s="43"/>
      <c r="M64" s="44"/>
    </row>
    <row r="65" spans="2:13" ht="11.25">
      <c r="B65" s="45"/>
      <c r="C65" s="43"/>
      <c r="D65" s="43"/>
      <c r="E65" s="43"/>
      <c r="F65" s="43"/>
      <c r="G65" s="43"/>
      <c r="H65" s="43"/>
      <c r="I65" s="43"/>
      <c r="J65" s="43"/>
      <c r="K65" s="43"/>
      <c r="L65" s="43"/>
      <c r="M65" s="44"/>
    </row>
    <row r="66" spans="2:13" ht="11.25">
      <c r="B66" s="45"/>
      <c r="C66" s="43"/>
      <c r="D66" s="43"/>
      <c r="E66" s="43"/>
      <c r="F66" s="43"/>
      <c r="G66" s="43"/>
      <c r="H66" s="43"/>
      <c r="I66" s="43"/>
      <c r="J66" s="43"/>
      <c r="K66" s="43"/>
      <c r="L66" s="43"/>
      <c r="M66" s="44"/>
    </row>
    <row r="67" spans="2:13" ht="11.25">
      <c r="B67" s="45"/>
      <c r="C67" s="43"/>
      <c r="D67" s="43"/>
      <c r="E67" s="43"/>
      <c r="F67" s="43"/>
      <c r="G67" s="43"/>
      <c r="H67" s="43"/>
      <c r="I67" s="43"/>
      <c r="J67" s="43"/>
      <c r="K67" s="43"/>
      <c r="L67" s="43"/>
      <c r="M67" s="44"/>
    </row>
    <row r="68" spans="2:13" ht="11.25">
      <c r="B68" s="45"/>
      <c r="C68" s="43"/>
      <c r="D68" s="43"/>
      <c r="E68" s="43"/>
      <c r="F68" s="43"/>
      <c r="G68" s="43"/>
      <c r="H68" s="43"/>
      <c r="I68" s="43"/>
      <c r="J68" s="43"/>
      <c r="K68" s="43"/>
      <c r="L68" s="43"/>
      <c r="M68" s="44"/>
    </row>
    <row r="69" spans="2:13" ht="13.5" thickBot="1">
      <c r="B69" s="279" t="s">
        <v>55</v>
      </c>
      <c r="C69" s="280"/>
      <c r="D69" s="57">
        <f>F52</f>
        <v>5</v>
      </c>
      <c r="E69" s="58"/>
      <c r="F69" s="58"/>
      <c r="G69" s="58"/>
      <c r="H69" s="43"/>
      <c r="I69" s="43"/>
      <c r="J69" s="43"/>
      <c r="K69" s="43"/>
      <c r="L69" s="43"/>
      <c r="M69" s="44"/>
    </row>
    <row r="70" spans="2:13" ht="11.25">
      <c r="B70" s="59"/>
      <c r="C70" s="60">
        <v>2005</v>
      </c>
      <c r="D70" s="60">
        <f aca="true" t="shared" si="20" ref="D70:M70">C70+1</f>
        <v>2006</v>
      </c>
      <c r="E70" s="60">
        <f t="shared" si="20"/>
        <v>2007</v>
      </c>
      <c r="F70" s="60">
        <f t="shared" si="20"/>
        <v>2008</v>
      </c>
      <c r="G70" s="60">
        <f t="shared" si="20"/>
        <v>2009</v>
      </c>
      <c r="H70" s="60">
        <f t="shared" si="20"/>
        <v>2010</v>
      </c>
      <c r="I70" s="60">
        <f t="shared" si="20"/>
        <v>2011</v>
      </c>
      <c r="J70" s="60">
        <f t="shared" si="20"/>
        <v>2012</v>
      </c>
      <c r="K70" s="60">
        <f t="shared" si="20"/>
        <v>2013</v>
      </c>
      <c r="L70" s="60">
        <f t="shared" si="20"/>
        <v>2014</v>
      </c>
      <c r="M70" s="61">
        <f t="shared" si="20"/>
        <v>2015</v>
      </c>
    </row>
    <row r="71" spans="2:13" ht="11.25">
      <c r="B71" s="62" t="s">
        <v>26</v>
      </c>
      <c r="C71" s="65">
        <v>0</v>
      </c>
      <c r="D71" s="65">
        <v>-26000000</v>
      </c>
      <c r="E71" s="65">
        <v>-14000000</v>
      </c>
      <c r="F71" s="65">
        <v>0</v>
      </c>
      <c r="G71" s="65">
        <f>F71</f>
        <v>0</v>
      </c>
      <c r="H71" s="65">
        <f aca="true" t="shared" si="21" ref="H71:M71">G71</f>
        <v>0</v>
      </c>
      <c r="I71" s="65">
        <f t="shared" si="21"/>
        <v>0</v>
      </c>
      <c r="J71" s="65">
        <f t="shared" si="21"/>
        <v>0</v>
      </c>
      <c r="K71" s="65">
        <f t="shared" si="21"/>
        <v>0</v>
      </c>
      <c r="L71" s="65">
        <f t="shared" si="21"/>
        <v>0</v>
      </c>
      <c r="M71" s="66">
        <f t="shared" si="21"/>
        <v>0</v>
      </c>
    </row>
    <row r="72" spans="2:13" ht="11.25">
      <c r="B72" s="62" t="s">
        <v>27</v>
      </c>
      <c r="C72" s="65">
        <f>J27</f>
        <v>0</v>
      </c>
      <c r="D72" s="65">
        <f>$J28</f>
        <v>2090107.500000001</v>
      </c>
      <c r="E72" s="65">
        <f>$J29</f>
        <v>6185243.024999999</v>
      </c>
      <c r="F72" s="65">
        <f>$J30</f>
        <v>9855681.115702499</v>
      </c>
      <c r="G72" s="65">
        <f>$J31</f>
        <v>10410848.599145375</v>
      </c>
      <c r="H72" s="65">
        <f>$J32</f>
        <v>10869596.126681937</v>
      </c>
      <c r="I72" s="65">
        <f>$J33</f>
        <v>11329722.679453911</v>
      </c>
      <c r="J72" s="65">
        <f>$J34</f>
        <v>11811582.054219222</v>
      </c>
      <c r="K72" s="65">
        <f>$J35</f>
        <v>12321202.425883355</v>
      </c>
      <c r="L72" s="65">
        <f>$J36</f>
        <v>12860425.804851927</v>
      </c>
      <c r="M72" s="66">
        <f>$J37</f>
        <v>13431222.40386188</v>
      </c>
    </row>
    <row r="73" spans="2:13" ht="11.25">
      <c r="B73" s="62" t="s">
        <v>24</v>
      </c>
      <c r="C73" s="65">
        <f>F53</f>
        <v>0</v>
      </c>
      <c r="D73" s="65">
        <f>F54</f>
        <v>0</v>
      </c>
      <c r="E73" s="65">
        <f>F55</f>
        <v>2742675.000000001</v>
      </c>
      <c r="F73" s="65">
        <f>F56</f>
        <v>7957237.499999999</v>
      </c>
      <c r="G73" s="65">
        <f>F57</f>
        <v>12430598.0625</v>
      </c>
      <c r="H73" s="65">
        <f>F58</f>
        <v>12873342.965624996</v>
      </c>
      <c r="I73" s="65">
        <f>F59</f>
        <v>13177057.613906246</v>
      </c>
      <c r="J73" s="65">
        <f>F60</f>
        <v>13465551.494601563</v>
      </c>
      <c r="K73" s="65">
        <f>F61</f>
        <v>13762989.06933164</v>
      </c>
      <c r="L73" s="65"/>
      <c r="M73" s="66"/>
    </row>
    <row r="74" spans="2:14" ht="12" thickBot="1">
      <c r="B74" s="67" t="s">
        <v>23</v>
      </c>
      <c r="C74" s="68">
        <f>SUM(C71:C73)</f>
        <v>0</v>
      </c>
      <c r="D74" s="68">
        <f aca="true" t="shared" si="22" ref="D74:M74">SUM(D71:D73)</f>
        <v>-23909892.5</v>
      </c>
      <c r="E74" s="68">
        <f t="shared" si="22"/>
        <v>-5072081.975</v>
      </c>
      <c r="F74" s="68">
        <f t="shared" si="22"/>
        <v>17812918.6157025</v>
      </c>
      <c r="G74" s="68">
        <f t="shared" si="22"/>
        <v>22841446.661645375</v>
      </c>
      <c r="H74" s="68">
        <f t="shared" si="22"/>
        <v>23742939.092306934</v>
      </c>
      <c r="I74" s="68">
        <f t="shared" si="22"/>
        <v>24506780.29336016</v>
      </c>
      <c r="J74" s="68">
        <f t="shared" si="22"/>
        <v>25277133.548820786</v>
      </c>
      <c r="K74" s="68">
        <f t="shared" si="22"/>
        <v>26084191.495214995</v>
      </c>
      <c r="L74" s="68">
        <f t="shared" si="22"/>
        <v>12860425.804851927</v>
      </c>
      <c r="M74" s="69">
        <f t="shared" si="22"/>
        <v>13431222.40386188</v>
      </c>
      <c r="N74" s="70"/>
    </row>
    <row r="75" spans="2:13" ht="11.25">
      <c r="B75" s="45"/>
      <c r="C75" s="71" t="s">
        <v>51</v>
      </c>
      <c r="D75" s="72">
        <f>NPV(0.1,D74:M74)</f>
        <v>67404019.10582978</v>
      </c>
      <c r="E75" s="37"/>
      <c r="F75" s="39"/>
      <c r="G75" s="39"/>
      <c r="H75" s="39"/>
      <c r="I75" s="39"/>
      <c r="J75" s="39"/>
      <c r="K75" s="39"/>
      <c r="L75" s="39"/>
      <c r="M75" s="41"/>
    </row>
    <row r="76" spans="2:13" ht="12" thickBot="1">
      <c r="B76" s="45"/>
      <c r="C76" s="31" t="s">
        <v>43</v>
      </c>
      <c r="D76" s="73">
        <f>IRR(D74:M74)</f>
        <v>0.49860007581460725</v>
      </c>
      <c r="E76" s="45"/>
      <c r="F76" s="43"/>
      <c r="G76" s="43"/>
      <c r="H76" s="43"/>
      <c r="I76" s="43"/>
      <c r="J76" s="43"/>
      <c r="K76" s="43"/>
      <c r="L76" s="43"/>
      <c r="M76" s="44"/>
    </row>
    <row r="77" spans="2:13" ht="12" thickBot="1">
      <c r="B77" s="45"/>
      <c r="C77" s="31" t="s">
        <v>47</v>
      </c>
      <c r="D77" s="73">
        <f>IRR(D74:L74)</f>
        <v>0.49315916395801457</v>
      </c>
      <c r="E77" s="45"/>
      <c r="F77" s="43"/>
      <c r="G77" s="43"/>
      <c r="H77" s="43"/>
      <c r="I77" s="43"/>
      <c r="J77" s="43"/>
      <c r="K77" s="43"/>
      <c r="L77" s="43"/>
      <c r="M77" s="44"/>
    </row>
    <row r="78" spans="2:13" ht="12" thickBot="1">
      <c r="B78" s="45"/>
      <c r="C78" s="31" t="s">
        <v>48</v>
      </c>
      <c r="D78" s="73">
        <f>IRR(D74:K74)</f>
        <v>0.48496940130356736</v>
      </c>
      <c r="E78" s="45"/>
      <c r="F78" s="43"/>
      <c r="G78" s="43"/>
      <c r="H78" s="43"/>
      <c r="I78" s="43"/>
      <c r="J78" s="43"/>
      <c r="K78" s="43"/>
      <c r="L78" s="43"/>
      <c r="M78" s="44"/>
    </row>
    <row r="79" spans="2:13" ht="12" thickBot="1">
      <c r="B79" s="45"/>
      <c r="C79" s="31" t="s">
        <v>45</v>
      </c>
      <c r="D79" s="73">
        <f>IRR(D74:J74)</f>
        <v>0.45745035069422196</v>
      </c>
      <c r="E79" s="45"/>
      <c r="F79" s="43"/>
      <c r="G79" s="43"/>
      <c r="H79" s="43"/>
      <c r="I79" s="43"/>
      <c r="J79" s="43"/>
      <c r="K79" s="43"/>
      <c r="L79" s="43"/>
      <c r="M79" s="44"/>
    </row>
    <row r="80" spans="2:13" ht="12" thickBot="1">
      <c r="B80" s="45"/>
      <c r="C80" s="31" t="s">
        <v>46</v>
      </c>
      <c r="D80" s="73">
        <f>IRR(D74:I74)</f>
        <v>0.41008806177626317</v>
      </c>
      <c r="E80" s="45"/>
      <c r="F80" s="43"/>
      <c r="G80" s="43"/>
      <c r="H80" s="43"/>
      <c r="I80" s="43"/>
      <c r="J80" s="43"/>
      <c r="K80" s="43"/>
      <c r="L80" s="43"/>
      <c r="M80" s="44"/>
    </row>
    <row r="81" spans="2:13" ht="12" thickBot="1">
      <c r="B81" s="74"/>
      <c r="C81" s="31" t="s">
        <v>44</v>
      </c>
      <c r="D81" s="73">
        <f>IRR(D74:H74)</f>
        <v>0.32380587308062364</v>
      </c>
      <c r="E81" s="74"/>
      <c r="F81" s="75"/>
      <c r="G81" s="75"/>
      <c r="H81" s="75"/>
      <c r="I81" s="75"/>
      <c r="J81" s="75"/>
      <c r="K81" s="75"/>
      <c r="L81" s="75"/>
      <c r="M81" s="76"/>
    </row>
    <row r="83" spans="2:4" ht="13.5" thickBot="1">
      <c r="B83" s="292" t="s">
        <v>55</v>
      </c>
      <c r="C83" s="293"/>
      <c r="D83" s="57">
        <f>G52</f>
        <v>4</v>
      </c>
    </row>
    <row r="84" spans="2:13" ht="11.25">
      <c r="B84" s="59"/>
      <c r="C84" s="60">
        <v>2005</v>
      </c>
      <c r="D84" s="60">
        <f aca="true" t="shared" si="23" ref="D84:M84">C84+1</f>
        <v>2006</v>
      </c>
      <c r="E84" s="60">
        <f t="shared" si="23"/>
        <v>2007</v>
      </c>
      <c r="F84" s="60">
        <f t="shared" si="23"/>
        <v>2008</v>
      </c>
      <c r="G84" s="60">
        <f t="shared" si="23"/>
        <v>2009</v>
      </c>
      <c r="H84" s="60">
        <f t="shared" si="23"/>
        <v>2010</v>
      </c>
      <c r="I84" s="60">
        <f t="shared" si="23"/>
        <v>2011</v>
      </c>
      <c r="J84" s="60">
        <f t="shared" si="23"/>
        <v>2012</v>
      </c>
      <c r="K84" s="60">
        <f t="shared" si="23"/>
        <v>2013</v>
      </c>
      <c r="L84" s="60">
        <f t="shared" si="23"/>
        <v>2014</v>
      </c>
      <c r="M84" s="60">
        <f t="shared" si="23"/>
        <v>2015</v>
      </c>
    </row>
    <row r="85" spans="2:13" ht="11.25">
      <c r="B85" s="62" t="s">
        <v>26</v>
      </c>
      <c r="C85" s="65">
        <v>0</v>
      </c>
      <c r="D85" s="65">
        <f>-Inv06</f>
        <v>-24926449.275362317</v>
      </c>
      <c r="E85" s="65">
        <f>-Inv07</f>
        <v>-19573550.724637683</v>
      </c>
      <c r="F85" s="65">
        <f>-'Cost Assumptions'!G40</f>
        <v>-2122416</v>
      </c>
      <c r="G85" s="65">
        <f>-'Cost Assumptions'!H40</f>
        <v>-2164864.32</v>
      </c>
      <c r="H85" s="65">
        <f>-'Cost Assumptions'!I40</f>
        <v>-2208161.6064</v>
      </c>
      <c r="I85" s="65">
        <f>-'Cost Assumptions'!J40</f>
        <v>-2252324.838528</v>
      </c>
      <c r="J85" s="65">
        <f>-'Cost Assumptions'!K40</f>
        <v>-2297371.3352985596</v>
      </c>
      <c r="K85" s="65">
        <f>-'Cost Assumptions'!L40</f>
        <v>-2343318.762004531</v>
      </c>
      <c r="L85" s="65">
        <f>-'Cost Assumptions'!M40</f>
        <v>-2390185.1372446218</v>
      </c>
      <c r="M85" s="65">
        <f>-'Cost Assumptions'!N40</f>
        <v>-2437988.839989514</v>
      </c>
    </row>
    <row r="86" spans="2:13" ht="11.25">
      <c r="B86" s="62" t="s">
        <v>27</v>
      </c>
      <c r="C86" s="65">
        <f>C72</f>
        <v>0</v>
      </c>
      <c r="D86" s="65">
        <f>$D$72</f>
        <v>2090107.500000001</v>
      </c>
      <c r="E86" s="65">
        <f>$E$72</f>
        <v>6185243.024999999</v>
      </c>
      <c r="F86" s="65">
        <f>$F$72</f>
        <v>9855681.115702499</v>
      </c>
      <c r="G86" s="65">
        <f>$G$72</f>
        <v>10410848.599145375</v>
      </c>
      <c r="H86" s="65">
        <f>$H$72</f>
        <v>10869596.126681937</v>
      </c>
      <c r="I86" s="65">
        <f>$I$72</f>
        <v>11329722.679453911</v>
      </c>
      <c r="J86" s="65">
        <f>$J$72</f>
        <v>11811582.054219222</v>
      </c>
      <c r="K86" s="65">
        <f>$K$72</f>
        <v>12321202.425883355</v>
      </c>
      <c r="L86" s="65">
        <f>$L$72</f>
        <v>12860425.804851927</v>
      </c>
      <c r="M86" s="66">
        <f>$M$72</f>
        <v>13431222.40386188</v>
      </c>
    </row>
    <row r="87" spans="2:13" ht="11.25">
      <c r="B87" s="62" t="s">
        <v>24</v>
      </c>
      <c r="C87" s="65">
        <f>$G53</f>
        <v>0</v>
      </c>
      <c r="D87" s="65">
        <f>$G$54</f>
        <v>0</v>
      </c>
      <c r="E87" s="65">
        <f>$G$55</f>
        <v>2194140.000000001</v>
      </c>
      <c r="F87" s="65">
        <f>$G$56</f>
        <v>6365789.999999999</v>
      </c>
      <c r="G87" s="65">
        <f>$G$57</f>
        <v>9944478.45</v>
      </c>
      <c r="H87" s="65">
        <f>$G$58</f>
        <v>10298674.372499997</v>
      </c>
      <c r="I87" s="65">
        <f>$G$59</f>
        <v>10541646.091124997</v>
      </c>
      <c r="J87" s="65">
        <f>$G$60</f>
        <v>10772441.19568125</v>
      </c>
      <c r="K87" s="65">
        <f>$G$61</f>
        <v>11010391.255465312</v>
      </c>
      <c r="L87" s="65"/>
      <c r="M87" s="66"/>
    </row>
    <row r="88" spans="2:13" ht="12" thickBot="1">
      <c r="B88" s="67" t="s">
        <v>23</v>
      </c>
      <c r="C88" s="68">
        <f aca="true" t="shared" si="24" ref="C88:M88">SUM(C85:C87)</f>
        <v>0</v>
      </c>
      <c r="D88" s="68">
        <f t="shared" si="24"/>
        <v>-22836341.775362317</v>
      </c>
      <c r="E88" s="68">
        <f t="shared" si="24"/>
        <v>-11194167.699637685</v>
      </c>
      <c r="F88" s="68">
        <f t="shared" si="24"/>
        <v>14099055.115702499</v>
      </c>
      <c r="G88" s="68">
        <f t="shared" si="24"/>
        <v>18190462.729145374</v>
      </c>
      <c r="H88" s="68">
        <f t="shared" si="24"/>
        <v>18960108.892781936</v>
      </c>
      <c r="I88" s="68">
        <f t="shared" si="24"/>
        <v>19619043.932050906</v>
      </c>
      <c r="J88" s="68">
        <f t="shared" si="24"/>
        <v>20286651.914601915</v>
      </c>
      <c r="K88" s="68">
        <f t="shared" si="24"/>
        <v>20988274.919344135</v>
      </c>
      <c r="L88" s="68">
        <f t="shared" si="24"/>
        <v>10470240.667607306</v>
      </c>
      <c r="M88" s="69">
        <f t="shared" si="24"/>
        <v>10993233.563872367</v>
      </c>
    </row>
    <row r="89" spans="2:14" ht="11.25">
      <c r="B89" s="43"/>
      <c r="C89" s="71" t="s">
        <v>51</v>
      </c>
      <c r="D89" s="72">
        <f>NPV(0.1,D88:M88)</f>
        <v>44732862.18275841</v>
      </c>
      <c r="E89" s="45"/>
      <c r="F89" s="43"/>
      <c r="G89" s="43"/>
      <c r="H89" s="43"/>
      <c r="I89" s="43"/>
      <c r="J89" s="43"/>
      <c r="K89" s="43"/>
      <c r="L89" s="43"/>
      <c r="M89" s="43"/>
      <c r="N89" s="43"/>
    </row>
    <row r="90" spans="2:14" ht="12" thickBot="1">
      <c r="B90" s="43"/>
      <c r="C90" s="31" t="s">
        <v>43</v>
      </c>
      <c r="D90" s="73">
        <f>IRR(D88:M88)</f>
        <v>0.3688541983886168</v>
      </c>
      <c r="E90" s="45"/>
      <c r="F90" s="43"/>
      <c r="G90" s="43"/>
      <c r="H90" s="43"/>
      <c r="I90" s="43"/>
      <c r="J90" s="43"/>
      <c r="K90" s="43"/>
      <c r="L90" s="43"/>
      <c r="M90" s="43"/>
      <c r="N90" s="43"/>
    </row>
    <row r="91" spans="13:14" ht="11.25">
      <c r="M91" s="43"/>
      <c r="N91" s="43"/>
    </row>
    <row r="92" spans="2:4" ht="13.5" thickBot="1">
      <c r="B92" s="292" t="s">
        <v>55</v>
      </c>
      <c r="C92" s="293"/>
      <c r="D92" s="57">
        <f>H52</f>
        <v>3</v>
      </c>
    </row>
    <row r="93" spans="2:13" ht="11.25">
      <c r="B93" s="59"/>
      <c r="C93" s="60">
        <v>2005</v>
      </c>
      <c r="D93" s="60">
        <f aca="true" t="shared" si="25" ref="D93:M93">C93+1</f>
        <v>2006</v>
      </c>
      <c r="E93" s="60">
        <f t="shared" si="25"/>
        <v>2007</v>
      </c>
      <c r="F93" s="60">
        <f t="shared" si="25"/>
        <v>2008</v>
      </c>
      <c r="G93" s="60">
        <f t="shared" si="25"/>
        <v>2009</v>
      </c>
      <c r="H93" s="60">
        <f t="shared" si="25"/>
        <v>2010</v>
      </c>
      <c r="I93" s="60">
        <f t="shared" si="25"/>
        <v>2011</v>
      </c>
      <c r="J93" s="60">
        <f t="shared" si="25"/>
        <v>2012</v>
      </c>
      <c r="K93" s="60">
        <f t="shared" si="25"/>
        <v>2013</v>
      </c>
      <c r="L93" s="60">
        <f t="shared" si="25"/>
        <v>2014</v>
      </c>
      <c r="M93" s="60">
        <f t="shared" si="25"/>
        <v>2015</v>
      </c>
    </row>
    <row r="94" spans="2:13" ht="11.25">
      <c r="B94" s="62" t="s">
        <v>26</v>
      </c>
      <c r="C94" s="65">
        <v>0</v>
      </c>
      <c r="D94" s="65">
        <f>-Inv06</f>
        <v>-24926449.275362317</v>
      </c>
      <c r="E94" s="65">
        <f>-Inv07</f>
        <v>-19573550.724637683</v>
      </c>
      <c r="F94" s="65">
        <f>-'Cost Assumptions'!G40</f>
        <v>-2122416</v>
      </c>
      <c r="G94" s="65">
        <f>-'Cost Assumptions'!H40</f>
        <v>-2164864.32</v>
      </c>
      <c r="H94" s="65">
        <f>-'Cost Assumptions'!I40</f>
        <v>-2208161.6064</v>
      </c>
      <c r="I94" s="65">
        <f>-'Cost Assumptions'!J40</f>
        <v>-2252324.838528</v>
      </c>
      <c r="J94" s="65">
        <f>-'Cost Assumptions'!K40</f>
        <v>-2297371.3352985596</v>
      </c>
      <c r="K94" s="65">
        <f>-'Cost Assumptions'!L40</f>
        <v>-2343318.762004531</v>
      </c>
      <c r="L94" s="65">
        <f>-'Cost Assumptions'!M40</f>
        <v>-2390185.1372446218</v>
      </c>
      <c r="M94" s="65">
        <f>-'Cost Assumptions'!N40</f>
        <v>-2437988.839989514</v>
      </c>
    </row>
    <row r="95" spans="2:13" ht="11.25">
      <c r="B95" s="62" t="s">
        <v>27</v>
      </c>
      <c r="C95" s="65">
        <f>C82</f>
        <v>0</v>
      </c>
      <c r="D95" s="65">
        <f>$D$72</f>
        <v>2090107.500000001</v>
      </c>
      <c r="E95" s="65">
        <f>$E$72</f>
        <v>6185243.024999999</v>
      </c>
      <c r="F95" s="65">
        <f>$F$72</f>
        <v>9855681.115702499</v>
      </c>
      <c r="G95" s="65">
        <f>$G$72</f>
        <v>10410848.599145375</v>
      </c>
      <c r="H95" s="65">
        <f>$H$72</f>
        <v>10869596.126681937</v>
      </c>
      <c r="I95" s="65">
        <f>$I$72</f>
        <v>11329722.679453911</v>
      </c>
      <c r="J95" s="65">
        <f>$J$72</f>
        <v>11811582.054219222</v>
      </c>
      <c r="K95" s="65">
        <f>$K$72</f>
        <v>12321202.425883355</v>
      </c>
      <c r="L95" s="65">
        <f>$L$72</f>
        <v>12860425.804851927</v>
      </c>
      <c r="M95" s="66">
        <f>$M$72</f>
        <v>13431222.40386188</v>
      </c>
    </row>
    <row r="96" spans="2:13" ht="11.25">
      <c r="B96" s="62" t="s">
        <v>24</v>
      </c>
      <c r="C96" s="65">
        <f>$H$53</f>
        <v>0</v>
      </c>
      <c r="D96" s="65">
        <f>$H$54</f>
        <v>0</v>
      </c>
      <c r="E96" s="65">
        <f>$H$55</f>
        <v>1645605.0000000007</v>
      </c>
      <c r="F96" s="65">
        <f>$H$56</f>
        <v>4774342.499999999</v>
      </c>
      <c r="G96" s="65">
        <f>$H$57</f>
        <v>7458358.837499999</v>
      </c>
      <c r="H96" s="65">
        <f>$H$58</f>
        <v>7724005.779374998</v>
      </c>
      <c r="I96" s="65">
        <f>$H$59</f>
        <v>7906234.568343747</v>
      </c>
      <c r="J96" s="65">
        <f>$H$60</f>
        <v>8079330.896760937</v>
      </c>
      <c r="K96" s="65">
        <f>$H$61</f>
        <v>8257793.4415989835</v>
      </c>
      <c r="L96" s="65"/>
      <c r="M96" s="66"/>
    </row>
    <row r="97" spans="2:13" ht="12" thickBot="1">
      <c r="B97" s="67" t="s">
        <v>23</v>
      </c>
      <c r="C97" s="68">
        <f aca="true" t="shared" si="26" ref="C97:M97">SUM(C94:C96)</f>
        <v>0</v>
      </c>
      <c r="D97" s="68">
        <f t="shared" si="26"/>
        <v>-22836341.775362317</v>
      </c>
      <c r="E97" s="68">
        <f t="shared" si="26"/>
        <v>-11742702.699637685</v>
      </c>
      <c r="F97" s="68">
        <f t="shared" si="26"/>
        <v>12507607.615702499</v>
      </c>
      <c r="G97" s="68">
        <f t="shared" si="26"/>
        <v>15704343.116645373</v>
      </c>
      <c r="H97" s="68">
        <f t="shared" si="26"/>
        <v>16385440.299656935</v>
      </c>
      <c r="I97" s="68">
        <f t="shared" si="26"/>
        <v>16983632.40926966</v>
      </c>
      <c r="J97" s="68">
        <f t="shared" si="26"/>
        <v>17593541.6156816</v>
      </c>
      <c r="K97" s="68">
        <f t="shared" si="26"/>
        <v>18235677.10547781</v>
      </c>
      <c r="L97" s="68">
        <f t="shared" si="26"/>
        <v>10470240.667607306</v>
      </c>
      <c r="M97" s="69">
        <f t="shared" si="26"/>
        <v>10993233.563872367</v>
      </c>
    </row>
    <row r="98" spans="2:14" ht="11.25">
      <c r="B98" s="43"/>
      <c r="C98" s="71" t="s">
        <v>51</v>
      </c>
      <c r="D98" s="72">
        <f>NPV(0.1,D97:M97)</f>
        <v>35633409.92646744</v>
      </c>
      <c r="E98" s="45"/>
      <c r="F98" s="43"/>
      <c r="G98" s="43"/>
      <c r="H98" s="43"/>
      <c r="I98" s="43"/>
      <c r="J98" s="43"/>
      <c r="K98" s="43"/>
      <c r="L98" s="43"/>
      <c r="M98" s="43"/>
      <c r="N98" s="43"/>
    </row>
    <row r="99" spans="2:14" ht="12" thickBot="1">
      <c r="B99" s="43"/>
      <c r="C99" s="31" t="s">
        <v>43</v>
      </c>
      <c r="D99" s="73">
        <f>IRR(D97:M97)</f>
        <v>0.31879455742607293</v>
      </c>
      <c r="E99" s="45"/>
      <c r="F99" s="43"/>
      <c r="G99" s="43"/>
      <c r="H99" s="43"/>
      <c r="I99" s="43"/>
      <c r="J99" s="43"/>
      <c r="K99" s="43"/>
      <c r="L99" s="43"/>
      <c r="M99" s="43"/>
      <c r="N99" s="43"/>
    </row>
    <row r="101" spans="2:4" ht="13.5" thickBot="1">
      <c r="B101" s="292" t="s">
        <v>55</v>
      </c>
      <c r="C101" s="293"/>
      <c r="D101" s="57">
        <f>I52</f>
        <v>2</v>
      </c>
    </row>
    <row r="102" spans="2:13" ht="11.25">
      <c r="B102" s="59"/>
      <c r="C102" s="60">
        <v>2005</v>
      </c>
      <c r="D102" s="60">
        <f aca="true" t="shared" si="27" ref="D102:M102">C102+1</f>
        <v>2006</v>
      </c>
      <c r="E102" s="60">
        <f t="shared" si="27"/>
        <v>2007</v>
      </c>
      <c r="F102" s="60">
        <f t="shared" si="27"/>
        <v>2008</v>
      </c>
      <c r="G102" s="60">
        <f t="shared" si="27"/>
        <v>2009</v>
      </c>
      <c r="H102" s="60">
        <f t="shared" si="27"/>
        <v>2010</v>
      </c>
      <c r="I102" s="60">
        <f t="shared" si="27"/>
        <v>2011</v>
      </c>
      <c r="J102" s="60">
        <f t="shared" si="27"/>
        <v>2012</v>
      </c>
      <c r="K102" s="60">
        <f t="shared" si="27"/>
        <v>2013</v>
      </c>
      <c r="L102" s="60">
        <f t="shared" si="27"/>
        <v>2014</v>
      </c>
      <c r="M102" s="60">
        <f t="shared" si="27"/>
        <v>2015</v>
      </c>
    </row>
    <row r="103" spans="2:13" ht="11.25">
      <c r="B103" s="62" t="s">
        <v>26</v>
      </c>
      <c r="C103" s="65">
        <v>0</v>
      </c>
      <c r="D103" s="65">
        <f>-Inv06</f>
        <v>-24926449.275362317</v>
      </c>
      <c r="E103" s="65">
        <f>-Inv07</f>
        <v>-19573550.724637683</v>
      </c>
      <c r="F103" s="65">
        <f>-'Cost Assumptions'!G40</f>
        <v>-2122416</v>
      </c>
      <c r="G103" s="65">
        <f>-'Cost Assumptions'!H40</f>
        <v>-2164864.32</v>
      </c>
      <c r="H103" s="65">
        <f>-'Cost Assumptions'!I40</f>
        <v>-2208161.6064</v>
      </c>
      <c r="I103" s="65">
        <f>-'Cost Assumptions'!J40</f>
        <v>-2252324.838528</v>
      </c>
      <c r="J103" s="65">
        <f>-'Cost Assumptions'!K40</f>
        <v>-2297371.3352985596</v>
      </c>
      <c r="K103" s="65">
        <f>-'Cost Assumptions'!L40</f>
        <v>-2343318.762004531</v>
      </c>
      <c r="L103" s="65">
        <f>-'Cost Assumptions'!M40</f>
        <v>-2390185.1372446218</v>
      </c>
      <c r="M103" s="65">
        <f>-'Cost Assumptions'!N40</f>
        <v>-2437988.839989514</v>
      </c>
    </row>
    <row r="104" spans="2:13" ht="11.25">
      <c r="B104" s="62" t="s">
        <v>27</v>
      </c>
      <c r="C104" s="65">
        <f>C91</f>
        <v>0</v>
      </c>
      <c r="D104" s="65">
        <f>$D$72</f>
        <v>2090107.500000001</v>
      </c>
      <c r="E104" s="65">
        <f>$E$72</f>
        <v>6185243.024999999</v>
      </c>
      <c r="F104" s="65">
        <f>$F$72</f>
        <v>9855681.115702499</v>
      </c>
      <c r="G104" s="65">
        <f>$G$72</f>
        <v>10410848.599145375</v>
      </c>
      <c r="H104" s="65">
        <f>$H$72</f>
        <v>10869596.126681937</v>
      </c>
      <c r="I104" s="65">
        <f>$I$72</f>
        <v>11329722.679453911</v>
      </c>
      <c r="J104" s="65">
        <f>$J$72</f>
        <v>11811582.054219222</v>
      </c>
      <c r="K104" s="65">
        <f>$K$72</f>
        <v>12321202.425883355</v>
      </c>
      <c r="L104" s="65">
        <f>$L$72</f>
        <v>12860425.804851927</v>
      </c>
      <c r="M104" s="66">
        <f>$M$72</f>
        <v>13431222.40386188</v>
      </c>
    </row>
    <row r="105" spans="2:13" ht="11.25">
      <c r="B105" s="62" t="s">
        <v>24</v>
      </c>
      <c r="C105" s="65">
        <f>$I$53</f>
        <v>0</v>
      </c>
      <c r="D105" s="65">
        <f>$I$54</f>
        <v>0</v>
      </c>
      <c r="E105" s="65">
        <f>$I$55</f>
        <v>1097070.0000000005</v>
      </c>
      <c r="F105" s="65">
        <f>$I$56</f>
        <v>3182894.9999999995</v>
      </c>
      <c r="G105" s="65">
        <f>$I$57</f>
        <v>4972239.225</v>
      </c>
      <c r="H105" s="65">
        <f>$I$58</f>
        <v>5149337.186249998</v>
      </c>
      <c r="I105" s="65">
        <f>$I$59</f>
        <v>5270823.045562498</v>
      </c>
      <c r="J105" s="65">
        <f>$I$60</f>
        <v>5386220.597840625</v>
      </c>
      <c r="K105" s="65">
        <f>$I$61</f>
        <v>5505195.627732656</v>
      </c>
      <c r="L105" s="65"/>
      <c r="M105" s="66"/>
    </row>
    <row r="106" spans="2:13" ht="12" thickBot="1">
      <c r="B106" s="67" t="s">
        <v>23</v>
      </c>
      <c r="C106" s="68">
        <f aca="true" t="shared" si="28" ref="C106:M106">SUM(C103:C105)</f>
        <v>0</v>
      </c>
      <c r="D106" s="68">
        <f t="shared" si="28"/>
        <v>-22836341.775362317</v>
      </c>
      <c r="E106" s="68">
        <f t="shared" si="28"/>
        <v>-12291237.699637685</v>
      </c>
      <c r="F106" s="68">
        <f t="shared" si="28"/>
        <v>10916160.115702499</v>
      </c>
      <c r="G106" s="68">
        <f t="shared" si="28"/>
        <v>13218223.504145375</v>
      </c>
      <c r="H106" s="68">
        <f t="shared" si="28"/>
        <v>13810771.706531934</v>
      </c>
      <c r="I106" s="68">
        <f t="shared" si="28"/>
        <v>14348220.88648841</v>
      </c>
      <c r="J106" s="68">
        <f t="shared" si="28"/>
        <v>14900431.316761289</v>
      </c>
      <c r="K106" s="68">
        <f t="shared" si="28"/>
        <v>15483079.291611481</v>
      </c>
      <c r="L106" s="68">
        <f t="shared" si="28"/>
        <v>10470240.667607306</v>
      </c>
      <c r="M106" s="69">
        <f t="shared" si="28"/>
        <v>10993233.563872367</v>
      </c>
    </row>
    <row r="107" spans="2:14" ht="11.25">
      <c r="B107" s="43"/>
      <c r="C107" s="71" t="s">
        <v>51</v>
      </c>
      <c r="D107" s="72">
        <f>NPV(0.1,D106:M106)</f>
        <v>26533957.670176454</v>
      </c>
      <c r="E107" s="45"/>
      <c r="F107" s="43"/>
      <c r="G107" s="43"/>
      <c r="H107" s="43"/>
      <c r="I107" s="43"/>
      <c r="J107" s="43"/>
      <c r="K107" s="43"/>
      <c r="L107" s="43"/>
      <c r="M107" s="43"/>
      <c r="N107" s="43"/>
    </row>
    <row r="108" spans="2:14" ht="12" thickBot="1">
      <c r="B108" s="43"/>
      <c r="C108" s="31" t="s">
        <v>43</v>
      </c>
      <c r="D108" s="73">
        <f>IRR(D106:M106)</f>
        <v>0.2665720392165793</v>
      </c>
      <c r="E108" s="45"/>
      <c r="F108" s="43"/>
      <c r="G108" s="43"/>
      <c r="H108" s="43"/>
      <c r="I108" s="43"/>
      <c r="J108" s="43"/>
      <c r="K108" s="43"/>
      <c r="L108" s="43"/>
      <c r="M108" s="43"/>
      <c r="N108" s="43"/>
    </row>
    <row r="110" spans="2:4" ht="13.5" thickBot="1">
      <c r="B110" s="292" t="s">
        <v>55</v>
      </c>
      <c r="C110" s="293"/>
      <c r="D110" s="57">
        <f>J52</f>
        <v>1</v>
      </c>
    </row>
    <row r="111" spans="2:13" ht="11.25">
      <c r="B111" s="59"/>
      <c r="C111" s="60">
        <v>2005</v>
      </c>
      <c r="D111" s="60">
        <f aca="true" t="shared" si="29" ref="D111:M111">C111+1</f>
        <v>2006</v>
      </c>
      <c r="E111" s="60">
        <f t="shared" si="29"/>
        <v>2007</v>
      </c>
      <c r="F111" s="60">
        <f t="shared" si="29"/>
        <v>2008</v>
      </c>
      <c r="G111" s="60">
        <f t="shared" si="29"/>
        <v>2009</v>
      </c>
      <c r="H111" s="60">
        <f t="shared" si="29"/>
        <v>2010</v>
      </c>
      <c r="I111" s="60">
        <f t="shared" si="29"/>
        <v>2011</v>
      </c>
      <c r="J111" s="60">
        <f t="shared" si="29"/>
        <v>2012</v>
      </c>
      <c r="K111" s="60">
        <f t="shared" si="29"/>
        <v>2013</v>
      </c>
      <c r="L111" s="60">
        <f t="shared" si="29"/>
        <v>2014</v>
      </c>
      <c r="M111" s="60">
        <f t="shared" si="29"/>
        <v>2015</v>
      </c>
    </row>
    <row r="112" spans="2:13" ht="11.25">
      <c r="B112" s="62" t="s">
        <v>26</v>
      </c>
      <c r="C112" s="65">
        <v>0</v>
      </c>
      <c r="D112" s="65">
        <f>-Inv06</f>
        <v>-24926449.275362317</v>
      </c>
      <c r="E112" s="65">
        <f>-Inv07</f>
        <v>-19573550.724637683</v>
      </c>
      <c r="F112" s="65">
        <f>-'Cost Assumptions'!G40</f>
        <v>-2122416</v>
      </c>
      <c r="G112" s="65">
        <f>-'Cost Assumptions'!H40</f>
        <v>-2164864.32</v>
      </c>
      <c r="H112" s="65">
        <f>-'Cost Assumptions'!I40</f>
        <v>-2208161.6064</v>
      </c>
      <c r="I112" s="65">
        <f>-'Cost Assumptions'!J40</f>
        <v>-2252324.838528</v>
      </c>
      <c r="J112" s="65">
        <f>-'Cost Assumptions'!K40</f>
        <v>-2297371.3352985596</v>
      </c>
      <c r="K112" s="65">
        <f>-'Cost Assumptions'!L40</f>
        <v>-2343318.762004531</v>
      </c>
      <c r="L112" s="65">
        <f>-'Cost Assumptions'!M40</f>
        <v>-2390185.1372446218</v>
      </c>
      <c r="M112" s="65">
        <f>-'Cost Assumptions'!N40</f>
        <v>-2437988.839989514</v>
      </c>
    </row>
    <row r="113" spans="2:13" ht="11.25">
      <c r="B113" s="62" t="s">
        <v>27</v>
      </c>
      <c r="C113" s="65">
        <f>C100</f>
        <v>0</v>
      </c>
      <c r="D113" s="65">
        <f>$D$72</f>
        <v>2090107.500000001</v>
      </c>
      <c r="E113" s="65">
        <f>$E$72</f>
        <v>6185243.024999999</v>
      </c>
      <c r="F113" s="65">
        <f>$F$72</f>
        <v>9855681.115702499</v>
      </c>
      <c r="G113" s="65">
        <f>$G$72</f>
        <v>10410848.599145375</v>
      </c>
      <c r="H113" s="65">
        <f>$H$72</f>
        <v>10869596.126681937</v>
      </c>
      <c r="I113" s="65">
        <f>$I$72</f>
        <v>11329722.679453911</v>
      </c>
      <c r="J113" s="65">
        <f>$J$72</f>
        <v>11811582.054219222</v>
      </c>
      <c r="K113" s="65">
        <f>$K$72</f>
        <v>12321202.425883355</v>
      </c>
      <c r="L113" s="65">
        <f>$L$72</f>
        <v>12860425.804851927</v>
      </c>
      <c r="M113" s="66">
        <f>$M$72</f>
        <v>13431222.40386188</v>
      </c>
    </row>
    <row r="114" spans="2:13" ht="11.25">
      <c r="B114" s="62" t="s">
        <v>24</v>
      </c>
      <c r="C114" s="65">
        <f>$J$53</f>
        <v>0</v>
      </c>
      <c r="D114" s="65">
        <f>$J$54</f>
        <v>0</v>
      </c>
      <c r="E114" s="65">
        <f>$J$55</f>
        <v>548535.0000000002</v>
      </c>
      <c r="F114" s="65">
        <f>$J$56</f>
        <v>1591447.4999999998</v>
      </c>
      <c r="G114" s="65">
        <f>$J$57</f>
        <v>2486119.6125</v>
      </c>
      <c r="H114" s="65">
        <f>$J$58</f>
        <v>2574668.593124999</v>
      </c>
      <c r="I114" s="65">
        <f>$J$59</f>
        <v>2635411.522781249</v>
      </c>
      <c r="J114" s="65">
        <f>$J$60</f>
        <v>2693110.2989203124</v>
      </c>
      <c r="K114" s="65">
        <f>$J$61</f>
        <v>2752597.813866328</v>
      </c>
      <c r="L114" s="65"/>
      <c r="M114" s="66"/>
    </row>
    <row r="115" spans="2:13" ht="12" thickBot="1">
      <c r="B115" s="67" t="s">
        <v>23</v>
      </c>
      <c r="C115" s="68">
        <f aca="true" t="shared" si="30" ref="C115:M115">SUM(C112:C114)</f>
        <v>0</v>
      </c>
      <c r="D115" s="68">
        <f t="shared" si="30"/>
        <v>-22836341.775362317</v>
      </c>
      <c r="E115" s="68">
        <f t="shared" si="30"/>
        <v>-12839772.699637685</v>
      </c>
      <c r="F115" s="68">
        <f t="shared" si="30"/>
        <v>9324712.615702499</v>
      </c>
      <c r="G115" s="68">
        <f t="shared" si="30"/>
        <v>10732103.891645376</v>
      </c>
      <c r="H115" s="68">
        <f t="shared" si="30"/>
        <v>11236103.113406936</v>
      </c>
      <c r="I115" s="68">
        <f t="shared" si="30"/>
        <v>11712809.36370716</v>
      </c>
      <c r="J115" s="68">
        <f t="shared" si="30"/>
        <v>12207321.017840976</v>
      </c>
      <c r="K115" s="68">
        <f t="shared" si="30"/>
        <v>12730481.477745153</v>
      </c>
      <c r="L115" s="68">
        <f t="shared" si="30"/>
        <v>10470240.667607306</v>
      </c>
      <c r="M115" s="69">
        <f t="shared" si="30"/>
        <v>10993233.563872367</v>
      </c>
    </row>
    <row r="116" spans="2:14" ht="11.25">
      <c r="B116" s="43"/>
      <c r="C116" s="71" t="s">
        <v>51</v>
      </c>
      <c r="D116" s="72">
        <f>NPV(0.1,D115:M115)</f>
        <v>17434505.413885474</v>
      </c>
      <c r="E116" s="45"/>
      <c r="F116" s="43"/>
      <c r="G116" s="43"/>
      <c r="H116" s="43"/>
      <c r="I116" s="43"/>
      <c r="J116" s="43"/>
      <c r="K116" s="43"/>
      <c r="L116" s="43"/>
      <c r="M116" s="43"/>
      <c r="N116" s="43"/>
    </row>
    <row r="117" spans="2:14" ht="12" thickBot="1">
      <c r="B117" s="43"/>
      <c r="C117" s="31" t="s">
        <v>43</v>
      </c>
      <c r="D117" s="73">
        <f>IRR(D115:M115)</f>
        <v>0.21194550117633054</v>
      </c>
      <c r="E117" s="45"/>
      <c r="F117" s="43"/>
      <c r="G117" s="43"/>
      <c r="H117" s="43"/>
      <c r="I117" s="43"/>
      <c r="J117" s="43"/>
      <c r="K117" s="43"/>
      <c r="L117" s="43"/>
      <c r="M117" s="43"/>
      <c r="N117" s="43"/>
    </row>
    <row r="119" spans="2:4" ht="13.5" thickBot="1">
      <c r="B119" s="292" t="s">
        <v>55</v>
      </c>
      <c r="C119" s="293"/>
      <c r="D119" s="57">
        <f>K52</f>
        <v>0</v>
      </c>
    </row>
    <row r="120" spans="2:13" ht="11.25">
      <c r="B120" s="59"/>
      <c r="C120" s="60">
        <v>2005</v>
      </c>
      <c r="D120" s="60">
        <f aca="true" t="shared" si="31" ref="D120:M120">C120+1</f>
        <v>2006</v>
      </c>
      <c r="E120" s="60">
        <f t="shared" si="31"/>
        <v>2007</v>
      </c>
      <c r="F120" s="60">
        <f t="shared" si="31"/>
        <v>2008</v>
      </c>
      <c r="G120" s="60">
        <f t="shared" si="31"/>
        <v>2009</v>
      </c>
      <c r="H120" s="60">
        <f t="shared" si="31"/>
        <v>2010</v>
      </c>
      <c r="I120" s="60">
        <f t="shared" si="31"/>
        <v>2011</v>
      </c>
      <c r="J120" s="60">
        <f t="shared" si="31"/>
        <v>2012</v>
      </c>
      <c r="K120" s="60">
        <f t="shared" si="31"/>
        <v>2013</v>
      </c>
      <c r="L120" s="60">
        <f t="shared" si="31"/>
        <v>2014</v>
      </c>
      <c r="M120" s="60">
        <f t="shared" si="31"/>
        <v>2015</v>
      </c>
    </row>
    <row r="121" spans="2:13" ht="11.25">
      <c r="B121" s="62" t="s">
        <v>26</v>
      </c>
      <c r="C121" s="65">
        <v>0</v>
      </c>
      <c r="D121" s="65">
        <f>-Inv06</f>
        <v>-24926449.275362317</v>
      </c>
      <c r="E121" s="65">
        <f>-Inv07</f>
        <v>-19573550.724637683</v>
      </c>
      <c r="F121" s="65">
        <f>-'Cost Assumptions'!G40</f>
        <v>-2122416</v>
      </c>
      <c r="G121" s="65">
        <f>-'Cost Assumptions'!H40</f>
        <v>-2164864.32</v>
      </c>
      <c r="H121" s="65">
        <f>-'Cost Assumptions'!I40</f>
        <v>-2208161.6064</v>
      </c>
      <c r="I121" s="65">
        <f>-'Cost Assumptions'!J40</f>
        <v>-2252324.838528</v>
      </c>
      <c r="J121" s="65">
        <f>-'Cost Assumptions'!K40</f>
        <v>-2297371.3352985596</v>
      </c>
      <c r="K121" s="65">
        <f>-'Cost Assumptions'!L40</f>
        <v>-2343318.762004531</v>
      </c>
      <c r="L121" s="65">
        <f>-'Cost Assumptions'!M40</f>
        <v>-2390185.1372446218</v>
      </c>
      <c r="M121" s="65">
        <f>-'Cost Assumptions'!N40</f>
        <v>-2437988.839989514</v>
      </c>
    </row>
    <row r="122" spans="2:13" ht="11.25">
      <c r="B122" s="62" t="s">
        <v>27</v>
      </c>
      <c r="C122" s="65">
        <f>C109</f>
        <v>0</v>
      </c>
      <c r="D122" s="65">
        <f>$D$72</f>
        <v>2090107.500000001</v>
      </c>
      <c r="E122" s="65">
        <f>$E$72</f>
        <v>6185243.024999999</v>
      </c>
      <c r="F122" s="65">
        <f>$F$72</f>
        <v>9855681.115702499</v>
      </c>
      <c r="G122" s="65">
        <f>$G$72</f>
        <v>10410848.599145375</v>
      </c>
      <c r="H122" s="65">
        <f>$H$72</f>
        <v>10869596.126681937</v>
      </c>
      <c r="I122" s="65">
        <f>$I$72</f>
        <v>11329722.679453911</v>
      </c>
      <c r="J122" s="65">
        <f>$J$72</f>
        <v>11811582.054219222</v>
      </c>
      <c r="K122" s="65">
        <f>$K$72</f>
        <v>12321202.425883355</v>
      </c>
      <c r="L122" s="65">
        <f>$L$72</f>
        <v>12860425.804851927</v>
      </c>
      <c r="M122" s="66">
        <f>$M$72</f>
        <v>13431222.40386188</v>
      </c>
    </row>
    <row r="123" spans="2:13" ht="11.25">
      <c r="B123" s="62" t="s">
        <v>24</v>
      </c>
      <c r="C123" s="65">
        <f>$K$53</f>
        <v>0</v>
      </c>
      <c r="D123" s="65">
        <f>$K$54</f>
        <v>0</v>
      </c>
      <c r="E123" s="65">
        <f>$K$55</f>
        <v>0</v>
      </c>
      <c r="F123" s="65">
        <f>$K$56</f>
        <v>0</v>
      </c>
      <c r="G123" s="65">
        <f>$K$57</f>
        <v>0</v>
      </c>
      <c r="H123" s="65">
        <f>$K$58</f>
        <v>0</v>
      </c>
      <c r="I123" s="65">
        <f>$K$59</f>
        <v>0</v>
      </c>
      <c r="J123" s="65">
        <f>$K$60</f>
        <v>0</v>
      </c>
      <c r="K123" s="65">
        <f>$K$61</f>
        <v>0</v>
      </c>
      <c r="L123" s="65"/>
      <c r="M123" s="66"/>
    </row>
    <row r="124" spans="2:13" ht="12" thickBot="1">
      <c r="B124" s="67" t="s">
        <v>23</v>
      </c>
      <c r="C124" s="68">
        <f aca="true" t="shared" si="32" ref="C124:M124">SUM(C121:C123)</f>
        <v>0</v>
      </c>
      <c r="D124" s="68">
        <f t="shared" si="32"/>
        <v>-22836341.775362317</v>
      </c>
      <c r="E124" s="68">
        <f t="shared" si="32"/>
        <v>-13388307.699637685</v>
      </c>
      <c r="F124" s="68">
        <f t="shared" si="32"/>
        <v>7733265.115702499</v>
      </c>
      <c r="G124" s="68">
        <f t="shared" si="32"/>
        <v>8245984.279145375</v>
      </c>
      <c r="H124" s="68">
        <f t="shared" si="32"/>
        <v>8661434.520281937</v>
      </c>
      <c r="I124" s="68">
        <f t="shared" si="32"/>
        <v>9077397.840925911</v>
      </c>
      <c r="J124" s="68">
        <f t="shared" si="32"/>
        <v>9514210.718920663</v>
      </c>
      <c r="K124" s="68">
        <f t="shared" si="32"/>
        <v>9977883.663878825</v>
      </c>
      <c r="L124" s="68">
        <f t="shared" si="32"/>
        <v>10470240.667607306</v>
      </c>
      <c r="M124" s="69">
        <f t="shared" si="32"/>
        <v>10993233.563872367</v>
      </c>
    </row>
    <row r="125" spans="2:14" ht="11.25">
      <c r="B125" s="43"/>
      <c r="C125" s="71" t="s">
        <v>51</v>
      </c>
      <c r="D125" s="72">
        <f>NPV(0.1,D124:M124)</f>
        <v>8335053.1575944945</v>
      </c>
      <c r="E125" s="45"/>
      <c r="F125" s="43"/>
      <c r="G125" s="43"/>
      <c r="H125" s="43"/>
      <c r="I125" s="43"/>
      <c r="J125" s="43"/>
      <c r="K125" s="43"/>
      <c r="L125" s="43"/>
      <c r="M125" s="43"/>
      <c r="N125" s="43"/>
    </row>
    <row r="126" spans="2:14" ht="12" thickBot="1">
      <c r="B126" s="43"/>
      <c r="C126" s="31" t="s">
        <v>43</v>
      </c>
      <c r="D126" s="73">
        <f>IRR(D124:M124)</f>
        <v>0.1547247435798798</v>
      </c>
      <c r="E126" s="45"/>
      <c r="F126" s="43"/>
      <c r="G126" s="43"/>
      <c r="H126" s="43"/>
      <c r="I126" s="43"/>
      <c r="J126" s="43"/>
      <c r="K126" s="43"/>
      <c r="L126" s="43"/>
      <c r="M126" s="43"/>
      <c r="N126" s="43"/>
    </row>
    <row r="133" spans="3:4" ht="22.5">
      <c r="C133" s="77" t="s">
        <v>56</v>
      </c>
      <c r="D133" s="77" t="s">
        <v>57</v>
      </c>
    </row>
    <row r="134" spans="3:4" ht="11.25">
      <c r="C134" s="78">
        <f>F$52</f>
        <v>5</v>
      </c>
      <c r="D134" s="79">
        <f>D76</f>
        <v>0.49860007581460725</v>
      </c>
    </row>
    <row r="135" spans="3:4" ht="11.25">
      <c r="C135" s="78">
        <f>G$52</f>
        <v>4</v>
      </c>
      <c r="D135" s="79">
        <f>D90</f>
        <v>0.3688541983886168</v>
      </c>
    </row>
    <row r="136" spans="3:4" ht="11.25">
      <c r="C136" s="78">
        <f>H$52</f>
        <v>3</v>
      </c>
      <c r="D136" s="79">
        <f>D99</f>
        <v>0.31879455742607293</v>
      </c>
    </row>
    <row r="137" spans="3:4" ht="11.25">
      <c r="C137" s="78">
        <f>I$52</f>
        <v>2</v>
      </c>
      <c r="D137" s="79">
        <f>D108</f>
        <v>0.2665720392165793</v>
      </c>
    </row>
    <row r="138" spans="3:4" ht="11.25">
      <c r="C138" s="78">
        <f>J$52</f>
        <v>1</v>
      </c>
      <c r="D138" s="79">
        <f>D117</f>
        <v>0.21194550117633054</v>
      </c>
    </row>
    <row r="139" spans="3:4" ht="11.25">
      <c r="C139" s="78">
        <f>K$52</f>
        <v>0</v>
      </c>
      <c r="D139" s="79">
        <f>D126</f>
        <v>0.1547247435798798</v>
      </c>
    </row>
  </sheetData>
  <mergeCells count="10">
    <mergeCell ref="B69:C69"/>
    <mergeCell ref="B119:C119"/>
    <mergeCell ref="B83:C83"/>
    <mergeCell ref="B92:C92"/>
    <mergeCell ref="B101:C101"/>
    <mergeCell ref="B110:C110"/>
    <mergeCell ref="B1:H1"/>
    <mergeCell ref="D25:E25"/>
    <mergeCell ref="F25:G25"/>
    <mergeCell ref="B47:C47"/>
  </mergeCells>
  <conditionalFormatting sqref="B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9"/>
  <dimension ref="B1:N139"/>
  <sheetViews>
    <sheetView workbookViewId="0" topLeftCell="A1">
      <selection activeCell="A1" sqref="A1"/>
    </sheetView>
  </sheetViews>
  <sheetFormatPr defaultColWidth="9.140625" defaultRowHeight="12.75"/>
  <cols>
    <col min="1" max="1" width="0.9921875" style="16" customWidth="1"/>
    <col min="2" max="2" width="13.57421875" style="16" bestFit="1" customWidth="1"/>
    <col min="3" max="3" width="15.140625" style="16" bestFit="1" customWidth="1"/>
    <col min="4" max="4" width="13.8515625" style="16" bestFit="1" customWidth="1"/>
    <col min="5" max="5" width="15.8515625" style="16" bestFit="1" customWidth="1"/>
    <col min="6" max="6" width="12.140625" style="16" bestFit="1" customWidth="1"/>
    <col min="7" max="8" width="12.421875" style="16" bestFit="1" customWidth="1"/>
    <col min="9" max="9" width="14.140625" style="16" bestFit="1" customWidth="1"/>
    <col min="10" max="10" width="14.57421875" style="16" bestFit="1" customWidth="1"/>
    <col min="11" max="11" width="12.421875" style="16" bestFit="1" customWidth="1"/>
    <col min="12" max="13" width="11.28125" style="16" bestFit="1" customWidth="1"/>
    <col min="14" max="14" width="12.57421875" style="16" customWidth="1"/>
    <col min="15" max="15" width="11.421875" style="16" customWidth="1"/>
    <col min="16" max="16384" width="9.140625" style="16" customWidth="1"/>
  </cols>
  <sheetData>
    <row r="1" spans="2:8" ht="12.75">
      <c r="B1" s="275">
        <f>IF('ERR &amp; Sensitivity Analysis'!$I$10="N","Note: Current calculations are based on user input and are not the original MCC estimates.",IF('ERR &amp; Sensitivity Analysis'!$I$11="N","Note: Current calculations are based on user input and are not the original MCC estimates.",0))</f>
        <v>0</v>
      </c>
      <c r="C1" s="275"/>
      <c r="D1" s="275"/>
      <c r="E1" s="275"/>
      <c r="F1" s="275"/>
      <c r="G1" s="275"/>
      <c r="H1" s="275"/>
    </row>
    <row r="2" s="94" customFormat="1" ht="20.25">
      <c r="B2" s="112" t="s">
        <v>109</v>
      </c>
    </row>
    <row r="3" s="94" customFormat="1" ht="20.25">
      <c r="B3" s="112"/>
    </row>
    <row r="4" ht="5.25" customHeight="1" thickBot="1"/>
    <row r="5" spans="2:11" ht="38.25">
      <c r="B5" s="17" t="s">
        <v>22</v>
      </c>
      <c r="C5" s="18" t="str">
        <f>Demand!C33</f>
        <v>Chemical Plant</v>
      </c>
      <c r="D5" s="18" t="str">
        <f>Demand!D33</f>
        <v>Power</v>
      </c>
      <c r="E5" s="18" t="str">
        <f>Demand!E33</f>
        <v>Tbilgazi</v>
      </c>
      <c r="F5" s="18" t="str">
        <f>Demand!F33</f>
        <v>Saktsementi</v>
      </c>
      <c r="G5" s="18" t="str">
        <f>Demand!G33</f>
        <v>Itera</v>
      </c>
      <c r="H5" s="18" t="str">
        <f>Demand!H33</f>
        <v>West Georgia</v>
      </c>
      <c r="I5" s="18" t="str">
        <f>Demand!I33</f>
        <v>Transit Armenia</v>
      </c>
      <c r="J5" s="19" t="s">
        <v>32</v>
      </c>
      <c r="K5" s="91" t="s">
        <v>90</v>
      </c>
    </row>
    <row r="6" spans="2:13" ht="12.75">
      <c r="B6" s="20">
        <f>Demand!A34</f>
        <v>2004</v>
      </c>
      <c r="C6" s="21">
        <f>Demand!C60</f>
        <v>0.21</v>
      </c>
      <c r="D6" s="21">
        <f>Demand!D60</f>
        <v>0.248</v>
      </c>
      <c r="E6" s="21">
        <f>Demand!E60</f>
        <v>0.356</v>
      </c>
      <c r="F6" s="21">
        <f>Demand!F60</f>
        <v>0.115</v>
      </c>
      <c r="G6" s="21">
        <f>Demand!G60</f>
        <v>0.1</v>
      </c>
      <c r="H6" s="21">
        <f>Demand!H60</f>
        <v>0</v>
      </c>
      <c r="I6" s="21">
        <f>Demand!I60</f>
        <v>1</v>
      </c>
      <c r="J6" s="22">
        <f>SUM(C6:I6)</f>
        <v>2.029</v>
      </c>
      <c r="K6" s="80"/>
      <c r="L6" s="23"/>
      <c r="M6" s="23"/>
    </row>
    <row r="7" spans="2:13" ht="12.75">
      <c r="B7" s="20">
        <f>Demand!A35</f>
        <v>2005</v>
      </c>
      <c r="C7" s="21">
        <f>Demand!C61</f>
        <v>0.25</v>
      </c>
      <c r="D7" s="21">
        <f>Demand!D61</f>
        <v>0.4</v>
      </c>
      <c r="E7" s="21">
        <f>Demand!E61</f>
        <v>0.39</v>
      </c>
      <c r="F7" s="21">
        <f>Demand!F61</f>
        <v>0.18</v>
      </c>
      <c r="G7" s="21">
        <f>Demand!G61</f>
        <v>0.11</v>
      </c>
      <c r="H7" s="21">
        <f>Demand!H61</f>
        <v>0.05</v>
      </c>
      <c r="I7" s="21">
        <f>Demand!I61</f>
        <v>1.03</v>
      </c>
      <c r="J7" s="22">
        <f aca="true" t="shared" si="0" ref="J7:J22">SUM(C7:I7)</f>
        <v>2.41</v>
      </c>
      <c r="K7" s="104">
        <f>(J7-J6)/J6</f>
        <v>0.1877772301626418</v>
      </c>
      <c r="L7" s="23"/>
      <c r="M7" s="23"/>
    </row>
    <row r="8" spans="2:13" ht="12.75">
      <c r="B8" s="20">
        <f>Demand!A36</f>
        <v>2006</v>
      </c>
      <c r="C8" s="21">
        <f>Demand!C62</f>
        <v>0.3</v>
      </c>
      <c r="D8" s="21">
        <f>Demand!D62</f>
        <v>0.5</v>
      </c>
      <c r="E8" s="21">
        <f>Demand!E62</f>
        <v>0.42</v>
      </c>
      <c r="F8" s="21">
        <f>Demand!F62</f>
        <v>0.198</v>
      </c>
      <c r="G8" s="21">
        <f>Demand!G62</f>
        <v>0.12</v>
      </c>
      <c r="H8" s="21">
        <f>Demand!H62</f>
        <v>0.07</v>
      </c>
      <c r="I8" s="21">
        <f>Demand!I62</f>
        <v>1.0609</v>
      </c>
      <c r="J8" s="22">
        <f t="shared" si="0"/>
        <v>2.6689</v>
      </c>
      <c r="K8" s="104">
        <f aca="true" t="shared" si="1" ref="K8:K22">(J8-J7)/J7</f>
        <v>0.10742738589211605</v>
      </c>
      <c r="L8" s="23"/>
      <c r="M8" s="23"/>
    </row>
    <row r="9" spans="2:11" ht="12.75">
      <c r="B9" s="20">
        <f>Demand!A37</f>
        <v>2007</v>
      </c>
      <c r="C9" s="21">
        <f>Demand!C63</f>
        <v>0.7</v>
      </c>
      <c r="D9" s="21">
        <f>Demand!D63</f>
        <v>0.6</v>
      </c>
      <c r="E9" s="21">
        <f>Demand!E63</f>
        <v>0.46</v>
      </c>
      <c r="F9" s="21">
        <f>Demand!F63</f>
        <v>0.2</v>
      </c>
      <c r="G9" s="21">
        <f>Demand!G63</f>
        <v>0.14</v>
      </c>
      <c r="H9" s="21">
        <f>Demand!H63</f>
        <v>0.07210000000000001</v>
      </c>
      <c r="I9" s="21">
        <f>Demand!I63</f>
        <v>1.092727</v>
      </c>
      <c r="J9" s="22">
        <f t="shared" si="0"/>
        <v>3.2648269999999995</v>
      </c>
      <c r="K9" s="104">
        <f t="shared" si="1"/>
        <v>0.2232856232904941</v>
      </c>
    </row>
    <row r="10" spans="2:11" ht="12.75">
      <c r="B10" s="20">
        <f>Demand!A38</f>
        <v>2008</v>
      </c>
      <c r="C10" s="21">
        <f>Demand!C64</f>
        <v>0.75</v>
      </c>
      <c r="D10" s="21">
        <f>Demand!D64</f>
        <v>0.7</v>
      </c>
      <c r="E10" s="21">
        <f>Demand!E64</f>
        <v>0.5</v>
      </c>
      <c r="F10" s="21">
        <f>Demand!F64</f>
        <v>0.22</v>
      </c>
      <c r="G10" s="21">
        <f>Demand!G64</f>
        <v>0.15</v>
      </c>
      <c r="H10" s="21">
        <f>Demand!H64</f>
        <v>0.07426300000000001</v>
      </c>
      <c r="I10" s="21">
        <f>Demand!I64</f>
        <v>1.1255088100000001</v>
      </c>
      <c r="J10" s="22">
        <f t="shared" si="0"/>
        <v>3.51977181</v>
      </c>
      <c r="K10" s="104">
        <f t="shared" si="1"/>
        <v>0.07808830605725832</v>
      </c>
    </row>
    <row r="11" spans="2:11" ht="12.75">
      <c r="B11" s="20">
        <f>Demand!A39</f>
        <v>2009</v>
      </c>
      <c r="C11" s="21">
        <f>Demand!C65</f>
        <v>0.8</v>
      </c>
      <c r="D11" s="21">
        <f>Demand!D65</f>
        <v>0.8</v>
      </c>
      <c r="E11" s="21">
        <f>Demand!E65</f>
        <v>0.55</v>
      </c>
      <c r="F11" s="21">
        <f>Demand!F65</f>
        <v>0.242</v>
      </c>
      <c r="G11" s="21">
        <f>Demand!G65</f>
        <v>0.16</v>
      </c>
      <c r="H11" s="21">
        <f>Demand!H65</f>
        <v>0.07649089</v>
      </c>
      <c r="I11" s="21">
        <f>Demand!I65</f>
        <v>1.1592740743</v>
      </c>
      <c r="J11" s="22">
        <f t="shared" si="0"/>
        <v>3.787764964300001</v>
      </c>
      <c r="K11" s="104">
        <f t="shared" si="1"/>
        <v>0.07613935469867887</v>
      </c>
    </row>
    <row r="12" spans="2:11" ht="12.75">
      <c r="B12" s="20">
        <f>Demand!A40</f>
        <v>2010</v>
      </c>
      <c r="C12" s="21">
        <f>Demand!C66</f>
        <v>1</v>
      </c>
      <c r="D12" s="21">
        <f>Demand!D66</f>
        <v>0.85</v>
      </c>
      <c r="E12" s="21">
        <f>Demand!E66</f>
        <v>0.5665000000000001</v>
      </c>
      <c r="F12" s="21">
        <f>Demand!F66</f>
        <v>0.248</v>
      </c>
      <c r="G12" s="21">
        <f>Demand!G66</f>
        <v>0.1648</v>
      </c>
      <c r="H12" s="21">
        <f>Demand!H66</f>
        <v>0.0787856167</v>
      </c>
      <c r="I12" s="21">
        <f>Demand!I66</f>
        <v>1.1940522965290001</v>
      </c>
      <c r="J12" s="22">
        <f t="shared" si="0"/>
        <v>4.102137913229001</v>
      </c>
      <c r="K12" s="104">
        <f t="shared" si="1"/>
        <v>0.08299695252793958</v>
      </c>
    </row>
    <row r="13" spans="2:11" ht="12.75">
      <c r="B13" s="20">
        <f>Demand!A41</f>
        <v>2011</v>
      </c>
      <c r="C13" s="21">
        <f>Demand!C67</f>
        <v>1</v>
      </c>
      <c r="D13" s="21">
        <f>Demand!D67</f>
        <v>0.85</v>
      </c>
      <c r="E13" s="21">
        <f>Demand!E67</f>
        <v>0.5834950000000001</v>
      </c>
      <c r="F13" s="21">
        <f>Demand!F67</f>
        <v>0.25</v>
      </c>
      <c r="G13" s="21">
        <f>Demand!G67</f>
        <v>0.169744</v>
      </c>
      <c r="H13" s="21">
        <f>Demand!H67</f>
        <v>0.08114918520100001</v>
      </c>
      <c r="I13" s="21">
        <f>Demand!I67</f>
        <v>1.2298738654248702</v>
      </c>
      <c r="J13" s="22">
        <f t="shared" si="0"/>
        <v>4.1642620506258705</v>
      </c>
      <c r="K13" s="104">
        <f t="shared" si="1"/>
        <v>0.015144331738951378</v>
      </c>
    </row>
    <row r="14" spans="2:11" ht="12.75">
      <c r="B14" s="20">
        <f>Demand!A42</f>
        <v>2012</v>
      </c>
      <c r="C14" s="21">
        <f>Demand!C68</f>
        <v>1</v>
      </c>
      <c r="D14" s="21">
        <f>Demand!D68</f>
        <v>0.85</v>
      </c>
      <c r="E14" s="21">
        <f>Demand!E68</f>
        <v>0.6009998500000001</v>
      </c>
      <c r="F14" s="21">
        <f>Demand!F68</f>
        <v>0.25</v>
      </c>
      <c r="G14" s="21">
        <f>Demand!G68</f>
        <v>0.17483632000000002</v>
      </c>
      <c r="H14" s="21">
        <f>Demand!H68</f>
        <v>0.08358366075703001</v>
      </c>
      <c r="I14" s="21">
        <f>Demand!I68</f>
        <v>1.2667700813876164</v>
      </c>
      <c r="J14" s="22">
        <f t="shared" si="0"/>
        <v>4.226189912144646</v>
      </c>
      <c r="K14" s="104">
        <f t="shared" si="1"/>
        <v>0.014871269090634626</v>
      </c>
    </row>
    <row r="15" spans="2:11" ht="12.75">
      <c r="B15" s="20">
        <f>Demand!A43</f>
        <v>2013</v>
      </c>
      <c r="C15" s="21">
        <f>Demand!C69</f>
        <v>1</v>
      </c>
      <c r="D15" s="21">
        <f>Demand!D69</f>
        <v>0.85</v>
      </c>
      <c r="E15" s="21">
        <f>Demand!E69</f>
        <v>0.6190298455000002</v>
      </c>
      <c r="F15" s="21">
        <f>Demand!F69</f>
        <v>0.25</v>
      </c>
      <c r="G15" s="21">
        <f>Demand!G69</f>
        <v>0.18008140960000002</v>
      </c>
      <c r="H15" s="21">
        <f>Demand!H69</f>
        <v>0.08609117057974092</v>
      </c>
      <c r="I15" s="21">
        <f>Demand!I69</f>
        <v>1.304773183829245</v>
      </c>
      <c r="J15" s="22">
        <f t="shared" si="0"/>
        <v>4.2899756095089865</v>
      </c>
      <c r="K15" s="104">
        <f t="shared" si="1"/>
        <v>0.015092955756919985</v>
      </c>
    </row>
    <row r="16" spans="2:11" ht="12.75">
      <c r="B16" s="20">
        <f>Demand!A44</f>
        <v>2014</v>
      </c>
      <c r="C16" s="21">
        <f>Demand!C70</f>
        <v>1</v>
      </c>
      <c r="D16" s="21">
        <f>Demand!D70</f>
        <v>0.85</v>
      </c>
      <c r="E16" s="21">
        <f>Demand!E70</f>
        <v>0.6376007408650002</v>
      </c>
      <c r="F16" s="21">
        <f>Demand!F70</f>
        <v>0.25</v>
      </c>
      <c r="G16" s="21">
        <f>Demand!G70</f>
        <v>0.185483851888</v>
      </c>
      <c r="H16" s="21">
        <f>Demand!H70</f>
        <v>0.08867390569713314</v>
      </c>
      <c r="I16" s="21">
        <f>Demand!I70</f>
        <v>1.3439163793441222</v>
      </c>
      <c r="J16" s="22">
        <f t="shared" si="0"/>
        <v>4.3556748777942556</v>
      </c>
      <c r="K16" s="104">
        <f t="shared" si="1"/>
        <v>0.015314601821894447</v>
      </c>
    </row>
    <row r="17" spans="2:11" ht="12.75">
      <c r="B17" s="20">
        <f>Demand!A45</f>
        <v>2015</v>
      </c>
      <c r="C17" s="21">
        <f>Demand!C71</f>
        <v>1</v>
      </c>
      <c r="D17" s="21">
        <f>Demand!D71</f>
        <v>0.85</v>
      </c>
      <c r="E17" s="21">
        <f>Demand!E71</f>
        <v>0.6567287630909502</v>
      </c>
      <c r="F17" s="21">
        <f>Demand!F71</f>
        <v>0.25</v>
      </c>
      <c r="G17" s="21">
        <f>Demand!G71</f>
        <v>0.19104836744464002</v>
      </c>
      <c r="H17" s="21">
        <f>Demand!H71</f>
        <v>0.09133412286804714</v>
      </c>
      <c r="I17" s="21">
        <f>Demand!I71</f>
        <v>1.384233870724446</v>
      </c>
      <c r="J17" s="22">
        <f t="shared" si="0"/>
        <v>4.423345124128083</v>
      </c>
      <c r="K17" s="104">
        <f t="shared" si="1"/>
        <v>0.015536110529924669</v>
      </c>
    </row>
    <row r="18" spans="2:11" ht="12.75">
      <c r="B18" s="20">
        <f>Demand!A46</f>
        <v>2016</v>
      </c>
      <c r="C18" s="21">
        <f>Demand!C72</f>
        <v>1</v>
      </c>
      <c r="D18" s="21">
        <f>Demand!D72</f>
        <v>0.85</v>
      </c>
      <c r="E18" s="21">
        <f>Demand!E72</f>
        <v>0.6764306259836788</v>
      </c>
      <c r="F18" s="21">
        <f>Demand!F72</f>
        <v>0.25</v>
      </c>
      <c r="G18" s="21">
        <f>Demand!G72</f>
        <v>0.19677981846797923</v>
      </c>
      <c r="H18" s="21">
        <f>Demand!H72</f>
        <v>0.09407414655408855</v>
      </c>
      <c r="I18" s="21">
        <f>Demand!I72</f>
        <v>1.4257608868461793</v>
      </c>
      <c r="J18" s="22">
        <f t="shared" si="0"/>
        <v>4.4930454778519255</v>
      </c>
      <c r="K18" s="104">
        <f t="shared" si="1"/>
        <v>0.015757385365127132</v>
      </c>
    </row>
    <row r="19" spans="2:11" ht="12.75">
      <c r="B19" s="20">
        <f>Demand!A47</f>
        <v>2017</v>
      </c>
      <c r="C19" s="21">
        <f>Demand!C73</f>
        <v>1</v>
      </c>
      <c r="D19" s="21">
        <f>Demand!D73</f>
        <v>0.85</v>
      </c>
      <c r="E19" s="21">
        <f>Demand!E73</f>
        <v>0.6967235447631891</v>
      </c>
      <c r="F19" s="21">
        <f>Demand!F73</f>
        <v>0.25</v>
      </c>
      <c r="G19" s="21">
        <f>Demand!G73</f>
        <v>0.2026832130220186</v>
      </c>
      <c r="H19" s="21">
        <f>Demand!H73</f>
        <v>0.09689637095071121</v>
      </c>
      <c r="I19" s="21">
        <f>Demand!I73</f>
        <v>1.4685337134515648</v>
      </c>
      <c r="J19" s="22">
        <f t="shared" si="0"/>
        <v>4.564836842187484</v>
      </c>
      <c r="K19" s="104">
        <f t="shared" si="1"/>
        <v>0.01597833021932397</v>
      </c>
    </row>
    <row r="20" spans="2:11" ht="12.75">
      <c r="B20" s="20">
        <f>Demand!A48</f>
        <v>2018</v>
      </c>
      <c r="C20" s="21">
        <f>Demand!C74</f>
        <v>1</v>
      </c>
      <c r="D20" s="21">
        <f>Demand!D74</f>
        <v>0.85</v>
      </c>
      <c r="E20" s="21">
        <f>Demand!E74</f>
        <v>0.7176252511060848</v>
      </c>
      <c r="F20" s="21">
        <f>Demand!F74</f>
        <v>0.25</v>
      </c>
      <c r="G20" s="21">
        <f>Demand!G74</f>
        <v>0.20876370941267916</v>
      </c>
      <c r="H20" s="21">
        <f>Demand!H74</f>
        <v>0.09980326207923255</v>
      </c>
      <c r="I20" s="21">
        <f>Demand!I74</f>
        <v>1.512589724855112</v>
      </c>
      <c r="J20" s="22">
        <f t="shared" si="0"/>
        <v>4.638781947453109</v>
      </c>
      <c r="K20" s="104">
        <f t="shared" si="1"/>
        <v>0.016198849558485006</v>
      </c>
    </row>
    <row r="21" spans="2:11" ht="12.75">
      <c r="B21" s="20">
        <f>Demand!A49</f>
        <v>2019</v>
      </c>
      <c r="C21" s="21">
        <f>Demand!C75</f>
        <v>1</v>
      </c>
      <c r="D21" s="21">
        <f>Demand!D75</f>
        <v>0.85</v>
      </c>
      <c r="E21" s="21">
        <f>Demand!E75</f>
        <v>0.7391540086392673</v>
      </c>
      <c r="F21" s="21">
        <f>Demand!F75</f>
        <v>0.25</v>
      </c>
      <c r="G21" s="21">
        <f>Demand!G75</f>
        <v>0.21502662069505954</v>
      </c>
      <c r="H21" s="21">
        <f>Demand!H75</f>
        <v>0.10279735994160953</v>
      </c>
      <c r="I21" s="21">
        <f>Demand!I75</f>
        <v>1.5579674166007653</v>
      </c>
      <c r="J21" s="22">
        <f t="shared" si="0"/>
        <v>4.714945405876702</v>
      </c>
      <c r="K21" s="104">
        <f t="shared" si="1"/>
        <v>0.016418848587054308</v>
      </c>
    </row>
    <row r="22" spans="2:11" ht="12.75">
      <c r="B22" s="20">
        <f>Demand!A50</f>
        <v>2020</v>
      </c>
      <c r="C22" s="21">
        <f>Demand!C76</f>
        <v>1</v>
      </c>
      <c r="D22" s="21">
        <f>Demand!D76</f>
        <v>0.85</v>
      </c>
      <c r="E22" s="21">
        <f>Demand!E76</f>
        <v>0.7613286288984453</v>
      </c>
      <c r="F22" s="21">
        <f>Demand!F76</f>
        <v>0.25</v>
      </c>
      <c r="G22" s="21">
        <f>Demand!G76</f>
        <v>0.22147741931591133</v>
      </c>
      <c r="H22" s="21">
        <f>Demand!H76</f>
        <v>0.10588128073985782</v>
      </c>
      <c r="I22" s="21">
        <f>Demand!I76</f>
        <v>1.6047064390987884</v>
      </c>
      <c r="J22" s="22">
        <f t="shared" si="0"/>
        <v>4.793393768053003</v>
      </c>
      <c r="K22" s="104">
        <f t="shared" si="1"/>
        <v>0.016638233409558317</v>
      </c>
    </row>
    <row r="23" spans="2:10" ht="11.25">
      <c r="B23" s="99"/>
      <c r="C23" s="100"/>
      <c r="D23" s="100"/>
      <c r="E23" s="100"/>
      <c r="F23" s="100"/>
      <c r="G23" s="100"/>
      <c r="H23" s="100"/>
      <c r="I23" s="100"/>
      <c r="J23" s="100"/>
    </row>
    <row r="24" spans="2:7" ht="13.5" thickBot="1">
      <c r="B24" s="101" t="s">
        <v>69</v>
      </c>
      <c r="C24" s="24"/>
      <c r="D24" s="24"/>
      <c r="E24" s="24"/>
      <c r="F24" s="24"/>
      <c r="G24" s="24"/>
    </row>
    <row r="25" spans="2:10" ht="48" customHeight="1">
      <c r="B25" s="17" t="s">
        <v>22</v>
      </c>
      <c r="C25" s="18" t="s">
        <v>32</v>
      </c>
      <c r="D25" s="281" t="s">
        <v>31</v>
      </c>
      <c r="E25" s="281"/>
      <c r="F25" s="281" t="s">
        <v>33</v>
      </c>
      <c r="G25" s="281"/>
      <c r="H25" s="18" t="s">
        <v>53</v>
      </c>
      <c r="I25" s="18" t="s">
        <v>42</v>
      </c>
      <c r="J25" s="19" t="s">
        <v>52</v>
      </c>
    </row>
    <row r="26" spans="2:12" ht="11.25">
      <c r="B26" s="25">
        <f>B6</f>
        <v>2004</v>
      </c>
      <c r="C26" s="21">
        <f>J6</f>
        <v>2.029</v>
      </c>
      <c r="D26" s="26">
        <v>0.05</v>
      </c>
      <c r="E26" s="27">
        <f>D26*1000000*C26</f>
        <v>101450</v>
      </c>
      <c r="F26" s="28">
        <v>0.05</v>
      </c>
      <c r="G26" s="27">
        <f>F26*C26*1000000</f>
        <v>101450</v>
      </c>
      <c r="H26" s="27">
        <f>E26-G26</f>
        <v>0</v>
      </c>
      <c r="I26" s="29">
        <v>65</v>
      </c>
      <c r="J26" s="30">
        <f>I26*H26</f>
        <v>0</v>
      </c>
      <c r="K26" s="168">
        <f>'ERR &amp; Sensitivity Analysis'!D17</f>
        <v>0.02</v>
      </c>
      <c r="L26" s="70" t="s">
        <v>142</v>
      </c>
    </row>
    <row r="27" spans="2:10" ht="11.25">
      <c r="B27" s="25">
        <f>B7</f>
        <v>2005</v>
      </c>
      <c r="C27" s="21">
        <f>J7</f>
        <v>2.41</v>
      </c>
      <c r="D27" s="26">
        <v>0.05</v>
      </c>
      <c r="E27" s="27">
        <f>D27*1000000*C27</f>
        <v>120500</v>
      </c>
      <c r="F27" s="28">
        <v>0.05</v>
      </c>
      <c r="G27" s="27">
        <f>F27*C27*1000000</f>
        <v>120500.00000000001</v>
      </c>
      <c r="H27" s="27">
        <f>E27-G27</f>
        <v>0</v>
      </c>
      <c r="I27" s="29">
        <v>65</v>
      </c>
      <c r="J27" s="30">
        <f>I27*H27</f>
        <v>0</v>
      </c>
    </row>
    <row r="28" spans="2:10" ht="11.25">
      <c r="B28" s="25">
        <f>B8</f>
        <v>2006</v>
      </c>
      <c r="C28" s="21">
        <f>J8</f>
        <v>2.6689</v>
      </c>
      <c r="D28" s="26">
        <v>0.05</v>
      </c>
      <c r="E28" s="27">
        <f>D28*1000000*C28</f>
        <v>133445</v>
      </c>
      <c r="F28" s="28">
        <v>0.04</v>
      </c>
      <c r="G28" s="27">
        <f>F28*C28*1000000</f>
        <v>106755.99999999999</v>
      </c>
      <c r="H28" s="27">
        <f>E28-G28</f>
        <v>26689.000000000015</v>
      </c>
      <c r="I28" s="29">
        <f>I27+(I27*$K$26)</f>
        <v>66.3</v>
      </c>
      <c r="J28" s="30">
        <f>I28*H28</f>
        <v>1769480.700000001</v>
      </c>
    </row>
    <row r="29" spans="2:10" ht="11.25">
      <c r="B29" s="25">
        <f>B9</f>
        <v>2007</v>
      </c>
      <c r="C29" s="21">
        <f>J9</f>
        <v>3.2648269999999995</v>
      </c>
      <c r="D29" s="26">
        <v>0.05</v>
      </c>
      <c r="E29" s="27">
        <f>D29*1000000*C29</f>
        <v>163241.34999999998</v>
      </c>
      <c r="F29" s="28">
        <v>0.03</v>
      </c>
      <c r="G29" s="27">
        <f>F29*C29*1000000</f>
        <v>97944.80999999998</v>
      </c>
      <c r="H29" s="27">
        <f>E29-G29</f>
        <v>65296.53999999999</v>
      </c>
      <c r="I29" s="29">
        <f aca="true" t="shared" si="2" ref="I29:I42">I28+(I28*$K$26)</f>
        <v>67.62599999999999</v>
      </c>
      <c r="J29" s="30">
        <f>I29*H29</f>
        <v>4415743.814039999</v>
      </c>
    </row>
    <row r="30" spans="2:10" ht="11.25">
      <c r="B30" s="25">
        <f aca="true" t="shared" si="3" ref="B30:B42">B10</f>
        <v>2008</v>
      </c>
      <c r="C30" s="21">
        <f aca="true" t="shared" si="4" ref="C30:C42">J10</f>
        <v>3.51977181</v>
      </c>
      <c r="D30" s="26">
        <v>0.05</v>
      </c>
      <c r="E30" s="27">
        <f aca="true" t="shared" si="5" ref="E30:E42">D30*1000000*C30</f>
        <v>175988.5905</v>
      </c>
      <c r="F30" s="28">
        <v>0.02</v>
      </c>
      <c r="G30" s="27">
        <f aca="true" t="shared" si="6" ref="G30:G42">F30*C30*1000000</f>
        <v>70395.4362</v>
      </c>
      <c r="H30" s="27">
        <f aca="true" t="shared" si="7" ref="H30:H42">E30-G30</f>
        <v>105593.1543</v>
      </c>
      <c r="I30" s="29">
        <f t="shared" si="2"/>
        <v>68.97851999999999</v>
      </c>
      <c r="J30" s="30">
        <f aca="true" t="shared" si="8" ref="J30:J42">I30*H30</f>
        <v>7283659.505745634</v>
      </c>
    </row>
    <row r="31" spans="2:10" ht="11.25">
      <c r="B31" s="25">
        <f t="shared" si="3"/>
        <v>2009</v>
      </c>
      <c r="C31" s="21">
        <f t="shared" si="4"/>
        <v>3.787764964300001</v>
      </c>
      <c r="D31" s="26">
        <v>0.05</v>
      </c>
      <c r="E31" s="27">
        <f t="shared" si="5"/>
        <v>189388.24821500006</v>
      </c>
      <c r="F31" s="28">
        <v>0.02</v>
      </c>
      <c r="G31" s="27">
        <f t="shared" si="6"/>
        <v>75755.29928600001</v>
      </c>
      <c r="H31" s="27">
        <f t="shared" si="7"/>
        <v>113632.94892900005</v>
      </c>
      <c r="I31" s="29">
        <f t="shared" si="2"/>
        <v>70.3580904</v>
      </c>
      <c r="J31" s="30">
        <f t="shared" si="8"/>
        <v>7994997.293165168</v>
      </c>
    </row>
    <row r="32" spans="2:10" ht="11.25">
      <c r="B32" s="25">
        <f t="shared" si="3"/>
        <v>2010</v>
      </c>
      <c r="C32" s="21">
        <f t="shared" si="4"/>
        <v>4.102137913229001</v>
      </c>
      <c r="D32" s="26">
        <v>0.05</v>
      </c>
      <c r="E32" s="27">
        <f t="shared" si="5"/>
        <v>205106.89566145005</v>
      </c>
      <c r="F32" s="28">
        <v>0.02</v>
      </c>
      <c r="G32" s="27">
        <f t="shared" si="6"/>
        <v>82042.75826458001</v>
      </c>
      <c r="H32" s="27">
        <f t="shared" si="7"/>
        <v>123064.13739687004</v>
      </c>
      <c r="I32" s="29">
        <f t="shared" si="2"/>
        <v>71.76525220799999</v>
      </c>
      <c r="J32" s="30">
        <f t="shared" si="8"/>
        <v>8831728.858046342</v>
      </c>
    </row>
    <row r="33" spans="2:10" ht="11.25">
      <c r="B33" s="25">
        <f t="shared" si="3"/>
        <v>2011</v>
      </c>
      <c r="C33" s="21">
        <f t="shared" si="4"/>
        <v>4.1642620506258705</v>
      </c>
      <c r="D33" s="26">
        <v>0.05</v>
      </c>
      <c r="E33" s="27">
        <f t="shared" si="5"/>
        <v>208213.10253129352</v>
      </c>
      <c r="F33" s="28">
        <v>0.02</v>
      </c>
      <c r="G33" s="27">
        <f t="shared" si="6"/>
        <v>83285.2410125174</v>
      </c>
      <c r="H33" s="27">
        <f t="shared" si="7"/>
        <v>124927.86151877612</v>
      </c>
      <c r="I33" s="29">
        <f t="shared" si="2"/>
        <v>73.20055725216</v>
      </c>
      <c r="J33" s="30">
        <f t="shared" si="8"/>
        <v>9144789.079495087</v>
      </c>
    </row>
    <row r="34" spans="2:10" ht="11.25">
      <c r="B34" s="25">
        <f t="shared" si="3"/>
        <v>2012</v>
      </c>
      <c r="C34" s="21">
        <f t="shared" si="4"/>
        <v>4.226189912144646</v>
      </c>
      <c r="D34" s="26">
        <v>0.05</v>
      </c>
      <c r="E34" s="27">
        <f t="shared" si="5"/>
        <v>211309.4956072323</v>
      </c>
      <c r="F34" s="28">
        <v>0.02</v>
      </c>
      <c r="G34" s="27">
        <f t="shared" si="6"/>
        <v>84523.79824289291</v>
      </c>
      <c r="H34" s="27">
        <f t="shared" si="7"/>
        <v>126785.69736433939</v>
      </c>
      <c r="I34" s="29">
        <f t="shared" si="2"/>
        <v>74.6645683972032</v>
      </c>
      <c r="J34" s="30">
        <f t="shared" si="8"/>
        <v>9466399.372646824</v>
      </c>
    </row>
    <row r="35" spans="2:10" ht="11.25">
      <c r="B35" s="25">
        <f t="shared" si="3"/>
        <v>2013</v>
      </c>
      <c r="C35" s="21">
        <f t="shared" si="4"/>
        <v>4.2899756095089865</v>
      </c>
      <c r="D35" s="26">
        <v>0.05</v>
      </c>
      <c r="E35" s="27">
        <f t="shared" si="5"/>
        <v>214498.7804754493</v>
      </c>
      <c r="F35" s="28">
        <v>0.02</v>
      </c>
      <c r="G35" s="27">
        <f t="shared" si="6"/>
        <v>85799.51219017972</v>
      </c>
      <c r="H35" s="27">
        <f t="shared" si="7"/>
        <v>128699.26828526959</v>
      </c>
      <c r="I35" s="29">
        <f t="shared" si="2"/>
        <v>76.15785976514726</v>
      </c>
      <c r="J35" s="30">
        <f t="shared" si="8"/>
        <v>9801460.825946625</v>
      </c>
    </row>
    <row r="36" spans="2:10" ht="11.25">
      <c r="B36" s="25">
        <f t="shared" si="3"/>
        <v>2014</v>
      </c>
      <c r="C36" s="21">
        <f t="shared" si="4"/>
        <v>4.3556748777942556</v>
      </c>
      <c r="D36" s="26">
        <v>0.05</v>
      </c>
      <c r="E36" s="27">
        <f t="shared" si="5"/>
        <v>217783.7438897128</v>
      </c>
      <c r="F36" s="28">
        <v>0.02</v>
      </c>
      <c r="G36" s="27">
        <f t="shared" si="6"/>
        <v>87113.49755588511</v>
      </c>
      <c r="H36" s="27">
        <f t="shared" si="7"/>
        <v>130670.24633382767</v>
      </c>
      <c r="I36" s="29">
        <f t="shared" si="2"/>
        <v>77.68101696045021</v>
      </c>
      <c r="J36" s="30">
        <f t="shared" si="8"/>
        <v>10150597.621684274</v>
      </c>
    </row>
    <row r="37" spans="2:10" ht="11.25">
      <c r="B37" s="25">
        <f t="shared" si="3"/>
        <v>2015</v>
      </c>
      <c r="C37" s="21">
        <f t="shared" si="4"/>
        <v>4.423345124128083</v>
      </c>
      <c r="D37" s="26">
        <v>0.05</v>
      </c>
      <c r="E37" s="27">
        <f t="shared" si="5"/>
        <v>221167.25620640416</v>
      </c>
      <c r="F37" s="28">
        <v>0.02</v>
      </c>
      <c r="G37" s="27">
        <f t="shared" si="6"/>
        <v>88466.90248256167</v>
      </c>
      <c r="H37" s="27">
        <f t="shared" si="7"/>
        <v>132700.35372384248</v>
      </c>
      <c r="I37" s="29">
        <f t="shared" si="2"/>
        <v>79.23463729965921</v>
      </c>
      <c r="J37" s="30">
        <f t="shared" si="8"/>
        <v>10514464.39684514</v>
      </c>
    </row>
    <row r="38" spans="2:10" ht="11.25">
      <c r="B38" s="25">
        <f t="shared" si="3"/>
        <v>2016</v>
      </c>
      <c r="C38" s="21">
        <f t="shared" si="4"/>
        <v>4.4930454778519255</v>
      </c>
      <c r="D38" s="26">
        <v>0.05</v>
      </c>
      <c r="E38" s="27">
        <f t="shared" si="5"/>
        <v>224652.27389259628</v>
      </c>
      <c r="F38" s="28">
        <v>0.02</v>
      </c>
      <c r="G38" s="27">
        <f t="shared" si="6"/>
        <v>89860.90955703851</v>
      </c>
      <c r="H38" s="27">
        <f t="shared" si="7"/>
        <v>134791.36433555777</v>
      </c>
      <c r="I38" s="29">
        <f t="shared" si="2"/>
        <v>80.81933004565239</v>
      </c>
      <c r="J38" s="30">
        <f t="shared" si="8"/>
        <v>10893747.761539223</v>
      </c>
    </row>
    <row r="39" spans="2:10" ht="11.25">
      <c r="B39" s="25">
        <f t="shared" si="3"/>
        <v>2017</v>
      </c>
      <c r="C39" s="21">
        <f t="shared" si="4"/>
        <v>4.564836842187484</v>
      </c>
      <c r="D39" s="26">
        <v>0.05</v>
      </c>
      <c r="E39" s="27">
        <f t="shared" si="5"/>
        <v>228241.8421093742</v>
      </c>
      <c r="F39" s="28">
        <v>0.02</v>
      </c>
      <c r="G39" s="27">
        <f t="shared" si="6"/>
        <v>91296.73684374969</v>
      </c>
      <c r="H39" s="27">
        <f t="shared" si="7"/>
        <v>136945.10526562453</v>
      </c>
      <c r="I39" s="29">
        <f t="shared" si="2"/>
        <v>82.43571664656544</v>
      </c>
      <c r="J39" s="30">
        <f t="shared" si="8"/>
        <v>11289167.893811101</v>
      </c>
    </row>
    <row r="40" spans="2:10" ht="11.25">
      <c r="B40" s="25">
        <f t="shared" si="3"/>
        <v>2018</v>
      </c>
      <c r="C40" s="21">
        <f t="shared" si="4"/>
        <v>4.638781947453109</v>
      </c>
      <c r="D40" s="26">
        <v>0.05</v>
      </c>
      <c r="E40" s="27">
        <f t="shared" si="5"/>
        <v>231939.09737265544</v>
      </c>
      <c r="F40" s="28">
        <v>0.02</v>
      </c>
      <c r="G40" s="27">
        <f t="shared" si="6"/>
        <v>92775.63894906217</v>
      </c>
      <c r="H40" s="27">
        <f t="shared" si="7"/>
        <v>139163.45842359326</v>
      </c>
      <c r="I40" s="29">
        <f t="shared" si="2"/>
        <v>84.08443097949674</v>
      </c>
      <c r="J40" s="30">
        <f t="shared" si="8"/>
        <v>11701480.214686692</v>
      </c>
    </row>
    <row r="41" spans="2:10" ht="11.25">
      <c r="B41" s="25">
        <f t="shared" si="3"/>
        <v>2019</v>
      </c>
      <c r="C41" s="21">
        <f t="shared" si="4"/>
        <v>4.714945405876702</v>
      </c>
      <c r="D41" s="26">
        <v>0.05</v>
      </c>
      <c r="E41" s="27">
        <f t="shared" si="5"/>
        <v>235747.2702938351</v>
      </c>
      <c r="F41" s="28">
        <v>0.02</v>
      </c>
      <c r="G41" s="27">
        <f t="shared" si="6"/>
        <v>94298.90811753405</v>
      </c>
      <c r="H41" s="27">
        <f t="shared" si="7"/>
        <v>141448.36217630107</v>
      </c>
      <c r="I41" s="29">
        <f t="shared" si="2"/>
        <v>85.76611959908668</v>
      </c>
      <c r="J41" s="30">
        <f t="shared" si="8"/>
        <v>12131477.147507567</v>
      </c>
    </row>
    <row r="42" spans="2:10" ht="11.25">
      <c r="B42" s="25">
        <f t="shared" si="3"/>
        <v>2020</v>
      </c>
      <c r="C42" s="21">
        <f t="shared" si="4"/>
        <v>4.793393768053003</v>
      </c>
      <c r="D42" s="26">
        <v>0.05</v>
      </c>
      <c r="E42" s="27">
        <f t="shared" si="5"/>
        <v>239669.68840265018</v>
      </c>
      <c r="F42" s="28">
        <v>0.02</v>
      </c>
      <c r="G42" s="27">
        <f t="shared" si="6"/>
        <v>95867.87536106007</v>
      </c>
      <c r="H42" s="27">
        <f t="shared" si="7"/>
        <v>143801.8130415901</v>
      </c>
      <c r="I42" s="29">
        <f t="shared" si="2"/>
        <v>87.48144199106841</v>
      </c>
      <c r="J42" s="30">
        <f t="shared" si="8"/>
        <v>12579989.965808328</v>
      </c>
    </row>
    <row r="43" spans="2:10" s="36" customFormat="1" ht="11.25" thickBot="1">
      <c r="B43" s="31" t="s">
        <v>23</v>
      </c>
      <c r="C43" s="32">
        <f>SUM(C26:C42)</f>
        <v>66.44685270315307</v>
      </c>
      <c r="D43" s="33"/>
      <c r="E43" s="34">
        <f>SUM(E26:E42)</f>
        <v>3322342.635157653</v>
      </c>
      <c r="F43" s="33"/>
      <c r="G43" s="34">
        <f>SUM(G26:G42)</f>
        <v>1548133.3240630613</v>
      </c>
      <c r="H43" s="34">
        <f>SUM(H26:H42)</f>
        <v>1774209.3110945923</v>
      </c>
      <c r="I43" s="33"/>
      <c r="J43" s="35">
        <f>SUM(J26:J42)</f>
        <v>137969184.450968</v>
      </c>
    </row>
    <row r="45" ht="12" thickBot="1"/>
    <row r="46" spans="2:13" ht="15">
      <c r="B46" s="37"/>
      <c r="C46" s="38" t="s">
        <v>61</v>
      </c>
      <c r="D46" s="39">
        <v>17.4</v>
      </c>
      <c r="E46" s="39" t="s">
        <v>62</v>
      </c>
      <c r="F46" s="40"/>
      <c r="G46" s="39"/>
      <c r="H46" s="39"/>
      <c r="I46" s="39"/>
      <c r="J46" s="39"/>
      <c r="K46" s="39"/>
      <c r="L46" s="39"/>
      <c r="M46" s="41"/>
    </row>
    <row r="47" spans="2:13" ht="12.75">
      <c r="B47" s="282">
        <f>H43*1000</f>
        <v>1774209311.0945923</v>
      </c>
      <c r="C47" s="283"/>
      <c r="D47" s="42">
        <f>B47*D46</f>
        <v>30871242013.045902</v>
      </c>
      <c r="E47" s="43" t="s">
        <v>62</v>
      </c>
      <c r="F47" s="43"/>
      <c r="G47" s="43"/>
      <c r="H47" s="43"/>
      <c r="I47" s="43"/>
      <c r="J47" s="43"/>
      <c r="K47" s="43"/>
      <c r="L47" s="43"/>
      <c r="M47" s="44"/>
    </row>
    <row r="48" spans="2:13" ht="12.75">
      <c r="B48" s="45"/>
      <c r="C48" s="43"/>
      <c r="D48" s="42">
        <f>D47/1000</f>
        <v>30871242.013045903</v>
      </c>
      <c r="E48" s="43" t="s">
        <v>63</v>
      </c>
      <c r="F48" s="43"/>
      <c r="G48" s="43"/>
      <c r="H48" s="43"/>
      <c r="I48" s="43"/>
      <c r="J48" s="43"/>
      <c r="K48" s="43"/>
      <c r="L48" s="43"/>
      <c r="M48" s="44"/>
    </row>
    <row r="49" spans="2:13" ht="11.25">
      <c r="B49" s="45"/>
      <c r="C49" s="43"/>
      <c r="D49" s="169">
        <v>5</v>
      </c>
      <c r="E49" s="43" t="s">
        <v>25</v>
      </c>
      <c r="F49" s="43"/>
      <c r="G49" s="43"/>
      <c r="H49" s="43"/>
      <c r="I49" s="43"/>
      <c r="J49" s="43"/>
      <c r="K49" s="43"/>
      <c r="L49" s="43"/>
      <c r="M49" s="44"/>
    </row>
    <row r="50" spans="2:13" ht="12" thickBot="1">
      <c r="B50" s="45"/>
      <c r="C50" s="46" t="s">
        <v>24</v>
      </c>
      <c r="D50" s="47"/>
      <c r="E50" s="43"/>
      <c r="F50" s="43"/>
      <c r="G50" s="43"/>
      <c r="H50" s="43"/>
      <c r="I50" s="43"/>
      <c r="J50" s="43"/>
      <c r="K50" s="43"/>
      <c r="L50" s="43"/>
      <c r="M50" s="44"/>
    </row>
    <row r="51" spans="2:13" ht="45">
      <c r="B51" s="48" t="s">
        <v>22</v>
      </c>
      <c r="C51" s="49" t="s">
        <v>64</v>
      </c>
      <c r="D51" s="49" t="s">
        <v>65</v>
      </c>
      <c r="E51" s="49" t="s">
        <v>50</v>
      </c>
      <c r="F51" s="49" t="s">
        <v>54</v>
      </c>
      <c r="G51" s="49" t="s">
        <v>54</v>
      </c>
      <c r="H51" s="49" t="s">
        <v>54</v>
      </c>
      <c r="I51" s="49" t="s">
        <v>54</v>
      </c>
      <c r="J51" s="49" t="s">
        <v>54</v>
      </c>
      <c r="K51" s="49" t="s">
        <v>54</v>
      </c>
      <c r="L51" s="43"/>
      <c r="M51" s="44"/>
    </row>
    <row r="52" spans="2:13" ht="11.25">
      <c r="B52" s="50"/>
      <c r="C52" s="51"/>
      <c r="D52" s="51"/>
      <c r="E52" s="51"/>
      <c r="F52" s="51">
        <f>$D$49</f>
        <v>5</v>
      </c>
      <c r="G52" s="51">
        <f>F52-1</f>
        <v>4</v>
      </c>
      <c r="H52" s="51">
        <f>G52-1</f>
        <v>3</v>
      </c>
      <c r="I52" s="51">
        <f>H52-1</f>
        <v>2</v>
      </c>
      <c r="J52" s="51">
        <f>I52-1</f>
        <v>1</v>
      </c>
      <c r="K52" s="51">
        <f>J52-1</f>
        <v>0</v>
      </c>
      <c r="L52" s="43"/>
      <c r="M52" s="44"/>
    </row>
    <row r="53" spans="2:13" ht="11.25">
      <c r="B53" s="25">
        <f aca="true" t="shared" si="9" ref="B53:B61">B27</f>
        <v>2005</v>
      </c>
      <c r="C53" s="52">
        <f aca="true" t="shared" si="10" ref="C53:C61">H27*1000</f>
        <v>0</v>
      </c>
      <c r="D53" s="52">
        <f aca="true" t="shared" si="11" ref="D53:D61">C53*$D$46/1000</f>
        <v>0</v>
      </c>
      <c r="E53" s="53">
        <f>$D$49*C53</f>
        <v>0</v>
      </c>
      <c r="F53" s="53">
        <v>0</v>
      </c>
      <c r="G53" s="53">
        <v>0</v>
      </c>
      <c r="H53" s="53">
        <f>$D52*$H$52</f>
        <v>0</v>
      </c>
      <c r="I53" s="53">
        <f>H53</f>
        <v>0</v>
      </c>
      <c r="J53" s="53">
        <f>I53</f>
        <v>0</v>
      </c>
      <c r="K53" s="54">
        <f>J53</f>
        <v>0</v>
      </c>
      <c r="L53" s="43"/>
      <c r="M53" s="44"/>
    </row>
    <row r="54" spans="2:13" ht="11.25">
      <c r="B54" s="25">
        <f t="shared" si="9"/>
        <v>2006</v>
      </c>
      <c r="C54" s="52">
        <f t="shared" si="10"/>
        <v>26689000.000000015</v>
      </c>
      <c r="D54" s="52">
        <f t="shared" si="11"/>
        <v>464388.6000000002</v>
      </c>
      <c r="E54" s="53">
        <f aca="true" t="shared" si="12" ref="E54:E60">$D$49*D54</f>
        <v>2321943.000000001</v>
      </c>
      <c r="F54" s="53">
        <f>E53</f>
        <v>0</v>
      </c>
      <c r="G54" s="53">
        <f>$D53*$G$52</f>
        <v>0</v>
      </c>
      <c r="H54" s="53">
        <f>$D53*$H$52</f>
        <v>0</v>
      </c>
      <c r="I54" s="53">
        <f aca="true" t="shared" si="13" ref="I54:I61">$D53*$I$52</f>
        <v>0</v>
      </c>
      <c r="J54" s="53">
        <f aca="true" t="shared" si="14" ref="J54:J61">$D53*$J$52</f>
        <v>0</v>
      </c>
      <c r="K54" s="54">
        <f>$D53*4</f>
        <v>0</v>
      </c>
      <c r="L54" s="43"/>
      <c r="M54" s="44"/>
    </row>
    <row r="55" spans="2:13" ht="11.25">
      <c r="B55" s="25">
        <f t="shared" si="9"/>
        <v>2007</v>
      </c>
      <c r="C55" s="52">
        <f t="shared" si="10"/>
        <v>65296539.99999999</v>
      </c>
      <c r="D55" s="52">
        <f t="shared" si="11"/>
        <v>1136159.7959999999</v>
      </c>
      <c r="E55" s="53">
        <f t="shared" si="12"/>
        <v>5680798.9799999995</v>
      </c>
      <c r="F55" s="53">
        <f aca="true" t="shared" si="15" ref="F55:F61">E54</f>
        <v>2321943.000000001</v>
      </c>
      <c r="G55" s="53">
        <f aca="true" t="shared" si="16" ref="G55:G61">$D54*$G$52</f>
        <v>1857554.4000000008</v>
      </c>
      <c r="H55" s="53">
        <f>$D54*$H$52</f>
        <v>1393165.8000000007</v>
      </c>
      <c r="I55" s="53">
        <f t="shared" si="13"/>
        <v>928777.2000000004</v>
      </c>
      <c r="J55" s="53">
        <f t="shared" si="14"/>
        <v>464388.6000000002</v>
      </c>
      <c r="K55" s="54">
        <f>$D54*$K$52</f>
        <v>0</v>
      </c>
      <c r="L55" s="43"/>
      <c r="M55" s="44"/>
    </row>
    <row r="56" spans="2:13" ht="11.25">
      <c r="B56" s="25">
        <f t="shared" si="9"/>
        <v>2008</v>
      </c>
      <c r="C56" s="52">
        <f t="shared" si="10"/>
        <v>105593154.3</v>
      </c>
      <c r="D56" s="52">
        <f t="shared" si="11"/>
        <v>1837320.8848199998</v>
      </c>
      <c r="E56" s="53">
        <f t="shared" si="12"/>
        <v>9186604.424099999</v>
      </c>
      <c r="F56" s="53">
        <f t="shared" si="15"/>
        <v>5680798.9799999995</v>
      </c>
      <c r="G56" s="53">
        <f t="shared" si="16"/>
        <v>4544639.183999999</v>
      </c>
      <c r="H56" s="53">
        <f aca="true" t="shared" si="17" ref="H56:H61">$D55*$H$52</f>
        <v>3408479.3879999993</v>
      </c>
      <c r="I56" s="53">
        <f t="shared" si="13"/>
        <v>2272319.5919999997</v>
      </c>
      <c r="J56" s="53">
        <f t="shared" si="14"/>
        <v>1136159.7959999999</v>
      </c>
      <c r="K56" s="54">
        <f aca="true" t="shared" si="18" ref="K56:K61">$D55*$K$52</f>
        <v>0</v>
      </c>
      <c r="L56" s="43"/>
      <c r="M56" s="44"/>
    </row>
    <row r="57" spans="2:13" ht="11.25">
      <c r="B57" s="25">
        <f t="shared" si="9"/>
        <v>2009</v>
      </c>
      <c r="C57" s="52">
        <f t="shared" si="10"/>
        <v>113632948.92900005</v>
      </c>
      <c r="D57" s="52">
        <f t="shared" si="11"/>
        <v>1977213.3113646007</v>
      </c>
      <c r="E57" s="53">
        <f t="shared" si="12"/>
        <v>9886066.556823004</v>
      </c>
      <c r="F57" s="53">
        <f t="shared" si="15"/>
        <v>9186604.424099999</v>
      </c>
      <c r="G57" s="53">
        <f t="shared" si="16"/>
        <v>7349283.539279999</v>
      </c>
      <c r="H57" s="53">
        <f t="shared" si="17"/>
        <v>5511962.65446</v>
      </c>
      <c r="I57" s="53">
        <f t="shared" si="13"/>
        <v>3674641.7696399996</v>
      </c>
      <c r="J57" s="53">
        <f t="shared" si="14"/>
        <v>1837320.8848199998</v>
      </c>
      <c r="K57" s="54">
        <f t="shared" si="18"/>
        <v>0</v>
      </c>
      <c r="L57" s="43"/>
      <c r="M57" s="44"/>
    </row>
    <row r="58" spans="2:13" ht="11.25">
      <c r="B58" s="25">
        <f t="shared" si="9"/>
        <v>2010</v>
      </c>
      <c r="C58" s="52">
        <f t="shared" si="10"/>
        <v>123064137.39687003</v>
      </c>
      <c r="D58" s="52">
        <f t="shared" si="11"/>
        <v>2141315.990705538</v>
      </c>
      <c r="E58" s="53">
        <f t="shared" si="12"/>
        <v>10706579.95352769</v>
      </c>
      <c r="F58" s="53">
        <f t="shared" si="15"/>
        <v>9886066.556823004</v>
      </c>
      <c r="G58" s="53">
        <f t="shared" si="16"/>
        <v>7908853.245458403</v>
      </c>
      <c r="H58" s="53">
        <f t="shared" si="17"/>
        <v>5931639.934093802</v>
      </c>
      <c r="I58" s="53">
        <f t="shared" si="13"/>
        <v>3954426.6227292013</v>
      </c>
      <c r="J58" s="53">
        <f t="shared" si="14"/>
        <v>1977213.3113646007</v>
      </c>
      <c r="K58" s="54">
        <f t="shared" si="18"/>
        <v>0</v>
      </c>
      <c r="L58" s="43"/>
      <c r="M58" s="44"/>
    </row>
    <row r="59" spans="2:13" ht="11.25">
      <c r="B59" s="25">
        <f t="shared" si="9"/>
        <v>2011</v>
      </c>
      <c r="C59" s="52">
        <f t="shared" si="10"/>
        <v>124927861.51877612</v>
      </c>
      <c r="D59" s="52">
        <f t="shared" si="11"/>
        <v>2173744.7904267046</v>
      </c>
      <c r="E59" s="53">
        <f t="shared" si="12"/>
        <v>10868723.952133523</v>
      </c>
      <c r="F59" s="53">
        <f t="shared" si="15"/>
        <v>10706579.95352769</v>
      </c>
      <c r="G59" s="53">
        <f t="shared" si="16"/>
        <v>8565263.962822152</v>
      </c>
      <c r="H59" s="53">
        <f t="shared" si="17"/>
        <v>6423947.972116614</v>
      </c>
      <c r="I59" s="53">
        <f t="shared" si="13"/>
        <v>4282631.981411076</v>
      </c>
      <c r="J59" s="53">
        <f t="shared" si="14"/>
        <v>2141315.990705538</v>
      </c>
      <c r="K59" s="54">
        <f t="shared" si="18"/>
        <v>0</v>
      </c>
      <c r="L59" s="43"/>
      <c r="M59" s="44"/>
    </row>
    <row r="60" spans="2:13" ht="11.25">
      <c r="B60" s="25">
        <f t="shared" si="9"/>
        <v>2012</v>
      </c>
      <c r="C60" s="52">
        <f t="shared" si="10"/>
        <v>126785697.36433938</v>
      </c>
      <c r="D60" s="52">
        <f t="shared" si="11"/>
        <v>2206071.1341395047</v>
      </c>
      <c r="E60" s="53">
        <f t="shared" si="12"/>
        <v>11030355.670697523</v>
      </c>
      <c r="F60" s="53">
        <f t="shared" si="15"/>
        <v>10868723.952133523</v>
      </c>
      <c r="G60" s="53">
        <f t="shared" si="16"/>
        <v>8694979.161706818</v>
      </c>
      <c r="H60" s="53">
        <f t="shared" si="17"/>
        <v>6521234.371280113</v>
      </c>
      <c r="I60" s="53">
        <f t="shared" si="13"/>
        <v>4347489.580853409</v>
      </c>
      <c r="J60" s="53">
        <f t="shared" si="14"/>
        <v>2173744.7904267046</v>
      </c>
      <c r="K60" s="54">
        <f t="shared" si="18"/>
        <v>0</v>
      </c>
      <c r="L60" s="43"/>
      <c r="M60" s="44"/>
    </row>
    <row r="61" spans="2:13" ht="11.25">
      <c r="B61" s="25">
        <f t="shared" si="9"/>
        <v>2013</v>
      </c>
      <c r="C61" s="52">
        <f t="shared" si="10"/>
        <v>128699268.28526959</v>
      </c>
      <c r="D61" s="52">
        <f t="shared" si="11"/>
        <v>2239367.2681636903</v>
      </c>
      <c r="E61" s="53"/>
      <c r="F61" s="53">
        <f t="shared" si="15"/>
        <v>11030355.670697523</v>
      </c>
      <c r="G61" s="53">
        <f t="shared" si="16"/>
        <v>8824284.536558019</v>
      </c>
      <c r="H61" s="53">
        <f t="shared" si="17"/>
        <v>6618213.402418515</v>
      </c>
      <c r="I61" s="53">
        <f t="shared" si="13"/>
        <v>4412142.2682790095</v>
      </c>
      <c r="J61" s="53">
        <f t="shared" si="14"/>
        <v>2206071.1341395047</v>
      </c>
      <c r="K61" s="54">
        <f t="shared" si="18"/>
        <v>0</v>
      </c>
      <c r="L61" s="43"/>
      <c r="M61" s="44"/>
    </row>
    <row r="62" spans="2:13" ht="12" thickBot="1">
      <c r="B62" s="31" t="s">
        <v>23</v>
      </c>
      <c r="C62" s="55">
        <f>SUM(C53:C61)</f>
        <v>814688607.7942551</v>
      </c>
      <c r="D62" s="55">
        <f aca="true" t="shared" si="19" ref="D62:K62">SUM(D53:D61)</f>
        <v>14175581.775620038</v>
      </c>
      <c r="E62" s="55">
        <f t="shared" si="19"/>
        <v>59681072.537281744</v>
      </c>
      <c r="F62" s="55">
        <f t="shared" si="19"/>
        <v>59681072.537281744</v>
      </c>
      <c r="G62" s="55">
        <f t="shared" si="19"/>
        <v>47744858.02982539</v>
      </c>
      <c r="H62" s="55">
        <f t="shared" si="19"/>
        <v>35808643.52236904</v>
      </c>
      <c r="I62" s="55">
        <f t="shared" si="19"/>
        <v>23872429.014912695</v>
      </c>
      <c r="J62" s="55">
        <f t="shared" si="19"/>
        <v>11936214.507456347</v>
      </c>
      <c r="K62" s="56">
        <f t="shared" si="19"/>
        <v>0</v>
      </c>
      <c r="L62" s="43"/>
      <c r="M62" s="44"/>
    </row>
    <row r="63" spans="2:13" ht="11.25">
      <c r="B63" s="45"/>
      <c r="C63" s="43"/>
      <c r="D63" s="43"/>
      <c r="E63" s="43"/>
      <c r="F63" s="43"/>
      <c r="G63" s="43"/>
      <c r="H63" s="43"/>
      <c r="I63" s="43"/>
      <c r="J63" s="43"/>
      <c r="K63" s="43"/>
      <c r="L63" s="43"/>
      <c r="M63" s="44"/>
    </row>
    <row r="64" spans="2:13" ht="11.25">
      <c r="B64" s="45"/>
      <c r="C64" s="43"/>
      <c r="D64" s="43"/>
      <c r="E64" s="43"/>
      <c r="F64" s="43"/>
      <c r="G64" s="43"/>
      <c r="H64" s="43"/>
      <c r="I64" s="43"/>
      <c r="J64" s="43"/>
      <c r="K64" s="43"/>
      <c r="L64" s="43"/>
      <c r="M64" s="44"/>
    </row>
    <row r="65" spans="2:13" ht="11.25">
      <c r="B65" s="45"/>
      <c r="C65" s="43"/>
      <c r="D65" s="43"/>
      <c r="E65" s="43"/>
      <c r="F65" s="43"/>
      <c r="G65" s="43"/>
      <c r="H65" s="43"/>
      <c r="I65" s="43"/>
      <c r="J65" s="43"/>
      <c r="K65" s="43"/>
      <c r="L65" s="43"/>
      <c r="M65" s="44"/>
    </row>
    <row r="66" spans="2:13" ht="11.25">
      <c r="B66" s="45"/>
      <c r="C66" s="43"/>
      <c r="D66" s="43"/>
      <c r="E66" s="43"/>
      <c r="F66" s="43"/>
      <c r="G66" s="43"/>
      <c r="H66" s="43"/>
      <c r="I66" s="43"/>
      <c r="J66" s="43"/>
      <c r="K66" s="43"/>
      <c r="L66" s="43"/>
      <c r="M66" s="44"/>
    </row>
    <row r="67" spans="2:13" ht="11.25">
      <c r="B67" s="45"/>
      <c r="C67" s="43"/>
      <c r="D67" s="43"/>
      <c r="E67" s="43"/>
      <c r="F67" s="43"/>
      <c r="G67" s="43"/>
      <c r="H67" s="43"/>
      <c r="I67" s="43"/>
      <c r="J67" s="43"/>
      <c r="K67" s="43"/>
      <c r="L67" s="43"/>
      <c r="M67" s="44"/>
    </row>
    <row r="68" spans="2:13" ht="11.25">
      <c r="B68" s="45"/>
      <c r="C68" s="43"/>
      <c r="D68" s="43"/>
      <c r="E68" s="43"/>
      <c r="F68" s="43"/>
      <c r="G68" s="43"/>
      <c r="H68" s="43"/>
      <c r="I68" s="43"/>
      <c r="J68" s="43"/>
      <c r="K68" s="43"/>
      <c r="L68" s="43"/>
      <c r="M68" s="44"/>
    </row>
    <row r="69" spans="2:13" ht="13.5" thickBot="1">
      <c r="B69" s="279" t="s">
        <v>55</v>
      </c>
      <c r="C69" s="280"/>
      <c r="D69" s="57">
        <f>F52</f>
        <v>5</v>
      </c>
      <c r="E69" s="58"/>
      <c r="F69" s="58"/>
      <c r="G69" s="58"/>
      <c r="H69" s="43"/>
      <c r="I69" s="43"/>
      <c r="J69" s="43"/>
      <c r="K69" s="43"/>
      <c r="L69" s="43"/>
      <c r="M69" s="44"/>
    </row>
    <row r="70" spans="2:13" ht="11.25">
      <c r="B70" s="59"/>
      <c r="C70" s="60">
        <v>2005</v>
      </c>
      <c r="D70" s="60">
        <f aca="true" t="shared" si="20" ref="D70:M70">C70+1</f>
        <v>2006</v>
      </c>
      <c r="E70" s="60">
        <f t="shared" si="20"/>
        <v>2007</v>
      </c>
      <c r="F70" s="60">
        <f t="shared" si="20"/>
        <v>2008</v>
      </c>
      <c r="G70" s="60">
        <f t="shared" si="20"/>
        <v>2009</v>
      </c>
      <c r="H70" s="60">
        <f t="shared" si="20"/>
        <v>2010</v>
      </c>
      <c r="I70" s="60">
        <f t="shared" si="20"/>
        <v>2011</v>
      </c>
      <c r="J70" s="60">
        <f t="shared" si="20"/>
        <v>2012</v>
      </c>
      <c r="K70" s="60">
        <f t="shared" si="20"/>
        <v>2013</v>
      </c>
      <c r="L70" s="60">
        <f t="shared" si="20"/>
        <v>2014</v>
      </c>
      <c r="M70" s="61">
        <f t="shared" si="20"/>
        <v>2015</v>
      </c>
    </row>
    <row r="71" spans="2:13" ht="11.25">
      <c r="B71" s="62" t="s">
        <v>26</v>
      </c>
      <c r="C71" s="65">
        <v>0</v>
      </c>
      <c r="D71" s="65">
        <f>-Inv06</f>
        <v>-24926449.275362317</v>
      </c>
      <c r="E71" s="65">
        <f>-Inv07</f>
        <v>-19573550.724637683</v>
      </c>
      <c r="F71" s="65">
        <f>-'Cost Assumptions'!G40</f>
        <v>-2122416</v>
      </c>
      <c r="G71" s="65">
        <f>-'Cost Assumptions'!H40</f>
        <v>-2164864.32</v>
      </c>
      <c r="H71" s="65">
        <f>-'Cost Assumptions'!I40</f>
        <v>-2208161.6064</v>
      </c>
      <c r="I71" s="65">
        <f>-'Cost Assumptions'!J40</f>
        <v>-2252324.838528</v>
      </c>
      <c r="J71" s="65">
        <f>-'Cost Assumptions'!K40</f>
        <v>-2297371.3352985596</v>
      </c>
      <c r="K71" s="65">
        <f>-'Cost Assumptions'!L40</f>
        <v>-2343318.762004531</v>
      </c>
      <c r="L71" s="65">
        <f>-'Cost Assumptions'!M40</f>
        <v>-2390185.1372446218</v>
      </c>
      <c r="M71" s="65">
        <f>-'Cost Assumptions'!N40</f>
        <v>-2437988.839989514</v>
      </c>
    </row>
    <row r="72" spans="2:13" ht="11.25">
      <c r="B72" s="62" t="s">
        <v>27</v>
      </c>
      <c r="C72" s="65">
        <f>J27</f>
        <v>0</v>
      </c>
      <c r="D72" s="65">
        <f>$J28</f>
        <v>1769480.700000001</v>
      </c>
      <c r="E72" s="65">
        <f>$J29</f>
        <v>4415743.814039999</v>
      </c>
      <c r="F72" s="65">
        <f>$J30</f>
        <v>7283659.505745634</v>
      </c>
      <c r="G72" s="65">
        <f>$J31</f>
        <v>7994997.293165168</v>
      </c>
      <c r="H72" s="65">
        <f>$J32</f>
        <v>8831728.858046342</v>
      </c>
      <c r="I72" s="65">
        <f>$J33</f>
        <v>9144789.079495087</v>
      </c>
      <c r="J72" s="65">
        <f>$J34</f>
        <v>9466399.372646824</v>
      </c>
      <c r="K72" s="65">
        <f>$J35</f>
        <v>9801460.825946625</v>
      </c>
      <c r="L72" s="65">
        <f>$J36</f>
        <v>10150597.621684274</v>
      </c>
      <c r="M72" s="66">
        <f>$J37</f>
        <v>10514464.39684514</v>
      </c>
    </row>
    <row r="73" spans="2:13" ht="11.25">
      <c r="B73" s="62" t="s">
        <v>24</v>
      </c>
      <c r="C73" s="65">
        <f>F53</f>
        <v>0</v>
      </c>
      <c r="D73" s="65">
        <f>F54</f>
        <v>0</v>
      </c>
      <c r="E73" s="65">
        <f>F55</f>
        <v>2321943.000000001</v>
      </c>
      <c r="F73" s="65">
        <f>F56</f>
        <v>5680798.9799999995</v>
      </c>
      <c r="G73" s="65">
        <f>F57</f>
        <v>9186604.424099999</v>
      </c>
      <c r="H73" s="65">
        <f>F58</f>
        <v>9886066.556823004</v>
      </c>
      <c r="I73" s="65">
        <f>F59</f>
        <v>10706579.95352769</v>
      </c>
      <c r="J73" s="65">
        <f>F60</f>
        <v>10868723.952133523</v>
      </c>
      <c r="K73" s="65">
        <f>F61</f>
        <v>11030355.670697523</v>
      </c>
      <c r="L73" s="65"/>
      <c r="M73" s="66"/>
    </row>
    <row r="74" spans="2:14" ht="12" thickBot="1">
      <c r="B74" s="67" t="s">
        <v>23</v>
      </c>
      <c r="C74" s="68">
        <f>SUM(C71:C73)</f>
        <v>0</v>
      </c>
      <c r="D74" s="68">
        <f aca="true" t="shared" si="21" ref="D74:M74">SUM(D71:D73)</f>
        <v>-23156968.575362317</v>
      </c>
      <c r="E74" s="68">
        <f t="shared" si="21"/>
        <v>-12835863.910597686</v>
      </c>
      <c r="F74" s="68">
        <f>SUM(F71:F73)</f>
        <v>10842042.485745635</v>
      </c>
      <c r="G74" s="68">
        <f t="shared" si="21"/>
        <v>15016737.397265166</v>
      </c>
      <c r="H74" s="68">
        <f t="shared" si="21"/>
        <v>16509633.808469346</v>
      </c>
      <c r="I74" s="68">
        <f t="shared" si="21"/>
        <v>17599044.194494776</v>
      </c>
      <c r="J74" s="68">
        <f t="shared" si="21"/>
        <v>18037751.989481788</v>
      </c>
      <c r="K74" s="68">
        <f t="shared" si="21"/>
        <v>18488497.73463962</v>
      </c>
      <c r="L74" s="68">
        <f t="shared" si="21"/>
        <v>7760412.484439652</v>
      </c>
      <c r="M74" s="69">
        <f t="shared" si="21"/>
        <v>8076475.5568556255</v>
      </c>
      <c r="N74" s="70"/>
    </row>
    <row r="75" spans="2:13" ht="11.25">
      <c r="B75" s="45"/>
      <c r="C75" s="71" t="s">
        <v>51</v>
      </c>
      <c r="D75" s="72">
        <f>NPV(0.1,D74:M74)</f>
        <v>31214107.308259923</v>
      </c>
      <c r="E75" s="37"/>
      <c r="F75" s="39"/>
      <c r="G75" s="39"/>
      <c r="H75" s="39"/>
      <c r="I75" s="39"/>
      <c r="J75" s="39"/>
      <c r="K75" s="39"/>
      <c r="L75" s="39"/>
      <c r="M75" s="41"/>
    </row>
    <row r="76" spans="2:13" ht="12" thickBot="1">
      <c r="B76" s="45"/>
      <c r="C76" s="31" t="s">
        <v>43</v>
      </c>
      <c r="D76" s="73">
        <f>IRR(D74:M74)</f>
        <v>0.2914023394039744</v>
      </c>
      <c r="E76" s="45"/>
      <c r="F76" s="43"/>
      <c r="G76" s="43"/>
      <c r="H76" s="43"/>
      <c r="I76" s="43"/>
      <c r="J76" s="43"/>
      <c r="K76" s="43"/>
      <c r="L76" s="43"/>
      <c r="M76" s="44"/>
    </row>
    <row r="77" spans="2:13" ht="12" thickBot="1">
      <c r="B77" s="45"/>
      <c r="C77" s="31" t="s">
        <v>47</v>
      </c>
      <c r="D77" s="73">
        <f>IRR(D74:L74)</f>
        <v>0.28322553017271906</v>
      </c>
      <c r="E77" s="45"/>
      <c r="F77" s="43"/>
      <c r="G77" s="43"/>
      <c r="H77" s="43"/>
      <c r="I77" s="43"/>
      <c r="J77" s="43"/>
      <c r="K77" s="43"/>
      <c r="L77" s="43"/>
      <c r="M77" s="44"/>
    </row>
    <row r="78" spans="2:13" ht="12" thickBot="1">
      <c r="B78" s="45"/>
      <c r="C78" s="31" t="s">
        <v>48</v>
      </c>
      <c r="D78" s="73">
        <f>IRR(D74:K74)</f>
        <v>0.27231314542916546</v>
      </c>
      <c r="E78" s="45"/>
      <c r="F78" s="43"/>
      <c r="G78" s="43"/>
      <c r="H78" s="43"/>
      <c r="I78" s="43"/>
      <c r="J78" s="43"/>
      <c r="K78" s="43"/>
      <c r="L78" s="43"/>
      <c r="M78" s="44"/>
    </row>
    <row r="79" spans="2:13" ht="12" thickBot="1">
      <c r="B79" s="45"/>
      <c r="C79" s="31" t="s">
        <v>45</v>
      </c>
      <c r="D79" s="73">
        <f>IRR(D74:J74)</f>
        <v>0.23328514830455443</v>
      </c>
      <c r="E79" s="45"/>
      <c r="F79" s="43"/>
      <c r="G79" s="43"/>
      <c r="H79" s="43"/>
      <c r="I79" s="43"/>
      <c r="J79" s="43"/>
      <c r="K79" s="43"/>
      <c r="L79" s="43"/>
      <c r="M79" s="44"/>
    </row>
    <row r="80" spans="2:13" ht="12" thickBot="1">
      <c r="B80" s="45"/>
      <c r="C80" s="31" t="s">
        <v>46</v>
      </c>
      <c r="D80" s="73">
        <f>IRR(D74:I74)</f>
        <v>0.1700643785358153</v>
      </c>
      <c r="E80" s="45"/>
      <c r="F80" s="43"/>
      <c r="G80" s="43"/>
      <c r="H80" s="43"/>
      <c r="I80" s="43"/>
      <c r="J80" s="43"/>
      <c r="K80" s="43"/>
      <c r="L80" s="43"/>
      <c r="M80" s="44"/>
    </row>
    <row r="81" spans="2:13" ht="12" thickBot="1">
      <c r="B81" s="74"/>
      <c r="C81" s="31" t="s">
        <v>44</v>
      </c>
      <c r="D81" s="73">
        <f>IRR(D74:H74)</f>
        <v>0.060748629231925956</v>
      </c>
      <c r="E81" s="74"/>
      <c r="F81" s="75"/>
      <c r="G81" s="75"/>
      <c r="H81" s="75"/>
      <c r="I81" s="75"/>
      <c r="J81" s="75"/>
      <c r="K81" s="75"/>
      <c r="L81" s="75"/>
      <c r="M81" s="76"/>
    </row>
    <row r="83" spans="2:4" ht="13.5" thickBot="1">
      <c r="B83" s="292" t="s">
        <v>55</v>
      </c>
      <c r="C83" s="293"/>
      <c r="D83" s="57">
        <f>G52</f>
        <v>4</v>
      </c>
    </row>
    <row r="84" spans="2:13" ht="11.25">
      <c r="B84" s="59"/>
      <c r="C84" s="60">
        <v>2005</v>
      </c>
      <c r="D84" s="60">
        <f aca="true" t="shared" si="22" ref="D84:M84">C84+1</f>
        <v>2006</v>
      </c>
      <c r="E84" s="60">
        <f t="shared" si="22"/>
        <v>2007</v>
      </c>
      <c r="F84" s="60">
        <f t="shared" si="22"/>
        <v>2008</v>
      </c>
      <c r="G84" s="60">
        <f t="shared" si="22"/>
        <v>2009</v>
      </c>
      <c r="H84" s="60">
        <f t="shared" si="22"/>
        <v>2010</v>
      </c>
      <c r="I84" s="60">
        <f t="shared" si="22"/>
        <v>2011</v>
      </c>
      <c r="J84" s="60">
        <f t="shared" si="22"/>
        <v>2012</v>
      </c>
      <c r="K84" s="60">
        <f t="shared" si="22"/>
        <v>2013</v>
      </c>
      <c r="L84" s="60">
        <f t="shared" si="22"/>
        <v>2014</v>
      </c>
      <c r="M84" s="61">
        <f t="shared" si="22"/>
        <v>2015</v>
      </c>
    </row>
    <row r="85" spans="2:13" ht="11.25">
      <c r="B85" s="62" t="s">
        <v>26</v>
      </c>
      <c r="C85" s="65">
        <v>0</v>
      </c>
      <c r="D85" s="65">
        <f>-Inv06</f>
        <v>-24926449.275362317</v>
      </c>
      <c r="E85" s="65">
        <f>-Inv07</f>
        <v>-19573550.724637683</v>
      </c>
      <c r="F85" s="65">
        <f>F$71</f>
        <v>-2122416</v>
      </c>
      <c r="G85" s="65">
        <f aca="true" t="shared" si="23" ref="G85:M85">G$71</f>
        <v>-2164864.32</v>
      </c>
      <c r="H85" s="65">
        <f t="shared" si="23"/>
        <v>-2208161.6064</v>
      </c>
      <c r="I85" s="65">
        <f t="shared" si="23"/>
        <v>-2252324.838528</v>
      </c>
      <c r="J85" s="65">
        <f t="shared" si="23"/>
        <v>-2297371.3352985596</v>
      </c>
      <c r="K85" s="65">
        <f t="shared" si="23"/>
        <v>-2343318.762004531</v>
      </c>
      <c r="L85" s="65">
        <f t="shared" si="23"/>
        <v>-2390185.1372446218</v>
      </c>
      <c r="M85" s="65">
        <f t="shared" si="23"/>
        <v>-2437988.839989514</v>
      </c>
    </row>
    <row r="86" spans="2:13" ht="11.25">
      <c r="B86" s="62" t="s">
        <v>27</v>
      </c>
      <c r="C86" s="65">
        <f>C72</f>
        <v>0</v>
      </c>
      <c r="D86" s="65">
        <f>$D$72</f>
        <v>1769480.700000001</v>
      </c>
      <c r="E86" s="65">
        <f>$E$72</f>
        <v>4415743.814039999</v>
      </c>
      <c r="F86" s="65">
        <f>$F$72</f>
        <v>7283659.505745634</v>
      </c>
      <c r="G86" s="65">
        <f>$G$72</f>
        <v>7994997.293165168</v>
      </c>
      <c r="H86" s="65">
        <f>$H$72</f>
        <v>8831728.858046342</v>
      </c>
      <c r="I86" s="65">
        <f>$I$72</f>
        <v>9144789.079495087</v>
      </c>
      <c r="J86" s="65">
        <f>$J$72</f>
        <v>9466399.372646824</v>
      </c>
      <c r="K86" s="65">
        <f>$K$72</f>
        <v>9801460.825946625</v>
      </c>
      <c r="L86" s="65">
        <f>$L$72</f>
        <v>10150597.621684274</v>
      </c>
      <c r="M86" s="66">
        <f>$M$72</f>
        <v>10514464.39684514</v>
      </c>
    </row>
    <row r="87" spans="2:13" ht="11.25">
      <c r="B87" s="62" t="s">
        <v>24</v>
      </c>
      <c r="C87" s="65">
        <f>$G53</f>
        <v>0</v>
      </c>
      <c r="D87" s="65">
        <f>$G$54</f>
        <v>0</v>
      </c>
      <c r="E87" s="65">
        <f>$G$55</f>
        <v>1857554.4000000008</v>
      </c>
      <c r="F87" s="65">
        <f>$G$56</f>
        <v>4544639.183999999</v>
      </c>
      <c r="G87" s="65">
        <f>$G$57</f>
        <v>7349283.539279999</v>
      </c>
      <c r="H87" s="65">
        <f>$G$58</f>
        <v>7908853.245458403</v>
      </c>
      <c r="I87" s="65">
        <f>$G$59</f>
        <v>8565263.962822152</v>
      </c>
      <c r="J87" s="65">
        <f>$G$60</f>
        <v>8694979.161706818</v>
      </c>
      <c r="K87" s="65">
        <f>$G$61</f>
        <v>8824284.536558019</v>
      </c>
      <c r="L87" s="65"/>
      <c r="M87" s="66"/>
    </row>
    <row r="88" spans="2:13" ht="12" thickBot="1">
      <c r="B88" s="67" t="s">
        <v>23</v>
      </c>
      <c r="C88" s="68">
        <f>SUM(C85:C87)</f>
        <v>0</v>
      </c>
      <c r="D88" s="68">
        <f aca="true" t="shared" si="24" ref="D88:M88">SUM(D85:D87)</f>
        <v>-23156968.575362317</v>
      </c>
      <c r="E88" s="68">
        <f t="shared" si="24"/>
        <v>-13300252.510597685</v>
      </c>
      <c r="F88" s="68">
        <f t="shared" si="24"/>
        <v>9705882.689745635</v>
      </c>
      <c r="G88" s="68">
        <f t="shared" si="24"/>
        <v>13179416.512445167</v>
      </c>
      <c r="H88" s="68">
        <f t="shared" si="24"/>
        <v>14532420.497104745</v>
      </c>
      <c r="I88" s="68">
        <f t="shared" si="24"/>
        <v>15457728.20378924</v>
      </c>
      <c r="J88" s="68">
        <f t="shared" si="24"/>
        <v>15864007.199055083</v>
      </c>
      <c r="K88" s="68">
        <f t="shared" si="24"/>
        <v>16282426.600500114</v>
      </c>
      <c r="L88" s="68">
        <f t="shared" si="24"/>
        <v>7760412.484439652</v>
      </c>
      <c r="M88" s="69">
        <f t="shared" si="24"/>
        <v>8076475.5568556255</v>
      </c>
    </row>
    <row r="89" spans="2:14" ht="11.25">
      <c r="B89" s="43"/>
      <c r="C89" s="71" t="s">
        <v>51</v>
      </c>
      <c r="D89" s="72">
        <f>NPV(0.1,D88:M88)</f>
        <v>24140752.310239386</v>
      </c>
      <c r="E89" s="45"/>
      <c r="F89" s="43"/>
      <c r="G89" s="43"/>
      <c r="H89" s="43"/>
      <c r="I89" s="43"/>
      <c r="J89" s="43"/>
      <c r="K89" s="43"/>
      <c r="L89" s="43"/>
      <c r="M89" s="43"/>
      <c r="N89" s="43"/>
    </row>
    <row r="90" spans="2:14" ht="12" thickBot="1">
      <c r="B90" s="43"/>
      <c r="C90" s="31" t="s">
        <v>43</v>
      </c>
      <c r="D90" s="73">
        <f>IRR(D88:M88)</f>
        <v>0.2512473923140163</v>
      </c>
      <c r="E90" s="45"/>
      <c r="F90" s="43"/>
      <c r="G90" s="43"/>
      <c r="H90" s="43"/>
      <c r="I90" s="43"/>
      <c r="J90" s="43"/>
      <c r="K90" s="43"/>
      <c r="L90" s="43"/>
      <c r="M90" s="43"/>
      <c r="N90" s="43"/>
    </row>
    <row r="91" spans="13:14" ht="11.25">
      <c r="M91" s="43"/>
      <c r="N91" s="43"/>
    </row>
    <row r="92" spans="2:4" ht="13.5" thickBot="1">
      <c r="B92" s="292" t="s">
        <v>55</v>
      </c>
      <c r="C92" s="293"/>
      <c r="D92" s="57">
        <f>H52</f>
        <v>3</v>
      </c>
    </row>
    <row r="93" spans="2:13" ht="11.25">
      <c r="B93" s="59"/>
      <c r="C93" s="60">
        <v>2005</v>
      </c>
      <c r="D93" s="60">
        <f aca="true" t="shared" si="25" ref="D93:M93">C93+1</f>
        <v>2006</v>
      </c>
      <c r="E93" s="60">
        <f t="shared" si="25"/>
        <v>2007</v>
      </c>
      <c r="F93" s="60">
        <f t="shared" si="25"/>
        <v>2008</v>
      </c>
      <c r="G93" s="60">
        <f t="shared" si="25"/>
        <v>2009</v>
      </c>
      <c r="H93" s="60">
        <f t="shared" si="25"/>
        <v>2010</v>
      </c>
      <c r="I93" s="60">
        <f t="shared" si="25"/>
        <v>2011</v>
      </c>
      <c r="J93" s="60">
        <f t="shared" si="25"/>
        <v>2012</v>
      </c>
      <c r="K93" s="60">
        <f t="shared" si="25"/>
        <v>2013</v>
      </c>
      <c r="L93" s="60">
        <f t="shared" si="25"/>
        <v>2014</v>
      </c>
      <c r="M93" s="61">
        <f t="shared" si="25"/>
        <v>2015</v>
      </c>
    </row>
    <row r="94" spans="2:13" ht="11.25">
      <c r="B94" s="62" t="s">
        <v>26</v>
      </c>
      <c r="C94" s="65">
        <v>0</v>
      </c>
      <c r="D94" s="65">
        <f>-Inv06</f>
        <v>-24926449.275362317</v>
      </c>
      <c r="E94" s="65">
        <f>-Inv07</f>
        <v>-19573550.724637683</v>
      </c>
      <c r="F94" s="65">
        <f>-'Cost Assumptions'!G40</f>
        <v>-2122416</v>
      </c>
      <c r="G94" s="65">
        <f>-'Cost Assumptions'!H40</f>
        <v>-2164864.32</v>
      </c>
      <c r="H94" s="65">
        <f>-'Cost Assumptions'!I40</f>
        <v>-2208161.6064</v>
      </c>
      <c r="I94" s="65">
        <f>-'Cost Assumptions'!J40</f>
        <v>-2252324.838528</v>
      </c>
      <c r="J94" s="65">
        <f>-'Cost Assumptions'!K40</f>
        <v>-2297371.3352985596</v>
      </c>
      <c r="K94" s="65">
        <f>-'Cost Assumptions'!L40</f>
        <v>-2343318.762004531</v>
      </c>
      <c r="L94" s="65">
        <f>-'Cost Assumptions'!M40</f>
        <v>-2390185.1372446218</v>
      </c>
      <c r="M94" s="65">
        <f>-'Cost Assumptions'!N40</f>
        <v>-2437988.839989514</v>
      </c>
    </row>
    <row r="95" spans="2:13" ht="11.25">
      <c r="B95" s="62" t="s">
        <v>27</v>
      </c>
      <c r="C95" s="65">
        <f>C82</f>
        <v>0</v>
      </c>
      <c r="D95" s="65">
        <f>$D$72</f>
        <v>1769480.700000001</v>
      </c>
      <c r="E95" s="65">
        <f>$E$72</f>
        <v>4415743.814039999</v>
      </c>
      <c r="F95" s="65">
        <f>$F$72</f>
        <v>7283659.505745634</v>
      </c>
      <c r="G95" s="65">
        <f>$G$72</f>
        <v>7994997.293165168</v>
      </c>
      <c r="H95" s="65">
        <f>$H$72</f>
        <v>8831728.858046342</v>
      </c>
      <c r="I95" s="65">
        <f>$I$72</f>
        <v>9144789.079495087</v>
      </c>
      <c r="J95" s="65">
        <f>$J$72</f>
        <v>9466399.372646824</v>
      </c>
      <c r="K95" s="65">
        <f>$K$72</f>
        <v>9801460.825946625</v>
      </c>
      <c r="L95" s="65">
        <f>$L$72</f>
        <v>10150597.621684274</v>
      </c>
      <c r="M95" s="66">
        <f>$M$72</f>
        <v>10514464.39684514</v>
      </c>
    </row>
    <row r="96" spans="2:13" ht="11.25">
      <c r="B96" s="62" t="s">
        <v>24</v>
      </c>
      <c r="C96" s="65">
        <f>$H$53</f>
        <v>0</v>
      </c>
      <c r="D96" s="65">
        <f>$H$54</f>
        <v>0</v>
      </c>
      <c r="E96" s="65">
        <f>$H$55</f>
        <v>1393165.8000000007</v>
      </c>
      <c r="F96" s="65">
        <f>$H$56</f>
        <v>3408479.3879999993</v>
      </c>
      <c r="G96" s="65">
        <f>$H$57</f>
        <v>5511962.65446</v>
      </c>
      <c r="H96" s="65">
        <f>$H$58</f>
        <v>5931639.934093802</v>
      </c>
      <c r="I96" s="65">
        <f>$H$59</f>
        <v>6423947.972116614</v>
      </c>
      <c r="J96" s="65">
        <f>$H$60</f>
        <v>6521234.371280113</v>
      </c>
      <c r="K96" s="65">
        <f>$H$61</f>
        <v>6618213.402418515</v>
      </c>
      <c r="L96" s="65"/>
      <c r="M96" s="66"/>
    </row>
    <row r="97" spans="2:13" ht="12" thickBot="1">
      <c r="B97" s="67" t="s">
        <v>23</v>
      </c>
      <c r="C97" s="68">
        <f>SUM(C94:C96)</f>
        <v>0</v>
      </c>
      <c r="D97" s="68">
        <f aca="true" t="shared" si="26" ref="D97:M97">SUM(D94:D96)</f>
        <v>-23156968.575362317</v>
      </c>
      <c r="E97" s="68">
        <f t="shared" si="26"/>
        <v>-13764641.110597685</v>
      </c>
      <c r="F97" s="68">
        <f t="shared" si="26"/>
        <v>8569722.893745635</v>
      </c>
      <c r="G97" s="68">
        <f t="shared" si="26"/>
        <v>11342095.627625167</v>
      </c>
      <c r="H97" s="68">
        <f t="shared" si="26"/>
        <v>12555207.185740143</v>
      </c>
      <c r="I97" s="68">
        <f t="shared" si="26"/>
        <v>13316412.213083701</v>
      </c>
      <c r="J97" s="68">
        <f t="shared" si="26"/>
        <v>13690262.408628378</v>
      </c>
      <c r="K97" s="68">
        <f t="shared" si="26"/>
        <v>14076355.46636061</v>
      </c>
      <c r="L97" s="68">
        <f t="shared" si="26"/>
        <v>7760412.484439652</v>
      </c>
      <c r="M97" s="69">
        <f t="shared" si="26"/>
        <v>8076475.5568556255</v>
      </c>
    </row>
    <row r="98" spans="2:14" ht="11.25">
      <c r="B98" s="43"/>
      <c r="C98" s="71" t="s">
        <v>51</v>
      </c>
      <c r="D98" s="72">
        <f>NPV(0.1,D97:M97)</f>
        <v>17067397.312218856</v>
      </c>
      <c r="E98" s="45"/>
      <c r="F98" s="43"/>
      <c r="G98" s="43"/>
      <c r="H98" s="43"/>
      <c r="I98" s="43"/>
      <c r="J98" s="43"/>
      <c r="K98" s="43"/>
      <c r="L98" s="43"/>
      <c r="M98" s="43"/>
      <c r="N98" s="43"/>
    </row>
    <row r="99" spans="2:14" ht="12" thickBot="1">
      <c r="B99" s="43"/>
      <c r="C99" s="31" t="s">
        <v>43</v>
      </c>
      <c r="D99" s="73">
        <f>IRR(D97:M97)</f>
        <v>0.2093802320382504</v>
      </c>
      <c r="E99" s="45"/>
      <c r="F99" s="43"/>
      <c r="G99" s="43"/>
      <c r="H99" s="43"/>
      <c r="I99" s="43"/>
      <c r="J99" s="43"/>
      <c r="K99" s="43"/>
      <c r="L99" s="43"/>
      <c r="M99" s="43"/>
      <c r="N99" s="43"/>
    </row>
    <row r="101" spans="2:4" ht="13.5" thickBot="1">
      <c r="B101" s="292" t="s">
        <v>55</v>
      </c>
      <c r="C101" s="293"/>
      <c r="D101" s="57">
        <f>I52</f>
        <v>2</v>
      </c>
    </row>
    <row r="102" spans="2:13" ht="11.25">
      <c r="B102" s="59"/>
      <c r="C102" s="60">
        <v>2005</v>
      </c>
      <c r="D102" s="60">
        <f aca="true" t="shared" si="27" ref="D102:M102">C102+1</f>
        <v>2006</v>
      </c>
      <c r="E102" s="60">
        <f t="shared" si="27"/>
        <v>2007</v>
      </c>
      <c r="F102" s="60">
        <f t="shared" si="27"/>
        <v>2008</v>
      </c>
      <c r="G102" s="60">
        <f t="shared" si="27"/>
        <v>2009</v>
      </c>
      <c r="H102" s="60">
        <f t="shared" si="27"/>
        <v>2010</v>
      </c>
      <c r="I102" s="60">
        <f t="shared" si="27"/>
        <v>2011</v>
      </c>
      <c r="J102" s="60">
        <f t="shared" si="27"/>
        <v>2012</v>
      </c>
      <c r="K102" s="60">
        <f t="shared" si="27"/>
        <v>2013</v>
      </c>
      <c r="L102" s="60">
        <f t="shared" si="27"/>
        <v>2014</v>
      </c>
      <c r="M102" s="61">
        <f t="shared" si="27"/>
        <v>2015</v>
      </c>
    </row>
    <row r="103" spans="2:13" ht="11.25">
      <c r="B103" s="62" t="s">
        <v>26</v>
      </c>
      <c r="C103" s="65">
        <v>0</v>
      </c>
      <c r="D103" s="65">
        <f>-Inv06</f>
        <v>-24926449.275362317</v>
      </c>
      <c r="E103" s="65">
        <f>-Inv07</f>
        <v>-19573550.724637683</v>
      </c>
      <c r="F103" s="65">
        <f>-'Cost Assumptions'!G40</f>
        <v>-2122416</v>
      </c>
      <c r="G103" s="65">
        <f>-'Cost Assumptions'!H40</f>
        <v>-2164864.32</v>
      </c>
      <c r="H103" s="65">
        <f>-'Cost Assumptions'!I40</f>
        <v>-2208161.6064</v>
      </c>
      <c r="I103" s="65">
        <f>-'Cost Assumptions'!J40</f>
        <v>-2252324.838528</v>
      </c>
      <c r="J103" s="65">
        <f>-'Cost Assumptions'!K40</f>
        <v>-2297371.3352985596</v>
      </c>
      <c r="K103" s="65">
        <f>-'Cost Assumptions'!L40</f>
        <v>-2343318.762004531</v>
      </c>
      <c r="L103" s="65">
        <f>-'Cost Assumptions'!M40</f>
        <v>-2390185.1372446218</v>
      </c>
      <c r="M103" s="65">
        <f>-'Cost Assumptions'!N40</f>
        <v>-2437988.839989514</v>
      </c>
    </row>
    <row r="104" spans="2:13" ht="11.25">
      <c r="B104" s="62" t="s">
        <v>27</v>
      </c>
      <c r="C104" s="65">
        <f>C91</f>
        <v>0</v>
      </c>
      <c r="D104" s="65">
        <f>$D$72</f>
        <v>1769480.700000001</v>
      </c>
      <c r="E104" s="65">
        <f>$E$72</f>
        <v>4415743.814039999</v>
      </c>
      <c r="F104" s="65">
        <f>$F$72</f>
        <v>7283659.505745634</v>
      </c>
      <c r="G104" s="65">
        <f>$G$72</f>
        <v>7994997.293165168</v>
      </c>
      <c r="H104" s="65">
        <f>$H$72</f>
        <v>8831728.858046342</v>
      </c>
      <c r="I104" s="65">
        <f>$I$72</f>
        <v>9144789.079495087</v>
      </c>
      <c r="J104" s="65">
        <f>$J$72</f>
        <v>9466399.372646824</v>
      </c>
      <c r="K104" s="65">
        <f>$K$72</f>
        <v>9801460.825946625</v>
      </c>
      <c r="L104" s="65">
        <f>$L$72</f>
        <v>10150597.621684274</v>
      </c>
      <c r="M104" s="66">
        <f>$M$72</f>
        <v>10514464.39684514</v>
      </c>
    </row>
    <row r="105" spans="2:13" ht="11.25">
      <c r="B105" s="62" t="s">
        <v>24</v>
      </c>
      <c r="C105" s="65">
        <f>$I$53</f>
        <v>0</v>
      </c>
      <c r="D105" s="65">
        <f>$I$54</f>
        <v>0</v>
      </c>
      <c r="E105" s="65">
        <f>$I$55</f>
        <v>928777.2000000004</v>
      </c>
      <c r="F105" s="65">
        <f>$I$56</f>
        <v>2272319.5919999997</v>
      </c>
      <c r="G105" s="65">
        <f>$I$57</f>
        <v>3674641.7696399996</v>
      </c>
      <c r="H105" s="65">
        <f>$I$58</f>
        <v>3954426.6227292013</v>
      </c>
      <c r="I105" s="65">
        <f>$I$59</f>
        <v>4282631.981411076</v>
      </c>
      <c r="J105" s="65">
        <f>$I$60</f>
        <v>4347489.580853409</v>
      </c>
      <c r="K105" s="65">
        <f>$I$61</f>
        <v>4412142.2682790095</v>
      </c>
      <c r="L105" s="65"/>
      <c r="M105" s="66"/>
    </row>
    <row r="106" spans="2:13" ht="12" thickBot="1">
      <c r="B106" s="67" t="s">
        <v>23</v>
      </c>
      <c r="C106" s="68">
        <f>SUM(C103:C105)</f>
        <v>0</v>
      </c>
      <c r="D106" s="68">
        <f aca="true" t="shared" si="28" ref="D106:M106">SUM(D103:D105)</f>
        <v>-23156968.575362317</v>
      </c>
      <c r="E106" s="68">
        <f t="shared" si="28"/>
        <v>-14229029.710597685</v>
      </c>
      <c r="F106" s="68">
        <f t="shared" si="28"/>
        <v>7433563.097745635</v>
      </c>
      <c r="G106" s="68">
        <f t="shared" si="28"/>
        <v>9504774.742805168</v>
      </c>
      <c r="H106" s="68">
        <f t="shared" si="28"/>
        <v>10577993.874375543</v>
      </c>
      <c r="I106" s="68">
        <f t="shared" si="28"/>
        <v>11175096.222378165</v>
      </c>
      <c r="J106" s="68">
        <f t="shared" si="28"/>
        <v>11516517.618201673</v>
      </c>
      <c r="K106" s="68">
        <f t="shared" si="28"/>
        <v>11870284.332221104</v>
      </c>
      <c r="L106" s="68">
        <f t="shared" si="28"/>
        <v>7760412.484439652</v>
      </c>
      <c r="M106" s="69">
        <f t="shared" si="28"/>
        <v>8076475.5568556255</v>
      </c>
    </row>
    <row r="107" spans="2:14" ht="11.25">
      <c r="B107" s="43"/>
      <c r="C107" s="71" t="s">
        <v>51</v>
      </c>
      <c r="D107" s="72">
        <f>NPV(0.1,D106:M106)</f>
        <v>9994042.314198328</v>
      </c>
      <c r="E107" s="45"/>
      <c r="F107" s="43"/>
      <c r="G107" s="43"/>
      <c r="H107" s="43"/>
      <c r="I107" s="43"/>
      <c r="J107" s="43"/>
      <c r="K107" s="43"/>
      <c r="L107" s="43"/>
      <c r="M107" s="43"/>
      <c r="N107" s="43"/>
    </row>
    <row r="108" spans="2:14" ht="12" thickBot="1">
      <c r="B108" s="43"/>
      <c r="C108" s="31" t="s">
        <v>43</v>
      </c>
      <c r="D108" s="73">
        <f>IRR(D106:M106)</f>
        <v>0.16558501343099563</v>
      </c>
      <c r="E108" s="45"/>
      <c r="F108" s="43"/>
      <c r="G108" s="43"/>
      <c r="H108" s="43"/>
      <c r="I108" s="43"/>
      <c r="J108" s="43"/>
      <c r="K108" s="43"/>
      <c r="L108" s="43"/>
      <c r="M108" s="43"/>
      <c r="N108" s="43"/>
    </row>
    <row r="110" spans="2:4" ht="13.5" thickBot="1">
      <c r="B110" s="292" t="s">
        <v>55</v>
      </c>
      <c r="C110" s="293"/>
      <c r="D110" s="57">
        <f>J52</f>
        <v>1</v>
      </c>
    </row>
    <row r="111" spans="2:13" ht="11.25">
      <c r="B111" s="59"/>
      <c r="C111" s="60">
        <v>2005</v>
      </c>
      <c r="D111" s="60">
        <f aca="true" t="shared" si="29" ref="D111:M111">C111+1</f>
        <v>2006</v>
      </c>
      <c r="E111" s="60">
        <f t="shared" si="29"/>
        <v>2007</v>
      </c>
      <c r="F111" s="60">
        <f t="shared" si="29"/>
        <v>2008</v>
      </c>
      <c r="G111" s="60">
        <f t="shared" si="29"/>
        <v>2009</v>
      </c>
      <c r="H111" s="60">
        <f t="shared" si="29"/>
        <v>2010</v>
      </c>
      <c r="I111" s="60">
        <f t="shared" si="29"/>
        <v>2011</v>
      </c>
      <c r="J111" s="60">
        <f t="shared" si="29"/>
        <v>2012</v>
      </c>
      <c r="K111" s="60">
        <f t="shared" si="29"/>
        <v>2013</v>
      </c>
      <c r="L111" s="60">
        <f t="shared" si="29"/>
        <v>2014</v>
      </c>
      <c r="M111" s="61">
        <f t="shared" si="29"/>
        <v>2015</v>
      </c>
    </row>
    <row r="112" spans="2:13" ht="11.25">
      <c r="B112" s="62" t="s">
        <v>26</v>
      </c>
      <c r="C112" s="65">
        <v>0</v>
      </c>
      <c r="D112" s="65">
        <f>-Inv06</f>
        <v>-24926449.275362317</v>
      </c>
      <c r="E112" s="65">
        <f>-Inv07</f>
        <v>-19573550.724637683</v>
      </c>
      <c r="F112" s="65">
        <f>-'Cost Assumptions'!G40</f>
        <v>-2122416</v>
      </c>
      <c r="G112" s="65">
        <f>-'Cost Assumptions'!H40</f>
        <v>-2164864.32</v>
      </c>
      <c r="H112" s="65">
        <f>-'Cost Assumptions'!I40</f>
        <v>-2208161.6064</v>
      </c>
      <c r="I112" s="65">
        <f>-'Cost Assumptions'!J40</f>
        <v>-2252324.838528</v>
      </c>
      <c r="J112" s="65">
        <f>-'Cost Assumptions'!K40</f>
        <v>-2297371.3352985596</v>
      </c>
      <c r="K112" s="65">
        <f>-'Cost Assumptions'!L40</f>
        <v>-2343318.762004531</v>
      </c>
      <c r="L112" s="65">
        <f>-'Cost Assumptions'!M40</f>
        <v>-2390185.1372446218</v>
      </c>
      <c r="M112" s="65">
        <f>-'Cost Assumptions'!N40</f>
        <v>-2437988.839989514</v>
      </c>
    </row>
    <row r="113" spans="2:13" ht="11.25">
      <c r="B113" s="62" t="s">
        <v>27</v>
      </c>
      <c r="C113" s="65">
        <f>C100</f>
        <v>0</v>
      </c>
      <c r="D113" s="65">
        <f>$D$72</f>
        <v>1769480.700000001</v>
      </c>
      <c r="E113" s="65">
        <f>$E$72</f>
        <v>4415743.814039999</v>
      </c>
      <c r="F113" s="65">
        <f>$F$72</f>
        <v>7283659.505745634</v>
      </c>
      <c r="G113" s="65">
        <f>$G$72</f>
        <v>7994997.293165168</v>
      </c>
      <c r="H113" s="65">
        <f>$H$72</f>
        <v>8831728.858046342</v>
      </c>
      <c r="I113" s="65">
        <f>$I$72</f>
        <v>9144789.079495087</v>
      </c>
      <c r="J113" s="65">
        <f>$J$72</f>
        <v>9466399.372646824</v>
      </c>
      <c r="K113" s="65">
        <f>$K$72</f>
        <v>9801460.825946625</v>
      </c>
      <c r="L113" s="65">
        <f>$L$72</f>
        <v>10150597.621684274</v>
      </c>
      <c r="M113" s="66">
        <f>$M$72</f>
        <v>10514464.39684514</v>
      </c>
    </row>
    <row r="114" spans="2:13" ht="11.25">
      <c r="B114" s="62" t="s">
        <v>24</v>
      </c>
      <c r="C114" s="65">
        <f>$J$53</f>
        <v>0</v>
      </c>
      <c r="D114" s="65">
        <f>$J$54</f>
        <v>0</v>
      </c>
      <c r="E114" s="65">
        <f>$J$55</f>
        <v>464388.6000000002</v>
      </c>
      <c r="F114" s="65">
        <f>$J$56</f>
        <v>1136159.7959999999</v>
      </c>
      <c r="G114" s="65">
        <f>$J$57</f>
        <v>1837320.8848199998</v>
      </c>
      <c r="H114" s="65">
        <f>$J$58</f>
        <v>1977213.3113646007</v>
      </c>
      <c r="I114" s="65">
        <f>$J$59</f>
        <v>2141315.990705538</v>
      </c>
      <c r="J114" s="65">
        <f>$J$60</f>
        <v>2173744.7904267046</v>
      </c>
      <c r="K114" s="65">
        <f>$J$61</f>
        <v>2206071.1341395047</v>
      </c>
      <c r="L114" s="65"/>
      <c r="M114" s="66"/>
    </row>
    <row r="115" spans="2:13" ht="12" thickBot="1">
      <c r="B115" s="67" t="s">
        <v>23</v>
      </c>
      <c r="C115" s="68">
        <f>SUM(C112:C114)</f>
        <v>0</v>
      </c>
      <c r="D115" s="68">
        <f aca="true" t="shared" si="30" ref="D115:M115">SUM(D112:D114)</f>
        <v>-23156968.575362317</v>
      </c>
      <c r="E115" s="68">
        <f t="shared" si="30"/>
        <v>-14693418.310597686</v>
      </c>
      <c r="F115" s="68">
        <f t="shared" si="30"/>
        <v>6297403.3017456345</v>
      </c>
      <c r="G115" s="68">
        <f t="shared" si="30"/>
        <v>7667453.857985167</v>
      </c>
      <c r="H115" s="68">
        <f t="shared" si="30"/>
        <v>8600780.563010942</v>
      </c>
      <c r="I115" s="68">
        <f t="shared" si="30"/>
        <v>9033780.231672626</v>
      </c>
      <c r="J115" s="68">
        <f t="shared" si="30"/>
        <v>9342772.827774968</v>
      </c>
      <c r="K115" s="68">
        <f t="shared" si="30"/>
        <v>9664213.1980816</v>
      </c>
      <c r="L115" s="68">
        <f t="shared" si="30"/>
        <v>7760412.484439652</v>
      </c>
      <c r="M115" s="69">
        <f t="shared" si="30"/>
        <v>8076475.5568556255</v>
      </c>
    </row>
    <row r="116" spans="2:14" ht="11.25">
      <c r="B116" s="43"/>
      <c r="C116" s="71" t="s">
        <v>51</v>
      </c>
      <c r="D116" s="72">
        <f>NPV(0.1,D115:M115)</f>
        <v>2920687.316177797</v>
      </c>
      <c r="E116" s="45"/>
      <c r="F116" s="43"/>
      <c r="G116" s="43"/>
      <c r="H116" s="43"/>
      <c r="I116" s="43"/>
      <c r="J116" s="43"/>
      <c r="K116" s="43"/>
      <c r="L116" s="43"/>
      <c r="M116" s="43"/>
      <c r="N116" s="43"/>
    </row>
    <row r="117" spans="2:14" ht="12" thickBot="1">
      <c r="B117" s="43"/>
      <c r="C117" s="31" t="s">
        <v>43</v>
      </c>
      <c r="D117" s="73">
        <f>IRR(D115:M115)</f>
        <v>0.11964270210322477</v>
      </c>
      <c r="E117" s="45"/>
      <c r="F117" s="43"/>
      <c r="G117" s="43"/>
      <c r="H117" s="43"/>
      <c r="I117" s="43"/>
      <c r="J117" s="43"/>
      <c r="K117" s="43"/>
      <c r="L117" s="43"/>
      <c r="M117" s="43"/>
      <c r="N117" s="43"/>
    </row>
    <row r="119" spans="2:4" ht="13.5" thickBot="1">
      <c r="B119" s="292" t="s">
        <v>55</v>
      </c>
      <c r="C119" s="293"/>
      <c r="D119" s="57">
        <f>K52</f>
        <v>0</v>
      </c>
    </row>
    <row r="120" spans="2:13" ht="11.25">
      <c r="B120" s="59"/>
      <c r="C120" s="60">
        <v>2005</v>
      </c>
      <c r="D120" s="60">
        <f aca="true" t="shared" si="31" ref="D120:M120">C120+1</f>
        <v>2006</v>
      </c>
      <c r="E120" s="60">
        <f t="shared" si="31"/>
        <v>2007</v>
      </c>
      <c r="F120" s="60">
        <f t="shared" si="31"/>
        <v>2008</v>
      </c>
      <c r="G120" s="60">
        <f t="shared" si="31"/>
        <v>2009</v>
      </c>
      <c r="H120" s="60">
        <f t="shared" si="31"/>
        <v>2010</v>
      </c>
      <c r="I120" s="60">
        <f t="shared" si="31"/>
        <v>2011</v>
      </c>
      <c r="J120" s="60">
        <f t="shared" si="31"/>
        <v>2012</v>
      </c>
      <c r="K120" s="60">
        <f t="shared" si="31"/>
        <v>2013</v>
      </c>
      <c r="L120" s="60">
        <f t="shared" si="31"/>
        <v>2014</v>
      </c>
      <c r="M120" s="61">
        <f t="shared" si="31"/>
        <v>2015</v>
      </c>
    </row>
    <row r="121" spans="2:13" ht="11.25">
      <c r="B121" s="62" t="s">
        <v>26</v>
      </c>
      <c r="C121" s="65">
        <v>0</v>
      </c>
      <c r="D121" s="65">
        <f>-Inv06</f>
        <v>-24926449.275362317</v>
      </c>
      <c r="E121" s="65">
        <f>-Inv07</f>
        <v>-19573550.724637683</v>
      </c>
      <c r="F121" s="65">
        <f>-'Cost Assumptions'!G40</f>
        <v>-2122416</v>
      </c>
      <c r="G121" s="65">
        <f>-'Cost Assumptions'!H40</f>
        <v>-2164864.32</v>
      </c>
      <c r="H121" s="65">
        <f>-'Cost Assumptions'!I40</f>
        <v>-2208161.6064</v>
      </c>
      <c r="I121" s="65">
        <f>-'Cost Assumptions'!J40</f>
        <v>-2252324.838528</v>
      </c>
      <c r="J121" s="65">
        <f>-'Cost Assumptions'!K40</f>
        <v>-2297371.3352985596</v>
      </c>
      <c r="K121" s="65">
        <f>-'Cost Assumptions'!L40</f>
        <v>-2343318.762004531</v>
      </c>
      <c r="L121" s="65">
        <f>-'Cost Assumptions'!M40</f>
        <v>-2390185.1372446218</v>
      </c>
      <c r="M121" s="65">
        <f>-'Cost Assumptions'!N40</f>
        <v>-2437988.839989514</v>
      </c>
    </row>
    <row r="122" spans="2:13" ht="11.25">
      <c r="B122" s="62" t="s">
        <v>27</v>
      </c>
      <c r="C122" s="65">
        <f>C109</f>
        <v>0</v>
      </c>
      <c r="D122" s="65">
        <f>$D$72</f>
        <v>1769480.700000001</v>
      </c>
      <c r="E122" s="65">
        <f>$E$72</f>
        <v>4415743.814039999</v>
      </c>
      <c r="F122" s="65">
        <f>$F$72</f>
        <v>7283659.505745634</v>
      </c>
      <c r="G122" s="65">
        <f>$G$72</f>
        <v>7994997.293165168</v>
      </c>
      <c r="H122" s="65">
        <f>$H$72</f>
        <v>8831728.858046342</v>
      </c>
      <c r="I122" s="65">
        <f>$I$72</f>
        <v>9144789.079495087</v>
      </c>
      <c r="J122" s="65">
        <f>$J$72</f>
        <v>9466399.372646824</v>
      </c>
      <c r="K122" s="65">
        <f>$K$72</f>
        <v>9801460.825946625</v>
      </c>
      <c r="L122" s="65">
        <f>$L$72</f>
        <v>10150597.621684274</v>
      </c>
      <c r="M122" s="66">
        <f>$M$72</f>
        <v>10514464.39684514</v>
      </c>
    </row>
    <row r="123" spans="2:13" ht="11.25">
      <c r="B123" s="62" t="s">
        <v>24</v>
      </c>
      <c r="C123" s="65">
        <f>$K$53</f>
        <v>0</v>
      </c>
      <c r="D123" s="65">
        <f>$K$54</f>
        <v>0</v>
      </c>
      <c r="E123" s="65">
        <f>$K$55</f>
        <v>0</v>
      </c>
      <c r="F123" s="65">
        <f>$K$56</f>
        <v>0</v>
      </c>
      <c r="G123" s="65">
        <f>$K$57</f>
        <v>0</v>
      </c>
      <c r="H123" s="65">
        <f>$K$58</f>
        <v>0</v>
      </c>
      <c r="I123" s="65">
        <f>$K$59</f>
        <v>0</v>
      </c>
      <c r="J123" s="65">
        <f>$K$60</f>
        <v>0</v>
      </c>
      <c r="K123" s="65">
        <f>$K$61</f>
        <v>0</v>
      </c>
      <c r="L123" s="65"/>
      <c r="M123" s="66"/>
    </row>
    <row r="124" spans="2:13" ht="12" thickBot="1">
      <c r="B124" s="67" t="s">
        <v>23</v>
      </c>
      <c r="C124" s="68">
        <f>SUM(C121:C123)</f>
        <v>0</v>
      </c>
      <c r="D124" s="68">
        <f aca="true" t="shared" si="32" ref="D124:M124">SUM(D121:D123)</f>
        <v>-23156968.575362317</v>
      </c>
      <c r="E124" s="68">
        <f t="shared" si="32"/>
        <v>-15157806.910597686</v>
      </c>
      <c r="F124" s="68">
        <f t="shared" si="32"/>
        <v>5161243.505745634</v>
      </c>
      <c r="G124" s="68">
        <f t="shared" si="32"/>
        <v>5830132.9731651675</v>
      </c>
      <c r="H124" s="68">
        <f t="shared" si="32"/>
        <v>6623567.251646342</v>
      </c>
      <c r="I124" s="68">
        <f t="shared" si="32"/>
        <v>6892464.240967087</v>
      </c>
      <c r="J124" s="68">
        <f t="shared" si="32"/>
        <v>7169028.037348264</v>
      </c>
      <c r="K124" s="68">
        <f t="shared" si="32"/>
        <v>7458142.063942094</v>
      </c>
      <c r="L124" s="68">
        <f t="shared" si="32"/>
        <v>7760412.484439652</v>
      </c>
      <c r="M124" s="69">
        <f t="shared" si="32"/>
        <v>8076475.5568556255</v>
      </c>
    </row>
    <row r="125" spans="2:14" ht="11.25">
      <c r="B125" s="43"/>
      <c r="C125" s="71" t="s">
        <v>51</v>
      </c>
      <c r="D125" s="72">
        <f>NPV(0.1,D124:M124)</f>
        <v>-4152667.6818427416</v>
      </c>
      <c r="E125" s="45"/>
      <c r="F125" s="43"/>
      <c r="G125" s="43"/>
      <c r="H125" s="43"/>
      <c r="I125" s="43"/>
      <c r="J125" s="43"/>
      <c r="K125" s="43"/>
      <c r="L125" s="43"/>
      <c r="M125" s="43"/>
      <c r="N125" s="43"/>
    </row>
    <row r="126" spans="2:14" ht="12" thickBot="1">
      <c r="B126" s="43"/>
      <c r="C126" s="31" t="s">
        <v>43</v>
      </c>
      <c r="D126" s="73">
        <f>IRR(D124:M124)</f>
        <v>0.07136765735329219</v>
      </c>
      <c r="E126" s="45"/>
      <c r="F126" s="43"/>
      <c r="G126" s="43"/>
      <c r="H126" s="43"/>
      <c r="I126" s="43"/>
      <c r="J126" s="43"/>
      <c r="K126" s="43"/>
      <c r="L126" s="43"/>
      <c r="M126" s="43"/>
      <c r="N126" s="43"/>
    </row>
    <row r="133" spans="3:4" ht="22.5">
      <c r="C133" s="77" t="s">
        <v>56</v>
      </c>
      <c r="D133" s="77" t="s">
        <v>57</v>
      </c>
    </row>
    <row r="134" spans="3:4" ht="11.25">
      <c r="C134" s="78">
        <f>F$52</f>
        <v>5</v>
      </c>
      <c r="D134" s="79">
        <f>D76</f>
        <v>0.2914023394039744</v>
      </c>
    </row>
    <row r="135" spans="3:4" ht="11.25">
      <c r="C135" s="78">
        <f>G$52</f>
        <v>4</v>
      </c>
      <c r="D135" s="79">
        <f>D90</f>
        <v>0.2512473923140163</v>
      </c>
    </row>
    <row r="136" spans="3:4" ht="11.25">
      <c r="C136" s="78">
        <f>H$52</f>
        <v>3</v>
      </c>
      <c r="D136" s="79">
        <f>D99</f>
        <v>0.2093802320382504</v>
      </c>
    </row>
    <row r="137" spans="3:4" ht="11.25">
      <c r="C137" s="78">
        <f>I$52</f>
        <v>2</v>
      </c>
      <c r="D137" s="79">
        <f>D108</f>
        <v>0.16558501343099563</v>
      </c>
    </row>
    <row r="138" spans="3:4" ht="11.25">
      <c r="C138" s="78">
        <f>J$52</f>
        <v>1</v>
      </c>
      <c r="D138" s="79">
        <f>D117</f>
        <v>0.11964270210322477</v>
      </c>
    </row>
    <row r="139" spans="3:4" ht="11.25">
      <c r="C139" s="78">
        <f>K$52</f>
        <v>0</v>
      </c>
      <c r="D139" s="79">
        <f>D126</f>
        <v>0.07136765735329219</v>
      </c>
    </row>
  </sheetData>
  <mergeCells count="10">
    <mergeCell ref="B1:H1"/>
    <mergeCell ref="B119:C119"/>
    <mergeCell ref="D25:E25"/>
    <mergeCell ref="F25:G25"/>
    <mergeCell ref="B47:C47"/>
    <mergeCell ref="B69:C69"/>
    <mergeCell ref="B83:C83"/>
    <mergeCell ref="B92:C92"/>
    <mergeCell ref="B101:C101"/>
    <mergeCell ref="B110:C110"/>
  </mergeCells>
  <conditionalFormatting sqref="B1">
    <cfRule type="cellIs" priority="1" dxfId="0" operator="equal" stopIfTrue="1">
      <formula>0</formula>
    </cfRule>
    <cfRule type="cellIs" priority="2" dxfId="1" operator="notEqual" stopIfTrue="1">
      <formula>0</formula>
    </cfRule>
  </conditionalFormatting>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Schwimmbeck</dc:creator>
  <cp:keywords/>
  <dc:description>Created on 08/24/07 by renaming "Pipeline.MCC Gas Tables + IRR- Rev-1 June-27-05 jss 063005 (2).xls" </dc:description>
  <cp:lastModifiedBy>defuser</cp:lastModifiedBy>
  <cp:lastPrinted>2008-01-17T20:47:05Z</cp:lastPrinted>
  <dcterms:created xsi:type="dcterms:W3CDTF">2005-06-06T19:43:00Z</dcterms:created>
  <dcterms:modified xsi:type="dcterms:W3CDTF">2008-04-16T17:35:25Z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-1027904153</vt:i4>
  </property>
  <property fmtid="{D5CDD505-2E9C-101B-9397-08002B2CF9AE}" pid="3" name="_NewReviewCycle">
    <vt:lpwstr/>
  </property>
  <property fmtid="{D5CDD505-2E9C-101B-9397-08002B2CF9AE}" pid="4" name="_EmailSubject">
    <vt:lpwstr>Carbon Credit Baseline</vt:lpwstr>
  </property>
  <property fmtid="{D5CDD505-2E9C-101B-9397-08002B2CF9AE}" pid="5" name="_AuthorEmail">
    <vt:lpwstr>Ralf.Schwimmbeck@muc.ilf.com</vt:lpwstr>
  </property>
  <property fmtid="{D5CDD505-2E9C-101B-9397-08002B2CF9AE}" pid="6" name="_AuthorEmailDisplayName">
    <vt:lpwstr>Schwimmbeck, Ralf</vt:lpwstr>
  </property>
  <property fmtid="{D5CDD505-2E9C-101B-9397-08002B2CF9AE}" pid="7" name="_ReviewingToolsShownOnce">
    <vt:lpwstr/>
  </property>
</Properties>
</file>