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065" yWindow="65521" windowWidth="6990" windowHeight="8760" firstSheet="2" activeTab="2"/>
  </bookViews>
  <sheets>
    <sheet name="Table of Contents" sheetId="1" r:id="rId1"/>
    <sheet name="Input Configuration HERE" sheetId="2" r:id="rId2"/>
    <sheet name="Resulting Layout" sheetId="3" r:id="rId3"/>
    <sheet name="Projector Library" sheetId="4" r:id="rId4"/>
    <sheet name="The Grinder" sheetId="5" r:id="rId5"/>
    <sheet name="Notes To Self" sheetId="6" r:id="rId6"/>
  </sheets>
  <definedNames>
    <definedName name="Aspect_Ratio" localSheetId="3">'Projector Library'!$H$23</definedName>
    <definedName name="Bottom">'The Grinder'!$C$23</definedName>
    <definedName name="Bottom0">'Projector Library'!$X$23</definedName>
    <definedName name="Bottom1">'Projector Library'!$AC$23</definedName>
    <definedName name="Diag0">'Projector Library'!$AA$23</definedName>
    <definedName name="Diag1">'Projector Library'!$AF$23</definedName>
    <definedName name="Diagonal">'The Grinder'!$F$23</definedName>
    <definedName name="distance">'Input Configuration HERE'!$E$23</definedName>
    <definedName name="fraction_above">'The Grinder'!$C$6</definedName>
    <definedName name="fraction_below">'The Grinder'!$C$7</definedName>
    <definedName name="H_overlap">'Input Configuration HERE'!$I$27</definedName>
    <definedName name="H_pixel_overlap">'Input Configuration HERE'!$E$27</definedName>
    <definedName name="H_pixels">'The Grinder'!$C$10</definedName>
    <definedName name="H_projectors">'Input Configuration HERE'!$E$21</definedName>
    <definedName name="H_ratio">'The Grinder'!$C$12</definedName>
    <definedName name="H_Separation">'The Grinder'!$C$18</definedName>
    <definedName name="Height">'The Grinder'!$D$23</definedName>
    <definedName name="Height0">'Projector Library'!$Y$23</definedName>
    <definedName name="Height1">'Projector Library'!$AD$23</definedName>
    <definedName name="Inverted">'The Grinder'!$C$13</definedName>
    <definedName name="Lens_Center">'Projector Library'!$E$23</definedName>
    <definedName name="Max_Focus">'Projector Library'!$G$23</definedName>
    <definedName name="max_open_angle">'The Grinder'!$C$3</definedName>
    <definedName name="Min_Focus">'Projector Library'!$F$23</definedName>
    <definedName name="min_open_angle">'The Grinder'!$C$4</definedName>
    <definedName name="Mural_Height">'Input Configuration HERE'!$E$15</definedName>
    <definedName name="Mural_Width">'Input Configuration HERE'!$E$14</definedName>
    <definedName name="Mural_X">'Input Configuration HERE'!$E$17</definedName>
    <definedName name="Mural_Y">'Input Configuration HERE'!$E$18</definedName>
    <definedName name="Pixel_Height">'Projector Library'!$J$23</definedName>
    <definedName name="Pixel_Width">'Projector Library'!$I$23</definedName>
    <definedName name="ProjectorLibrary">'Projector Library'!$13:$18</definedName>
    <definedName name="ProjectorNumber">'Projector Library'!$B$11</definedName>
    <definedName name="RawBottom">'The Grinder'!$B$23</definedName>
    <definedName name="solver_adj" localSheetId="1" hidden="1">'Input Configuration HERE'!$E$27,'Input Configuration HERE'!$E$26</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hs1" localSheetId="1" hidden="1">'Input Configuration HERE'!$E$26</definedName>
    <definedName name="solver_lhs2" localSheetId="1" hidden="1">'Input Configuration HERE'!$E$26</definedName>
    <definedName name="solver_lhs3" localSheetId="1" hidden="1">'Input Configuration HERE'!$E$29</definedName>
    <definedName name="solver_lhs4" localSheetId="1" hidden="1">'Input Configuration HERE'!$E$29</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'Input Configuration HERE'!$I$29</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100</definedName>
    <definedName name="solver_rhs2" localSheetId="1" hidden="1">100</definedName>
    <definedName name="solver_rhs3" localSheetId="1" hidden="1">0.02</definedName>
    <definedName name="solver_rhs4" localSheetId="1" hidden="1">0.02</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otal_Pixel_Height">'Resulting Layout'!$C$7</definedName>
    <definedName name="Total_Pixel_Width">'Resulting Layout'!$C$6</definedName>
    <definedName name="V_Separation">'The Grinder'!$C$19</definedName>
    <definedName name="W_overlap">'Input Configuration HERE'!$I$26</definedName>
    <definedName name="W_pixel_overlap">'Input Configuration HERE'!$E$26</definedName>
    <definedName name="W_pixels">'The Grinder'!$C$9</definedName>
    <definedName name="W_projectors">'Input Configuration HERE'!$E$20</definedName>
    <definedName name="W_ratio">'The Grinder'!$C$11</definedName>
    <definedName name="Width">'The Grinder'!$E$23</definedName>
    <definedName name="Width0">'Projector Library'!$Z$23</definedName>
    <definedName name="Width1">'Projector Library'!$AE$23</definedName>
    <definedName name="Zoom">'Input Configuration HERE'!$E$29</definedName>
    <definedName name="zoom0">'Projector Library'!$X:$AA</definedName>
    <definedName name="zoom1">'Projector Library'!$AC:$AF</definedName>
  </definedNames>
  <calcPr fullCalcOnLoad="1"/>
</workbook>
</file>

<file path=xl/sharedStrings.xml><?xml version="1.0" encoding="utf-8"?>
<sst xmlns="http://schemas.openxmlformats.org/spreadsheetml/2006/main" count="350" uniqueCount="185">
  <si>
    <t>H_projectors</t>
  </si>
  <si>
    <t xml:space="preserve">  number of projectors, VERTICALLY</t>
  </si>
  <si>
    <t xml:space="preserve">  number of projectors, HORIZONTALLY</t>
  </si>
  <si>
    <t>distance</t>
  </si>
  <si>
    <t xml:space="preserve">  inches, distance from proj. lens to screen</t>
  </si>
  <si>
    <t>Height</t>
  </si>
  <si>
    <t>Width</t>
  </si>
  <si>
    <t>W_projectors</t>
  </si>
  <si>
    <t>Mural_Height</t>
  </si>
  <si>
    <t xml:space="preserve">  inches</t>
  </si>
  <si>
    <t>Mural_Width</t>
  </si>
  <si>
    <t>Projector Properties</t>
  </si>
  <si>
    <t>Available Screen Area</t>
  </si>
  <si>
    <t>Diagonal</t>
  </si>
  <si>
    <t>Zoom</t>
  </si>
  <si>
    <t xml:space="preserve">  (Min = 0, Max = 1)</t>
  </si>
  <si>
    <t>W_pixels</t>
  </si>
  <si>
    <t>H_pixels</t>
  </si>
  <si>
    <t xml:space="preserve">  horizontal image res</t>
  </si>
  <si>
    <t xml:space="preserve">  vertical image res</t>
  </si>
  <si>
    <t>W_pixel_overlap</t>
  </si>
  <si>
    <t>H_pixel_overlap</t>
  </si>
  <si>
    <t>Total_Pixel_Width</t>
  </si>
  <si>
    <t>Total_Pixel_Height</t>
  </si>
  <si>
    <t xml:space="preserve">  pixels</t>
  </si>
  <si>
    <t>MURAL</t>
  </si>
  <si>
    <t>Lower-L</t>
  </si>
  <si>
    <t>Upper-R</t>
  </si>
  <si>
    <t>Upper-L</t>
  </si>
  <si>
    <t>Lower-R</t>
  </si>
  <si>
    <t>Horizontal</t>
  </si>
  <si>
    <t>Vertical</t>
  </si>
  <si>
    <t xml:space="preserve">  inches from lower-left at floor</t>
  </si>
  <si>
    <t>inches</t>
  </si>
  <si>
    <t>Mural_X</t>
  </si>
  <si>
    <t>Mural_Y</t>
  </si>
  <si>
    <t xml:space="preserve">  inches, VERT offset to screen</t>
  </si>
  <si>
    <t xml:space="preserve">  inches, HORIZ offset to screen</t>
  </si>
  <si>
    <t>PROJECTORS</t>
  </si>
  <si>
    <t>FRONT VIEW geometry calcs</t>
  </si>
  <si>
    <t>SIDE VIEW geometry calcs</t>
  </si>
  <si>
    <t>bottom</t>
  </si>
  <si>
    <t>top</t>
  </si>
  <si>
    <t>horizontal</t>
  </si>
  <si>
    <t>vertical</t>
  </si>
  <si>
    <t>out-of-screen</t>
  </si>
  <si>
    <t>lens</t>
  </si>
  <si>
    <t>midline</t>
  </si>
  <si>
    <t>TOP VIEW geometry calcs</t>
  </si>
  <si>
    <t xml:space="preserve">  out-of-screen</t>
  </si>
  <si>
    <t>left</t>
  </si>
  <si>
    <t>right</t>
  </si>
  <si>
    <t>Min Height</t>
  </si>
  <si>
    <t>Max Height</t>
  </si>
  <si>
    <t>Min Width</t>
  </si>
  <si>
    <t>Max Width</t>
  </si>
  <si>
    <t>Min Diag</t>
  </si>
  <si>
    <t>Max Diag</t>
  </si>
  <si>
    <t>Distance</t>
  </si>
  <si>
    <t>Min Bottom</t>
  </si>
  <si>
    <t>Max Bottom</t>
  </si>
  <si>
    <t>Proxima Ultralight DX1</t>
  </si>
  <si>
    <t>Proxima 9210</t>
  </si>
  <si>
    <t>Small Image Spec (Zoom = 0)</t>
  </si>
  <si>
    <t>Projector</t>
  </si>
  <si>
    <t>Large Image Spec (Zoom = 1)</t>
  </si>
  <si>
    <t>Table to Lens Axis</t>
  </si>
  <si>
    <t>Fixed Params</t>
  </si>
  <si>
    <r>
      <t>Pick a distance -- could be different from the one at left.  When the zoom is set so the image is LARGE, what are the dimensions of the projected image and it's vertical displacement from the optical axis of the projector?  [Measurements in</t>
    </r>
    <r>
      <rPr>
        <i/>
        <sz val="10"/>
        <rFont val="Arial"/>
        <family val="2"/>
      </rPr>
      <t xml:space="preserve"> inches</t>
    </r>
    <r>
      <rPr>
        <sz val="10"/>
        <rFont val="Arial"/>
        <family val="0"/>
      </rPr>
      <t>.]</t>
    </r>
  </si>
  <si>
    <t>Aspect Ratio (W/H)</t>
  </si>
  <si>
    <t>Width in Pixels</t>
  </si>
  <si>
    <t>Height in Pixels</t>
  </si>
  <si>
    <r>
      <t xml:space="preserve">These are tidbits that describe properties of the "Projector" which are fixed for the calculation.  If, for example, you need to use the 16:9 mode of some projector, then you'll need to create a new library entry.  [All measurements are in </t>
    </r>
    <r>
      <rPr>
        <i/>
        <sz val="10"/>
        <rFont val="Arial"/>
        <family val="2"/>
      </rPr>
      <t>inches</t>
    </r>
    <r>
      <rPr>
        <sz val="10"/>
        <rFont val="Arial"/>
        <family val="0"/>
      </rPr>
      <t>.]</t>
    </r>
  </si>
  <si>
    <t>Min Focus Distance</t>
  </si>
  <si>
    <t>Max Focus Distance</t>
  </si>
  <si>
    <t>Configure the Mural</t>
  </si>
  <si>
    <t>Bottom Rate for (z=0)</t>
  </si>
  <si>
    <t>Width Rate for (z=0)</t>
  </si>
  <si>
    <t>Diag Rate for (z=0)</t>
  </si>
  <si>
    <t>Bottom Rate for (z=1)</t>
  </si>
  <si>
    <t>Width Rate for (z=1)</t>
  </si>
  <si>
    <t>Diag Rate for (z=1)</t>
  </si>
  <si>
    <t>Coefficeints (Zoom = 0)</t>
  </si>
  <si>
    <t>Coefficeints (Zoom = 1)</t>
  </si>
  <si>
    <t>Height Rate for (z=0)</t>
  </si>
  <si>
    <t>Height Rate for (z=1)</t>
  </si>
  <si>
    <r>
      <t>These are the linear coefficients for Bottom, Height, Width, and Diag as function of distance to screen for min zoom.  For example the height of the projected area would be H(D) = A</t>
    </r>
    <r>
      <rPr>
        <sz val="8"/>
        <rFont val="Arial"/>
        <family val="2"/>
      </rPr>
      <t>0</t>
    </r>
    <r>
      <rPr>
        <sz val="10"/>
        <rFont val="Arial"/>
        <family val="0"/>
      </rPr>
      <t xml:space="preserve"> * D.</t>
    </r>
  </si>
  <si>
    <r>
      <t>These are the linear coefficients for Bottom, Height, Width, and Diag as function of distance to screen for max zoom.  For example the height of the projected area would be H(D) = A</t>
    </r>
    <r>
      <rPr>
        <sz val="8"/>
        <rFont val="Arial"/>
        <family val="2"/>
      </rPr>
      <t>1</t>
    </r>
    <r>
      <rPr>
        <sz val="10"/>
        <rFont val="Arial"/>
        <family val="0"/>
      </rPr>
      <t xml:space="preserve"> * D.</t>
    </r>
  </si>
  <si>
    <t>Enter Distance</t>
  </si>
  <si>
    <t>Enter Zoom</t>
  </si>
  <si>
    <t>Bottom</t>
  </si>
  <si>
    <t>Width of Image</t>
  </si>
  <si>
    <t>Diag of Image</t>
  </si>
  <si>
    <t>Height of Image</t>
  </si>
  <si>
    <t>Bottom of Image</t>
  </si>
  <si>
    <t>Test Area (Poke in Distance and Zoom)</t>
  </si>
  <si>
    <t>Other</t>
  </si>
  <si>
    <t>Enter data</t>
  </si>
  <si>
    <t>Results area</t>
  </si>
  <si>
    <t>Locked cells</t>
  </si>
  <si>
    <t>Legend</t>
  </si>
  <si>
    <r>
      <t>B(D,z) = ( b</t>
    </r>
    <r>
      <rPr>
        <sz val="8"/>
        <rFont val="Arial"/>
        <family val="2"/>
      </rPr>
      <t>0</t>
    </r>
    <r>
      <rPr>
        <sz val="10"/>
        <rFont val="Arial"/>
        <family val="0"/>
      </rPr>
      <t xml:space="preserve"> * (1-z) +b1 * z ) * D
H(D,z) = ( h</t>
    </r>
    <r>
      <rPr>
        <sz val="8"/>
        <rFont val="Arial"/>
        <family val="2"/>
      </rPr>
      <t>0</t>
    </r>
    <r>
      <rPr>
        <sz val="10"/>
        <rFont val="Arial"/>
        <family val="0"/>
      </rPr>
      <t xml:space="preserve"> * (1-z) +h</t>
    </r>
    <r>
      <rPr>
        <sz val="8"/>
        <rFont val="Arial"/>
        <family val="2"/>
      </rPr>
      <t>1</t>
    </r>
    <r>
      <rPr>
        <sz val="10"/>
        <rFont val="Arial"/>
        <family val="0"/>
      </rPr>
      <t xml:space="preserve"> * z ) * D
W(D,z) = ( w</t>
    </r>
    <r>
      <rPr>
        <sz val="8"/>
        <rFont val="Arial"/>
        <family val="2"/>
      </rPr>
      <t>0</t>
    </r>
    <r>
      <rPr>
        <sz val="10"/>
        <rFont val="Arial"/>
        <family val="0"/>
      </rPr>
      <t xml:space="preserve"> * (1-z) +w</t>
    </r>
    <r>
      <rPr>
        <sz val="8"/>
        <rFont val="Arial"/>
        <family val="2"/>
      </rPr>
      <t>1</t>
    </r>
    <r>
      <rPr>
        <sz val="10"/>
        <rFont val="Arial"/>
        <family val="0"/>
      </rPr>
      <t xml:space="preserve"> * z ) * D
X(D,z) = ( w</t>
    </r>
    <r>
      <rPr>
        <sz val="8"/>
        <rFont val="Arial"/>
        <family val="2"/>
      </rPr>
      <t>0</t>
    </r>
    <r>
      <rPr>
        <sz val="10"/>
        <rFont val="Arial"/>
        <family val="0"/>
      </rPr>
      <t xml:space="preserve"> * (1-z) +w</t>
    </r>
    <r>
      <rPr>
        <sz val="8"/>
        <rFont val="Arial"/>
        <family val="2"/>
      </rPr>
      <t>1</t>
    </r>
    <r>
      <rPr>
        <sz val="10"/>
        <rFont val="Arial"/>
        <family val="0"/>
      </rPr>
      <t xml:space="preserve"> * z ) * D
[as in other cells, results are in </t>
    </r>
    <r>
      <rPr>
        <i/>
        <sz val="10"/>
        <rFont val="Arial"/>
        <family val="2"/>
      </rPr>
      <t>inches</t>
    </r>
    <r>
      <rPr>
        <sz val="10"/>
        <rFont val="Arial"/>
        <family val="0"/>
      </rPr>
      <t>]</t>
    </r>
  </si>
  <si>
    <t>Insert new projectors after the last projector and before the blank and 'Other' lines.  In this way the spreadsheet will remain unbroken.</t>
  </si>
  <si>
    <t>Chosen Projector Number</t>
  </si>
  <si>
    <t>THE CHOSEN ONE</t>
  </si>
  <si>
    <t>Lens Center</t>
  </si>
  <si>
    <t>Min Focus</t>
  </si>
  <si>
    <t>Max Focus</t>
  </si>
  <si>
    <t>Aspect Ratio</t>
  </si>
  <si>
    <t>Pixel Width</t>
  </si>
  <si>
    <t>Pixel Height</t>
  </si>
  <si>
    <t>Bottom0</t>
  </si>
  <si>
    <t>Height0</t>
  </si>
  <si>
    <t>Width0</t>
  </si>
  <si>
    <t>Diag0</t>
  </si>
  <si>
    <t>Bottom1</t>
  </si>
  <si>
    <t>Height1</t>
  </si>
  <si>
    <t>Width1</t>
  </si>
  <si>
    <t>Diag1</t>
  </si>
  <si>
    <t>Mounting Scheme</t>
  </si>
  <si>
    <t>Separation</t>
  </si>
  <si>
    <t>Compare with Proxima's Distance Calculator</t>
  </si>
  <si>
    <t>Choose a Projector</t>
  </si>
  <si>
    <t>Screen Position</t>
  </si>
  <si>
    <t>Projector Overlap</t>
  </si>
  <si>
    <t>Projector Array</t>
  </si>
  <si>
    <t>Distance to screen</t>
  </si>
  <si>
    <t>Zoom setting</t>
  </si>
  <si>
    <t>Choose from the list here, or select "Other" and edit the "Other" fields on the "Projector Library" sheet. You can test your parameters on that sheet as well.</t>
  </si>
  <si>
    <t>Choose the orientation of the projectors.  Ceiling mounted projectors will typically use inverted image projection.</t>
  </si>
  <si>
    <t>Upright (floor or shelf)</t>
  </si>
  <si>
    <t>Inverted (ceiling)</t>
  </si>
  <si>
    <t>Enter the width and height of the area available for projection.  You will want to adjust distance and zoom (primarily) to fit the projected image tile onto this space.</t>
  </si>
  <si>
    <t>These fields allow you to move the screen area around.  For example, in a ceiling projected Mural, one might arrange for the bottom of the tiled image to be at or slightly below desk height.</t>
  </si>
  <si>
    <t>How many projectors in your array -- "3x1", "2x1", "5x3", "48x34"?</t>
  </si>
  <si>
    <t>How far is the lens of the projector from the screen?  This is the horizontal distance, assuming that the projector is correctly aligned with the screen.  This is usually NOT the distance from the lens center to the center of the projection area as most projectors throw an off-axis image.</t>
  </si>
  <si>
    <t>The default is no overlap.  If you want to solve the complex problem of blending, then choose another value and enter it in these fields.</t>
  </si>
  <si>
    <t>With all of the above parameters chosen, you can use the zoom setting on the projector to make the tiled image fit the available screen area according to your taste and good Access Grid practices.</t>
  </si>
  <si>
    <t>Input Configuration Here</t>
  </si>
  <si>
    <t>Resulting Layout</t>
  </si>
  <si>
    <t>Projector Library</t>
  </si>
  <si>
    <t>This is largely an "internal" page.  It contains the parameters which describe the projection properties of several useful units that we've tested.  It also contains an area for entering parameters for a projector of your choosing.  And, finally, there are test areas which compute the projected area and position for any of the projectors in the list.</t>
  </si>
  <si>
    <t>The Grinder</t>
  </si>
  <si>
    <t>Never look here.  It contains the guts of the machine.  You will certainly turn to salt.</t>
  </si>
  <si>
    <t>Access Grid worksheet for configuring Tiled Image Projector Arrays</t>
  </si>
  <si>
    <t>Start here.  Follow the steps from top to bottom and enter the parameters which describe the Mural layout.</t>
  </si>
  <si>
    <t>Your answers will be here.  Pictures of the resulting layout and tables showing required projector positions are presented here.</t>
  </si>
  <si>
    <t>RawBottom</t>
  </si>
  <si>
    <t>Vertical Spacing</t>
  </si>
  <si>
    <t>Horizontal Spacing</t>
  </si>
  <si>
    <t>Shelf 0</t>
  </si>
  <si>
    <t>Shelf 4</t>
  </si>
  <si>
    <t>Shelf 3</t>
  </si>
  <si>
    <t>Shelf 2</t>
  </si>
  <si>
    <t>Shelf 1</t>
  </si>
  <si>
    <t>Lens above Shelf</t>
  </si>
  <si>
    <t>PROJECTOR Placement [Center of Lens Coordinates]</t>
  </si>
  <si>
    <t>proj. bot.</t>
  </si>
  <si>
    <t>…fixed for inversion</t>
  </si>
  <si>
    <t>Horiz. Resolution</t>
  </si>
  <si>
    <t>Vert. Resolution</t>
  </si>
  <si>
    <t xml:space="preserve">  pix/mm</t>
  </si>
  <si>
    <t xml:space="preserve">  mm/pix</t>
  </si>
  <si>
    <t xml:space="preserve">  Target Width</t>
  </si>
  <si>
    <t xml:space="preserve">  Target Height</t>
  </si>
  <si>
    <t>Lens</t>
  </si>
  <si>
    <t>Image Top</t>
  </si>
  <si>
    <t>Image Bottom</t>
  </si>
  <si>
    <t>Distance above shelf…</t>
  </si>
  <si>
    <t>Sharp Notevision7</t>
  </si>
  <si>
    <r>
      <t>Pick a distance -- larger will give better accuracy.  When the zoom is set so the image is SMALL, what are the dimensions of the projected image and it's vertical displacement from the optical axis of the projector?  [Measurements in</t>
    </r>
    <r>
      <rPr>
        <i/>
        <sz val="10"/>
        <rFont val="Arial"/>
        <family val="2"/>
      </rPr>
      <t xml:space="preserve"> inches</t>
    </r>
    <r>
      <rPr>
        <sz val="10"/>
        <rFont val="Arial"/>
        <family val="0"/>
      </rPr>
      <t>.]</t>
    </r>
  </si>
  <si>
    <t>Added EPSON PowerLite 7500C to the projector library.</t>
  </si>
  <si>
    <t>Fixed the calculation of total width and height in inches.</t>
  </si>
  <si>
    <t>To Do:</t>
  </si>
  <si>
    <t>Have Did:</t>
  </si>
  <si>
    <t>Might add a constant term to the linear equations that define the projector image dimension.</t>
  </si>
  <si>
    <t xml:space="preserve">  HORIZONTAL overlap</t>
  </si>
  <si>
    <t xml:space="preserve">  VERTICAL overlap</t>
  </si>
  <si>
    <t xml:space="preserve">  dpi</t>
  </si>
  <si>
    <t>Fixed mm/pix calc</t>
  </si>
  <si>
    <t>Added dpi</t>
  </si>
  <si>
    <t>USEFUL LINK: Projector Central Projection Calculator</t>
  </si>
  <si>
    <t>Epson PowerLite 710C</t>
  </si>
  <si>
    <t>Epson PowerLite 7500C</t>
  </si>
  <si>
    <t xml:space="preserve">  MINIMIZE THIS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</si>
</sst>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
    <numFmt numFmtId="178" formatCode="mmmm\ d\,\ yyyy"/>
  </numFmts>
  <fonts count="18">
    <font>
      <sz val="10"/>
      <name val="Arial"/>
      <family val="0"/>
    </font>
    <font>
      <b/>
      <u val="single"/>
      <sz val="10"/>
      <name val="Arial"/>
      <family val="2"/>
    </font>
    <font>
      <b/>
      <sz val="12.5"/>
      <name val="Arial"/>
      <family val="0"/>
    </font>
    <font>
      <sz val="10.75"/>
      <name val="Arial"/>
      <family val="0"/>
    </font>
    <font>
      <b/>
      <sz val="16.5"/>
      <name val="Arial"/>
      <family val="2"/>
    </font>
    <font>
      <sz val="8.75"/>
      <name val="Arial"/>
      <family val="0"/>
    </font>
    <font>
      <sz val="8"/>
      <name val="Arial"/>
      <family val="2"/>
    </font>
    <font>
      <b/>
      <sz val="10"/>
      <name val="Arial"/>
      <family val="0"/>
    </font>
    <font>
      <sz val="8.5"/>
      <name val="Arial"/>
      <family val="0"/>
    </font>
    <font>
      <b/>
      <sz val="12"/>
      <name val="Arial"/>
      <family val="2"/>
    </font>
    <font>
      <i/>
      <sz val="10"/>
      <name val="Arial"/>
      <family val="2"/>
    </font>
    <font>
      <b/>
      <i/>
      <sz val="12"/>
      <name val="Arial"/>
      <family val="2"/>
    </font>
    <font>
      <sz val="12"/>
      <name val="Arial"/>
      <family val="2"/>
    </font>
    <font>
      <sz val="8"/>
      <name val="Tahoma"/>
      <family val="2"/>
    </font>
    <font>
      <b/>
      <i/>
      <sz val="12"/>
      <color indexed="62"/>
      <name val="Arial"/>
      <family val="2"/>
    </font>
    <font>
      <b/>
      <sz val="10"/>
      <color indexed="6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6">
    <border>
      <left/>
      <right/>
      <top/>
      <bottom/>
      <diagonal/>
    </border>
    <border>
      <left>
        <color indexed="63"/>
      </left>
      <right>
        <color indexed="63"/>
      </right>
      <top>
        <color indexed="63"/>
      </top>
      <bottom style="double"/>
    </border>
    <border>
      <left style="medium"/>
      <right style="medium"/>
      <top style="medium"/>
      <bottom>
        <color indexed="63"/>
      </bottom>
    </border>
    <border>
      <left style="medium"/>
      <right style="medium"/>
      <top style="thin"/>
      <bottom style="thin"/>
    </border>
    <border>
      <left style="medium"/>
      <right style="medium"/>
      <top style="thin"/>
      <bottom style="mediu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68" fontId="0" fillId="0" borderId="0" xfId="0" applyNumberFormat="1" applyAlignment="1">
      <alignment/>
    </xf>
    <xf numFmtId="0" fontId="0" fillId="0" borderId="0" xfId="0" applyBorder="1" applyAlignment="1" applyProtection="1">
      <alignment/>
      <protection locked="0"/>
    </xf>
    <xf numFmtId="168" fontId="0" fillId="0" borderId="0" xfId="0" applyNumberFormat="1" applyBorder="1" applyAlignment="1" applyProtection="1">
      <alignment/>
      <protection/>
    </xf>
    <xf numFmtId="1" fontId="0" fillId="0" borderId="0" xfId="0" applyNumberForma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horizontal="center" vertical="top" wrapText="1"/>
    </xf>
    <xf numFmtId="0" fontId="1" fillId="0" borderId="0" xfId="0" applyFont="1" applyFill="1" applyAlignment="1">
      <alignment horizontal="center" vertical="top" wrapText="1"/>
    </xf>
    <xf numFmtId="0" fontId="9" fillId="0" borderId="0" xfId="0" applyFont="1" applyAlignment="1">
      <alignment/>
    </xf>
    <xf numFmtId="0" fontId="9" fillId="0" borderId="1" xfId="0" applyFont="1" applyBorder="1" applyAlignment="1">
      <alignment/>
    </xf>
    <xf numFmtId="0" fontId="9" fillId="0" borderId="0" xfId="0" applyFont="1" applyBorder="1" applyAlignment="1">
      <alignment/>
    </xf>
    <xf numFmtId="0" fontId="11" fillId="0" borderId="0" xfId="0" applyFont="1" applyAlignment="1">
      <alignment/>
    </xf>
    <xf numFmtId="2" fontId="0" fillId="0" borderId="0" xfId="0" applyNumberFormat="1" applyAlignment="1">
      <alignment/>
    </xf>
    <xf numFmtId="0" fontId="0" fillId="0" borderId="0" xfId="0" applyAlignment="1">
      <alignment horizontal="left" vertical="top" wrapText="1"/>
    </xf>
    <xf numFmtId="165" fontId="0" fillId="0" borderId="0" xfId="0" applyNumberFormat="1" applyAlignment="1">
      <alignment/>
    </xf>
    <xf numFmtId="168" fontId="0" fillId="2" borderId="0" xfId="0" applyNumberFormat="1" applyFill="1" applyAlignment="1" applyProtection="1">
      <alignment/>
      <protection locked="0"/>
    </xf>
    <xf numFmtId="2" fontId="0" fillId="2" borderId="0" xfId="0" applyNumberFormat="1" applyFill="1" applyAlignment="1" applyProtection="1">
      <alignment/>
      <protection locked="0"/>
    </xf>
    <xf numFmtId="1" fontId="0" fillId="2" borderId="0" xfId="0" applyNumberFormat="1" applyFill="1" applyAlignment="1" applyProtection="1">
      <alignment/>
      <protection locked="0"/>
    </xf>
    <xf numFmtId="168" fontId="0" fillId="2" borderId="0" xfId="0" applyNumberFormat="1" applyFill="1" applyAlignment="1">
      <alignment/>
    </xf>
    <xf numFmtId="168" fontId="0" fillId="0" borderId="0" xfId="0" applyNumberFormat="1" applyFill="1" applyAlignment="1">
      <alignment/>
    </xf>
    <xf numFmtId="0" fontId="11" fillId="0" borderId="2" xfId="0" applyFont="1" applyBorder="1" applyAlignment="1">
      <alignment/>
    </xf>
    <xf numFmtId="0" fontId="0" fillId="2" borderId="3" xfId="0" applyFill="1" applyBorder="1" applyAlignment="1">
      <alignment horizontal="right"/>
    </xf>
    <xf numFmtId="0" fontId="0" fillId="3" borderId="3" xfId="0" applyFill="1" applyBorder="1" applyAlignment="1">
      <alignment horizontal="right"/>
    </xf>
    <xf numFmtId="0" fontId="0" fillId="0" borderId="4" xfId="0" applyBorder="1" applyAlignment="1">
      <alignment horizontal="right"/>
    </xf>
    <xf numFmtId="2" fontId="0" fillId="3" borderId="0" xfId="0" applyNumberFormat="1" applyFill="1" applyAlignment="1">
      <alignment/>
    </xf>
    <xf numFmtId="0" fontId="7" fillId="0" borderId="0" xfId="0" applyFont="1" applyAlignment="1">
      <alignment horizontal="center"/>
    </xf>
    <xf numFmtId="0" fontId="12" fillId="0" borderId="0" xfId="0" applyFont="1" applyAlignment="1">
      <alignment/>
    </xf>
    <xf numFmtId="0" fontId="14" fillId="0" borderId="0" xfId="0" applyFont="1" applyAlignment="1">
      <alignment/>
    </xf>
    <xf numFmtId="0" fontId="15" fillId="0" borderId="0" xfId="0" applyFont="1" applyAlignment="1">
      <alignment/>
    </xf>
    <xf numFmtId="168" fontId="15" fillId="0" borderId="0" xfId="0" applyNumberFormat="1" applyFont="1" applyAlignment="1">
      <alignment/>
    </xf>
    <xf numFmtId="2" fontId="15" fillId="0" borderId="0" xfId="0" applyNumberFormat="1" applyFont="1" applyAlignment="1">
      <alignment/>
    </xf>
    <xf numFmtId="165" fontId="15" fillId="0" borderId="0" xfId="0" applyNumberFormat="1" applyFont="1" applyAlignment="1">
      <alignment/>
    </xf>
    <xf numFmtId="168" fontId="15" fillId="2" borderId="0" xfId="0" applyNumberFormat="1" applyFont="1" applyFill="1" applyAlignment="1" applyProtection="1">
      <alignment/>
      <protection locked="0"/>
    </xf>
    <xf numFmtId="2" fontId="15" fillId="2" borderId="0" xfId="0" applyNumberFormat="1" applyFont="1" applyFill="1" applyAlignment="1" applyProtection="1">
      <alignment/>
      <protection locked="0"/>
    </xf>
    <xf numFmtId="0" fontId="0" fillId="2" borderId="0" xfId="0" applyFill="1" applyBorder="1" applyAlignment="1" applyProtection="1">
      <alignment/>
      <protection locked="0"/>
    </xf>
    <xf numFmtId="168" fontId="0" fillId="2" borderId="0" xfId="0" applyNumberFormat="1" applyFill="1" applyBorder="1" applyAlignment="1" applyProtection="1">
      <alignment/>
      <protection locked="0"/>
    </xf>
    <xf numFmtId="0" fontId="16" fillId="0" borderId="0" xfId="20" applyFont="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Alignment="1">
      <alignment vertical="top"/>
    </xf>
    <xf numFmtId="168" fontId="0" fillId="2" borderId="0" xfId="0" applyNumberFormat="1" applyFill="1" applyBorder="1" applyAlignment="1" applyProtection="1">
      <alignment vertical="top"/>
      <protection locked="0"/>
    </xf>
    <xf numFmtId="0" fontId="0" fillId="2" borderId="0" xfId="0" applyFill="1" applyBorder="1" applyAlignment="1" applyProtection="1">
      <alignment vertical="top"/>
      <protection locked="0"/>
    </xf>
    <xf numFmtId="0" fontId="7" fillId="0" borderId="0" xfId="0" applyFont="1" applyAlignment="1">
      <alignment vertical="top"/>
    </xf>
    <xf numFmtId="0" fontId="16" fillId="0" borderId="0" xfId="20" applyAlignment="1">
      <alignment vertical="top"/>
    </xf>
    <xf numFmtId="168" fontId="0" fillId="0" borderId="0" xfId="0" applyNumberFormat="1" applyFont="1" applyFill="1" applyAlignment="1" applyProtection="1">
      <alignment/>
      <protection/>
    </xf>
    <xf numFmtId="168" fontId="0" fillId="3" borderId="0" xfId="0" applyNumberFormat="1" applyFill="1" applyAlignment="1">
      <alignment/>
    </xf>
    <xf numFmtId="0" fontId="0" fillId="0" borderId="0" xfId="0" applyFill="1" applyBorder="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vertical="top"/>
      <protection locked="0"/>
    </xf>
    <xf numFmtId="0" fontId="0" fillId="0" borderId="0" xfId="0" applyAlignment="1" applyProtection="1">
      <alignment/>
      <protection locked="0"/>
    </xf>
    <xf numFmtId="177" fontId="0" fillId="3" borderId="0" xfId="21" applyNumberFormat="1" applyFill="1" applyAlignment="1">
      <alignment/>
    </xf>
    <xf numFmtId="1" fontId="0" fillId="3" borderId="0" xfId="0" applyNumberFormat="1" applyFill="1" applyAlignment="1">
      <alignment/>
    </xf>
    <xf numFmtId="2" fontId="0" fillId="2" borderId="0" xfId="0" applyNumberFormat="1" applyFill="1" applyBorder="1" applyAlignment="1" applyProtection="1">
      <alignment/>
      <protection locked="0"/>
    </xf>
    <xf numFmtId="9" fontId="0" fillId="3" borderId="0" xfId="0" applyNumberFormat="1" applyFill="1" applyBorder="1" applyAlignment="1" applyProtection="1">
      <alignment/>
      <protection/>
    </xf>
    <xf numFmtId="9" fontId="0" fillId="3" borderId="0" xfId="0" applyNumberFormat="1" applyFill="1" applyBorder="1" applyAlignment="1" applyProtection="1">
      <alignment vertical="top"/>
      <protection/>
    </xf>
    <xf numFmtId="168" fontId="0" fillId="3" borderId="0" xfId="0" applyNumberFormat="1" applyFill="1" applyAlignment="1">
      <alignment vertical="top"/>
    </xf>
    <xf numFmtId="15" fontId="0" fillId="0" borderId="0" xfId="0" applyNumberFormat="1" applyAlignment="1">
      <alignment/>
    </xf>
    <xf numFmtId="0" fontId="16" fillId="0" borderId="0" xfId="20" applyAlignment="1">
      <alignment/>
    </xf>
    <xf numFmtId="166" fontId="0" fillId="0" borderId="0" xfId="0" applyNumberFormat="1" applyAlignment="1">
      <alignment/>
    </xf>
    <xf numFmtId="0" fontId="0" fillId="0" borderId="0" xfId="0" applyAlignment="1">
      <alignment horizontal="left" vertical="top" wrapText="1"/>
    </xf>
    <xf numFmtId="0" fontId="0" fillId="0" borderId="0" xfId="0" applyAlignment="1">
      <alignment horizontal="left" vertical="top"/>
    </xf>
    <xf numFmtId="0" fontId="9" fillId="0" borderId="1" xfId="0" applyFont="1" applyBorder="1" applyAlignment="1">
      <alignment horizontal="center"/>
    </xf>
    <xf numFmtId="0" fontId="0" fillId="0" borderId="5"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latin typeface="Arial"/>
                <a:ea typeface="Arial"/>
                <a:cs typeface="Arial"/>
              </a:rPr>
              <a:t>Front View of Mural Layout</a:t>
            </a:r>
          </a:p>
        </c:rich>
      </c:tx>
      <c:layout/>
      <c:spPr>
        <a:noFill/>
        <a:ln>
          <a:noFill/>
        </a:ln>
      </c:spPr>
    </c:title>
    <c:plotArea>
      <c:layout>
        <c:manualLayout>
          <c:xMode val="edge"/>
          <c:yMode val="edge"/>
          <c:x val="0.0495"/>
          <c:y val="0.18825"/>
          <c:w val="0.9505"/>
          <c:h val="0.81175"/>
        </c:manualLayout>
      </c:layout>
      <c:scatterChart>
        <c:scatterStyle val="smoothMarker"/>
        <c:varyColors val="0"/>
        <c:ser>
          <c:idx val="0"/>
          <c:order val="0"/>
          <c:tx>
            <c:v>Mural</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'The Grinder'!$B$61:$B$65</c:f>
              <c:numCache>
                <c:ptCount val="5"/>
                <c:pt idx="0">
                  <c:v>0</c:v>
                </c:pt>
                <c:pt idx="1">
                  <c:v>0</c:v>
                </c:pt>
                <c:pt idx="2">
                  <c:v>72</c:v>
                </c:pt>
                <c:pt idx="3">
                  <c:v>72</c:v>
                </c:pt>
                <c:pt idx="4">
                  <c:v>0</c:v>
                </c:pt>
              </c:numCache>
            </c:numRef>
          </c:xVal>
          <c:yVal>
            <c:numRef>
              <c:f>'The Grinder'!$C$61:$C$65</c:f>
              <c:numCache>
                <c:ptCount val="5"/>
                <c:pt idx="0">
                  <c:v>0</c:v>
                </c:pt>
                <c:pt idx="1">
                  <c:v>40</c:v>
                </c:pt>
                <c:pt idx="2">
                  <c:v>40</c:v>
                </c:pt>
                <c:pt idx="3">
                  <c:v>0</c:v>
                </c:pt>
                <c:pt idx="4">
                  <c:v>0</c:v>
                </c:pt>
              </c:numCache>
            </c:numRef>
          </c:y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Grinder'!$B$68:$B$72</c:f>
              <c:numCache>
                <c:ptCount val="5"/>
                <c:pt idx="0">
                  <c:v>0.5987250000000017</c:v>
                </c:pt>
                <c:pt idx="1">
                  <c:v>0.5987250000000017</c:v>
                </c:pt>
                <c:pt idx="2">
                  <c:v>27.830475000000003</c:v>
                </c:pt>
                <c:pt idx="3">
                  <c:v>27.830475000000003</c:v>
                </c:pt>
                <c:pt idx="4">
                  <c:v>0.5987250000000017</c:v>
                </c:pt>
              </c:numCache>
            </c:numRef>
          </c:xVal>
          <c:yVal>
            <c:numRef>
              <c:f>'The Grinder'!$C$68:$C$72</c:f>
              <c:numCache>
                <c:ptCount val="5"/>
                <c:pt idx="0">
                  <c:v>1.6207062499999978</c:v>
                </c:pt>
                <c:pt idx="1">
                  <c:v>22.04214375</c:v>
                </c:pt>
                <c:pt idx="2">
                  <c:v>22.04214375</c:v>
                </c:pt>
                <c:pt idx="3">
                  <c:v>1.6207062499999978</c:v>
                </c:pt>
                <c:pt idx="4">
                  <c:v>1.6207062499999978</c:v>
                </c:pt>
              </c:numCache>
            </c:numRef>
          </c:yVal>
          <c:smooth val="1"/>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'The Grinder'!$E$68:$E$72</c:f>
              <c:numCache>
                <c:ptCount val="5"/>
                <c:pt idx="0">
                  <c:v>22.384125000000004</c:v>
                </c:pt>
                <c:pt idx="1">
                  <c:v>22.384125000000004</c:v>
                </c:pt>
                <c:pt idx="2">
                  <c:v>49.615875</c:v>
                </c:pt>
                <c:pt idx="3">
                  <c:v>49.615875</c:v>
                </c:pt>
                <c:pt idx="4">
                  <c:v>22.384125000000004</c:v>
                </c:pt>
              </c:numCache>
            </c:numRef>
          </c:xVal>
          <c:yVal>
            <c:numRef>
              <c:f>'The Grinder'!$F$68:$F$72</c:f>
              <c:numCache>
                <c:ptCount val="5"/>
                <c:pt idx="0">
                  <c:v>1.6207062499999978</c:v>
                </c:pt>
                <c:pt idx="1">
                  <c:v>22.04214375</c:v>
                </c:pt>
                <c:pt idx="2">
                  <c:v>22.04214375</c:v>
                </c:pt>
                <c:pt idx="3">
                  <c:v>1.6207062499999978</c:v>
                </c:pt>
                <c:pt idx="4">
                  <c:v>1.6207062499999978</c:v>
                </c:pt>
              </c:numCache>
            </c:numRef>
          </c:yVal>
          <c:smooth val="1"/>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xVal>
            <c:numRef>
              <c:f>'The Grinder'!$H$68:$H$72</c:f>
              <c:numCache>
                <c:ptCount val="5"/>
                <c:pt idx="0">
                  <c:v>44.16952500000001</c:v>
                </c:pt>
                <c:pt idx="1">
                  <c:v>44.16952500000001</c:v>
                </c:pt>
                <c:pt idx="2">
                  <c:v>71.40127500000001</c:v>
                </c:pt>
                <c:pt idx="3">
                  <c:v>71.40127500000001</c:v>
                </c:pt>
                <c:pt idx="4">
                  <c:v>44.16952500000001</c:v>
                </c:pt>
              </c:numCache>
            </c:numRef>
          </c:xVal>
          <c:yVal>
            <c:numRef>
              <c:f>'The Grinder'!$I$68:$I$72</c:f>
              <c:numCache>
                <c:ptCount val="5"/>
                <c:pt idx="0">
                  <c:v>1.6207062499999978</c:v>
                </c:pt>
                <c:pt idx="1">
                  <c:v>22.04214375</c:v>
                </c:pt>
                <c:pt idx="2">
                  <c:v>22.04214375</c:v>
                </c:pt>
                <c:pt idx="3">
                  <c:v>1.6207062499999978</c:v>
                </c:pt>
                <c:pt idx="4">
                  <c:v>1.6207062499999978</c:v>
                </c:pt>
              </c:numCache>
            </c:numRef>
          </c:yVal>
          <c:smooth val="1"/>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xVal>
            <c:numRef>
              <c:f>'The Grinder'!$K$68:$K$72</c:f>
              <c:numCache>
                <c:ptCount val="5"/>
                <c:pt idx="0">
                  <c:v>65.954925</c:v>
                </c:pt>
                <c:pt idx="1">
                  <c:v>65.954925</c:v>
                </c:pt>
                <c:pt idx="2">
                  <c:v>93.18667500000001</c:v>
                </c:pt>
                <c:pt idx="3">
                  <c:v>93.18667500000001</c:v>
                </c:pt>
                <c:pt idx="4">
                  <c:v>65.954925</c:v>
                </c:pt>
              </c:numCache>
            </c:numRef>
          </c:xVal>
          <c:yVal>
            <c:numRef>
              <c:f>'The Grinder'!$L$68:$L$72</c:f>
              <c:numCache>
                <c:ptCount val="5"/>
                <c:pt idx="0">
                  <c:v>1.6207062499999978</c:v>
                </c:pt>
                <c:pt idx="1">
                  <c:v>22.04214375</c:v>
                </c:pt>
                <c:pt idx="2">
                  <c:v>22.04214375</c:v>
                </c:pt>
                <c:pt idx="3">
                  <c:v>1.6207062499999978</c:v>
                </c:pt>
                <c:pt idx="4">
                  <c:v>1.6207062499999978</c:v>
                </c:pt>
              </c:numCache>
            </c:numRef>
          </c:yVal>
          <c:smooth val="1"/>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Grinder'!$B$74:$B$78</c:f>
              <c:numCache>
                <c:ptCount val="5"/>
                <c:pt idx="0">
                  <c:v>0.5987250000000017</c:v>
                </c:pt>
                <c:pt idx="1">
                  <c:v>0.5987250000000017</c:v>
                </c:pt>
                <c:pt idx="2">
                  <c:v>27.830475000000003</c:v>
                </c:pt>
                <c:pt idx="3">
                  <c:v>27.830475000000003</c:v>
                </c:pt>
                <c:pt idx="4">
                  <c:v>0.5987250000000017</c:v>
                </c:pt>
              </c:numCache>
            </c:numRef>
          </c:xVal>
          <c:yVal>
            <c:numRef>
              <c:f>'The Grinder'!$C$74:$C$78</c:f>
              <c:numCache>
                <c:ptCount val="5"/>
                <c:pt idx="0">
                  <c:v>17.95785625</c:v>
                </c:pt>
                <c:pt idx="1">
                  <c:v>38.37929375</c:v>
                </c:pt>
                <c:pt idx="2">
                  <c:v>38.37929375</c:v>
                </c:pt>
                <c:pt idx="3">
                  <c:v>17.95785625</c:v>
                </c:pt>
                <c:pt idx="4">
                  <c:v>17.95785625</c:v>
                </c:pt>
              </c:numCache>
            </c:numRef>
          </c:yVal>
          <c:smooth val="1"/>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xVal>
            <c:numRef>
              <c:f>'The Grinder'!$E$74:$E$78</c:f>
              <c:numCache>
                <c:ptCount val="5"/>
                <c:pt idx="0">
                  <c:v>22.384125000000004</c:v>
                </c:pt>
                <c:pt idx="1">
                  <c:v>22.384125000000004</c:v>
                </c:pt>
                <c:pt idx="2">
                  <c:v>49.615875</c:v>
                </c:pt>
                <c:pt idx="3">
                  <c:v>49.615875</c:v>
                </c:pt>
                <c:pt idx="4">
                  <c:v>22.384125000000004</c:v>
                </c:pt>
              </c:numCache>
            </c:numRef>
          </c:xVal>
          <c:yVal>
            <c:numRef>
              <c:f>'The Grinder'!$F$74:$F$78</c:f>
              <c:numCache>
                <c:ptCount val="5"/>
                <c:pt idx="0">
                  <c:v>17.95785625</c:v>
                </c:pt>
                <c:pt idx="1">
                  <c:v>38.37929375</c:v>
                </c:pt>
                <c:pt idx="2">
                  <c:v>38.37929375</c:v>
                </c:pt>
                <c:pt idx="3">
                  <c:v>17.95785625</c:v>
                </c:pt>
                <c:pt idx="4">
                  <c:v>17.95785625</c:v>
                </c:pt>
              </c:numCache>
            </c:numRef>
          </c:yVal>
          <c:smooth val="1"/>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xVal>
            <c:numRef>
              <c:f>'The Grinder'!$H$74:$H$78</c:f>
              <c:numCache>
                <c:ptCount val="5"/>
                <c:pt idx="0">
                  <c:v>44.16952500000001</c:v>
                </c:pt>
                <c:pt idx="1">
                  <c:v>44.16952500000001</c:v>
                </c:pt>
                <c:pt idx="2">
                  <c:v>71.40127500000001</c:v>
                </c:pt>
                <c:pt idx="3">
                  <c:v>71.40127500000001</c:v>
                </c:pt>
                <c:pt idx="4">
                  <c:v>44.16952500000001</c:v>
                </c:pt>
              </c:numCache>
            </c:numRef>
          </c:xVal>
          <c:yVal>
            <c:numRef>
              <c:f>'The Grinder'!$I$74:$I$78</c:f>
              <c:numCache>
                <c:ptCount val="5"/>
                <c:pt idx="0">
                  <c:v>17.95785625</c:v>
                </c:pt>
                <c:pt idx="1">
                  <c:v>38.37929375</c:v>
                </c:pt>
                <c:pt idx="2">
                  <c:v>38.37929375</c:v>
                </c:pt>
                <c:pt idx="3">
                  <c:v>17.95785625</c:v>
                </c:pt>
                <c:pt idx="4">
                  <c:v>17.95785625</c:v>
                </c:pt>
              </c:numCache>
            </c:numRef>
          </c:yVal>
          <c:smooth val="1"/>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xVal>
            <c:numRef>
              <c:f>'The Grinder'!$K$74:$K$78</c:f>
              <c:numCache>
                <c:ptCount val="5"/>
                <c:pt idx="0">
                  <c:v>65.954925</c:v>
                </c:pt>
                <c:pt idx="1">
                  <c:v>65.954925</c:v>
                </c:pt>
                <c:pt idx="2">
                  <c:v>93.18667500000001</c:v>
                </c:pt>
                <c:pt idx="3">
                  <c:v>93.18667500000001</c:v>
                </c:pt>
                <c:pt idx="4">
                  <c:v>65.954925</c:v>
                </c:pt>
              </c:numCache>
            </c:numRef>
          </c:xVal>
          <c:yVal>
            <c:numRef>
              <c:f>'The Grinder'!$L$74:$L$78</c:f>
              <c:numCache>
                <c:ptCount val="5"/>
                <c:pt idx="0">
                  <c:v>17.95785625</c:v>
                </c:pt>
                <c:pt idx="1">
                  <c:v>38.37929375</c:v>
                </c:pt>
                <c:pt idx="2">
                  <c:v>38.37929375</c:v>
                </c:pt>
                <c:pt idx="3">
                  <c:v>17.95785625</c:v>
                </c:pt>
                <c:pt idx="4">
                  <c:v>17.95785625</c:v>
                </c:pt>
              </c:numCache>
            </c:numRef>
          </c:yVal>
          <c:smooth val="1"/>
        </c:ser>
        <c:axId val="33048001"/>
        <c:axId val="28996554"/>
      </c:scatterChart>
      <c:valAx>
        <c:axId val="33048001"/>
        <c:scaling>
          <c:orientation val="minMax"/>
          <c:min val="0"/>
        </c:scaling>
        <c:axPos val="b"/>
        <c:delete val="0"/>
        <c:numFmt formatCode="0" sourceLinked="0"/>
        <c:majorTickMark val="out"/>
        <c:minorTickMark val="out"/>
        <c:tickLblPos val="nextTo"/>
        <c:crossAx val="28996554"/>
        <c:crosses val="autoZero"/>
        <c:crossBetween val="midCat"/>
        <c:dispUnits/>
      </c:valAx>
      <c:valAx>
        <c:axId val="28996554"/>
        <c:scaling>
          <c:orientation val="minMax"/>
          <c:min val="0"/>
        </c:scaling>
        <c:axPos val="l"/>
        <c:delete val="0"/>
        <c:numFmt formatCode="0" sourceLinked="0"/>
        <c:majorTickMark val="out"/>
        <c:minorTickMark val="out"/>
        <c:tickLblPos val="nextTo"/>
        <c:crossAx val="33048001"/>
        <c:crosses val="autoZero"/>
        <c:crossBetween val="midCat"/>
        <c:dispUnits/>
        <c:minorUnit val="10"/>
      </c:valAx>
      <c:spPr>
        <a:noFill/>
        <a:ln>
          <a:no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SIDE VIEW</a:t>
            </a:r>
          </a:p>
        </c:rich>
      </c:tx>
      <c:layout/>
      <c:spPr>
        <a:noFill/>
        <a:ln>
          <a:noFill/>
        </a:ln>
      </c:spPr>
    </c:title>
    <c:plotArea>
      <c:layout>
        <c:manualLayout>
          <c:xMode val="edge"/>
          <c:yMode val="edge"/>
          <c:x val="0.02825"/>
          <c:y val="0.202"/>
          <c:w val="0.938"/>
          <c:h val="0.779"/>
        </c:manualLayout>
      </c:layout>
      <c:scatterChart>
        <c:scatterStyle val="line"/>
        <c:varyColors val="0"/>
        <c:ser>
          <c:idx val="0"/>
          <c:order val="0"/>
          <c:tx>
            <c:v>The ActiveMural</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1"/>
            <c:spPr>
              <a:ln w="12700">
                <a:solidFill>
                  <a:srgbClr val="000080"/>
                </a:solidFill>
                <a:prstDash val="sysDot"/>
              </a:ln>
            </c:spPr>
            <c:marker>
              <c:size val="5"/>
              <c:spPr>
                <a:solidFill>
                  <a:srgbClr val="000080"/>
                </a:solidFill>
                <a:ln>
                  <a:solidFill>
                    <a:srgbClr val="000080"/>
                  </a:solidFill>
                </a:ln>
              </c:spPr>
            </c:marker>
          </c:dPt>
          <c:xVal>
            <c:numRef>
              <c:f>'The Grinder'!$B$83:$B$84</c:f>
              <c:numCache>
                <c:ptCount val="2"/>
                <c:pt idx="0">
                  <c:v>0</c:v>
                </c:pt>
                <c:pt idx="1">
                  <c:v>0</c:v>
                </c:pt>
              </c:numCache>
            </c:numRef>
          </c:xVal>
          <c:yVal>
            <c:numRef>
              <c:f>'The Grinder'!$C$83:$C$84</c:f>
              <c:numCache>
                <c:ptCount val="2"/>
                <c:pt idx="0">
                  <c:v>0</c:v>
                </c:pt>
                <c:pt idx="1">
                  <c:v>40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Grinder'!$B$87:$B$90</c:f>
              <c:numCache>
                <c:ptCount val="4"/>
                <c:pt idx="0">
                  <c:v>-57</c:v>
                </c:pt>
                <c:pt idx="1">
                  <c:v>0</c:v>
                </c:pt>
                <c:pt idx="2">
                  <c:v>0</c:v>
                </c:pt>
                <c:pt idx="3">
                  <c:v>-57</c:v>
                </c:pt>
              </c:numCache>
            </c:numRef>
          </c:xVal>
          <c:yVal>
            <c:numRef>
              <c:f>'The Grinder'!$C$87:$C$90</c:f>
              <c:numCache>
                <c:ptCount val="4"/>
                <c:pt idx="0">
                  <c:v>1.7394562499999977</c:v>
                </c:pt>
                <c:pt idx="1">
                  <c:v>1.6207062499999978</c:v>
                </c:pt>
                <c:pt idx="2">
                  <c:v>22.04214375</c:v>
                </c:pt>
                <c:pt idx="3">
                  <c:v>1.7394562499999977</c:v>
                </c:pt>
              </c:numCache>
            </c:numRef>
          </c:yVal>
          <c:smooth val="0"/>
        </c:ser>
        <c:ser>
          <c:idx val="2"/>
          <c:order val="2"/>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Grinder'!$B$95:$B$98</c:f>
              <c:numCache>
                <c:ptCount val="4"/>
                <c:pt idx="0">
                  <c:v>-57</c:v>
                </c:pt>
                <c:pt idx="1">
                  <c:v>0</c:v>
                </c:pt>
                <c:pt idx="2">
                  <c:v>0</c:v>
                </c:pt>
                <c:pt idx="3">
                  <c:v>-57</c:v>
                </c:pt>
              </c:numCache>
            </c:numRef>
          </c:xVal>
          <c:yVal>
            <c:numRef>
              <c:f>'The Grinder'!$C$95:$C$98</c:f>
              <c:numCache>
                <c:ptCount val="4"/>
                <c:pt idx="0">
                  <c:v>18.076606249999998</c:v>
                </c:pt>
                <c:pt idx="1">
                  <c:v>17.95785625</c:v>
                </c:pt>
                <c:pt idx="2">
                  <c:v>38.37929375</c:v>
                </c:pt>
                <c:pt idx="3">
                  <c:v>18.076606249999998</c:v>
                </c:pt>
              </c:numCache>
            </c:numRef>
          </c:yVal>
          <c:smooth val="0"/>
        </c:ser>
        <c:ser>
          <c:idx val="3"/>
          <c:order val="3"/>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Grinder'!$B$90:$B$91</c:f>
              <c:numCache>
                <c:ptCount val="2"/>
                <c:pt idx="0">
                  <c:v>-57</c:v>
                </c:pt>
                <c:pt idx="1">
                  <c:v>0</c:v>
                </c:pt>
              </c:numCache>
            </c:numRef>
          </c:xVal>
          <c:yVal>
            <c:numRef>
              <c:f>'The Grinder'!$C$90:$C$91</c:f>
              <c:numCache>
                <c:ptCount val="2"/>
                <c:pt idx="0">
                  <c:v>1.7394562499999977</c:v>
                </c:pt>
                <c:pt idx="1">
                  <c:v>1.7394562499999977</c:v>
                </c:pt>
              </c:numCache>
            </c:numRef>
          </c:yVal>
          <c:smooth val="0"/>
        </c:ser>
        <c:ser>
          <c:idx val="4"/>
          <c:order val="4"/>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Grinder'!$B$98:$B$99</c:f>
              <c:numCache>
                <c:ptCount val="2"/>
                <c:pt idx="0">
                  <c:v>-57</c:v>
                </c:pt>
                <c:pt idx="1">
                  <c:v>0</c:v>
                </c:pt>
              </c:numCache>
            </c:numRef>
          </c:xVal>
          <c:yVal>
            <c:numRef>
              <c:f>'The Grinder'!$C$98:$C$99</c:f>
              <c:numCache>
                <c:ptCount val="2"/>
                <c:pt idx="0">
                  <c:v>18.076606249999998</c:v>
                </c:pt>
                <c:pt idx="1">
                  <c:v>18.076606249999998</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Grinder'!$B$92:$B$93</c:f>
              <c:numCache>
                <c:ptCount val="2"/>
                <c:pt idx="0">
                  <c:v>-57</c:v>
                </c:pt>
                <c:pt idx="1">
                  <c:v>-62.7</c:v>
                </c:pt>
              </c:numCache>
            </c:numRef>
          </c:xVal>
          <c:yVal>
            <c:numRef>
              <c:f>'The Grinder'!$C$92:$C$93</c:f>
              <c:numCache>
                <c:ptCount val="2"/>
                <c:pt idx="0">
                  <c:v>-4.260543750000002</c:v>
                </c:pt>
                <c:pt idx="1">
                  <c:v>-4.260543750000002</c:v>
                </c:pt>
              </c:numCache>
            </c:numRef>
          </c:y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Grinder'!$B$100:$B$101</c:f>
              <c:numCache>
                <c:ptCount val="2"/>
                <c:pt idx="0">
                  <c:v>-57</c:v>
                </c:pt>
                <c:pt idx="1">
                  <c:v>-62.7</c:v>
                </c:pt>
              </c:numCache>
            </c:numRef>
          </c:xVal>
          <c:yVal>
            <c:numRef>
              <c:f>'The Grinder'!$C$100:$C$101</c:f>
              <c:numCache>
                <c:ptCount val="2"/>
                <c:pt idx="0">
                  <c:v>12.076606249999998</c:v>
                </c:pt>
                <c:pt idx="1">
                  <c:v>12.076606249999998</c:v>
                </c:pt>
              </c:numCache>
            </c:numRef>
          </c:yVal>
          <c:smooth val="0"/>
        </c:ser>
        <c:axId val="59642395"/>
        <c:axId val="67019508"/>
      </c:scatterChart>
      <c:valAx>
        <c:axId val="59642395"/>
        <c:scaling>
          <c:orientation val="minMax"/>
          <c:max val="0"/>
        </c:scaling>
        <c:axPos val="b"/>
        <c:delete val="0"/>
        <c:numFmt formatCode="0" sourceLinked="0"/>
        <c:majorTickMark val="out"/>
        <c:minorTickMark val="out"/>
        <c:tickLblPos val="nextTo"/>
        <c:txPr>
          <a:bodyPr/>
          <a:lstStyle/>
          <a:p>
            <a:pPr>
              <a:defRPr lang="en-US" cap="none" sz="800" b="0" i="0" u="none" baseline="0">
                <a:latin typeface="Arial"/>
                <a:ea typeface="Arial"/>
                <a:cs typeface="Arial"/>
              </a:defRPr>
            </a:pPr>
          </a:p>
        </c:txPr>
        <c:crossAx val="67019508"/>
        <c:crosses val="autoZero"/>
        <c:crossBetween val="midCat"/>
        <c:dispUnits/>
        <c:majorUnit val="20"/>
        <c:minorUnit val="10"/>
      </c:valAx>
      <c:valAx>
        <c:axId val="67019508"/>
        <c:scaling>
          <c:orientation val="minMax"/>
          <c:min val="0"/>
        </c:scaling>
        <c:axPos val="l"/>
        <c:delete val="0"/>
        <c:numFmt formatCode="0" sourceLinked="0"/>
        <c:majorTickMark val="in"/>
        <c:minorTickMark val="in"/>
        <c:tickLblPos val="high"/>
        <c:txPr>
          <a:bodyPr/>
          <a:lstStyle/>
          <a:p>
            <a:pPr>
              <a:defRPr lang="en-US" cap="none" sz="800" b="0" i="0" u="none" baseline="0">
                <a:latin typeface="Arial"/>
                <a:ea typeface="Arial"/>
                <a:cs typeface="Arial"/>
              </a:defRPr>
            </a:pPr>
          </a:p>
        </c:txPr>
        <c:crossAx val="59642395"/>
        <c:crosses val="autoZero"/>
        <c:crossBetween val="midCat"/>
        <c:dispUnits/>
        <c:majorUnit val="20"/>
        <c:minorUnit val="10"/>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TOP VIEW</a:t>
            </a:r>
          </a:p>
        </c:rich>
      </c:tx>
      <c:layout/>
      <c:spPr>
        <a:noFill/>
        <a:ln>
          <a:noFill/>
        </a:ln>
      </c:spPr>
    </c:title>
    <c:plotArea>
      <c:layout/>
      <c:scatterChart>
        <c:scatterStyle val="line"/>
        <c:varyColors val="0"/>
        <c:ser>
          <c:idx val="0"/>
          <c:order val="0"/>
          <c:tx>
            <c:v>The ActiveMural</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'The Grinder'!$B$107:$B$108</c:f>
              <c:numCache>
                <c:ptCount val="2"/>
                <c:pt idx="0">
                  <c:v>0</c:v>
                </c:pt>
                <c:pt idx="1">
                  <c:v>72</c:v>
                </c:pt>
              </c:numCache>
            </c:numRef>
          </c:xVal>
          <c:yVal>
            <c:numRef>
              <c:f>'The Grinder'!$C$107:$C$108</c:f>
              <c:numCache>
                <c:ptCount val="2"/>
                <c:pt idx="0">
                  <c:v>0</c:v>
                </c:pt>
                <c:pt idx="1">
                  <c:v>0</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Grinder'!$B$111:$B$114</c:f>
              <c:numCache>
                <c:ptCount val="4"/>
                <c:pt idx="0">
                  <c:v>14.214600000000003</c:v>
                </c:pt>
                <c:pt idx="1">
                  <c:v>0.5987250000000017</c:v>
                </c:pt>
                <c:pt idx="2">
                  <c:v>27.830475000000003</c:v>
                </c:pt>
                <c:pt idx="3">
                  <c:v>14.214600000000003</c:v>
                </c:pt>
              </c:numCache>
            </c:numRef>
          </c:xVal>
          <c:yVal>
            <c:numRef>
              <c:f>'The Grinder'!$C$111:$C$114</c:f>
              <c:numCache>
                <c:ptCount val="4"/>
                <c:pt idx="0">
                  <c:v>-57</c:v>
                </c:pt>
                <c:pt idx="1">
                  <c:v>0</c:v>
                </c:pt>
                <c:pt idx="2">
                  <c:v>0</c:v>
                </c:pt>
                <c:pt idx="3">
                  <c:v>-57</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'The Grinder'!$E$111:$E$114</c:f>
              <c:numCache>
                <c:ptCount val="4"/>
                <c:pt idx="0">
                  <c:v>36.00000000000001</c:v>
                </c:pt>
                <c:pt idx="1">
                  <c:v>22.384125000000004</c:v>
                </c:pt>
                <c:pt idx="2">
                  <c:v>49.615875</c:v>
                </c:pt>
                <c:pt idx="3">
                  <c:v>36.00000000000001</c:v>
                </c:pt>
              </c:numCache>
            </c:numRef>
          </c:xVal>
          <c:yVal>
            <c:numRef>
              <c:f>'The Grinder'!$F$111:$F$114</c:f>
              <c:numCache>
                <c:ptCount val="4"/>
                <c:pt idx="0">
                  <c:v>-57</c:v>
                </c:pt>
                <c:pt idx="1">
                  <c:v>0</c:v>
                </c:pt>
                <c:pt idx="2">
                  <c:v>0</c:v>
                </c:pt>
                <c:pt idx="3">
                  <c:v>-57</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xVal>
            <c:numRef>
              <c:f>'The Grinder'!$H$111:$H$114</c:f>
              <c:numCache>
                <c:ptCount val="4"/>
                <c:pt idx="0">
                  <c:v>57.78540000000001</c:v>
                </c:pt>
                <c:pt idx="1">
                  <c:v>44.16952500000001</c:v>
                </c:pt>
                <c:pt idx="2">
                  <c:v>71.40127500000001</c:v>
                </c:pt>
                <c:pt idx="3">
                  <c:v>57.78540000000001</c:v>
                </c:pt>
              </c:numCache>
            </c:numRef>
          </c:xVal>
          <c:yVal>
            <c:numRef>
              <c:f>'The Grinder'!$I$111:$I$114</c:f>
              <c:numCache>
                <c:ptCount val="4"/>
                <c:pt idx="0">
                  <c:v>-57</c:v>
                </c:pt>
                <c:pt idx="1">
                  <c:v>0</c:v>
                </c:pt>
                <c:pt idx="2">
                  <c:v>0</c:v>
                </c:pt>
                <c:pt idx="3">
                  <c:v>-57</c:v>
                </c:pt>
              </c:numCache>
            </c:numRef>
          </c:y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xVal>
            <c:numRef>
              <c:f>'The Grinder'!$K$111:$K$114</c:f>
              <c:numCache>
                <c:ptCount val="4"/>
                <c:pt idx="0">
                  <c:v>79.5708</c:v>
                </c:pt>
                <c:pt idx="1">
                  <c:v>65.954925</c:v>
                </c:pt>
                <c:pt idx="2">
                  <c:v>93.18667500000001</c:v>
                </c:pt>
                <c:pt idx="3">
                  <c:v>79.5708</c:v>
                </c:pt>
              </c:numCache>
            </c:numRef>
          </c:xVal>
          <c:yVal>
            <c:numRef>
              <c:f>'The Grinder'!$L$111:$L$114</c:f>
              <c:numCache>
                <c:ptCount val="4"/>
                <c:pt idx="0">
                  <c:v>-57</c:v>
                </c:pt>
                <c:pt idx="1">
                  <c:v>0</c:v>
                </c:pt>
                <c:pt idx="2">
                  <c:v>0</c:v>
                </c:pt>
                <c:pt idx="3">
                  <c:v>-57</c:v>
                </c:pt>
              </c:numCache>
            </c:numRef>
          </c:yVal>
          <c:smooth val="0"/>
        </c:ser>
        <c:ser>
          <c:idx val="5"/>
          <c:order val="5"/>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Grinder'!$B$114:$B$115</c:f>
              <c:numCache>
                <c:ptCount val="2"/>
                <c:pt idx="0">
                  <c:v>14.214600000000003</c:v>
                </c:pt>
                <c:pt idx="1">
                  <c:v>14.214600000000003</c:v>
                </c:pt>
              </c:numCache>
            </c:numRef>
          </c:xVal>
          <c:yVal>
            <c:numRef>
              <c:f>'The Grinder'!$C$114:$C$115</c:f>
              <c:numCache>
                <c:ptCount val="2"/>
                <c:pt idx="0">
                  <c:v>-57</c:v>
                </c:pt>
                <c:pt idx="1">
                  <c:v>0</c:v>
                </c:pt>
              </c:numCache>
            </c:numRef>
          </c:yVal>
          <c:smooth val="0"/>
        </c:ser>
        <c:ser>
          <c:idx val="6"/>
          <c:order val="6"/>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Grinder'!$E$114:$E$115</c:f>
              <c:numCache>
                <c:ptCount val="2"/>
                <c:pt idx="0">
                  <c:v>36.00000000000001</c:v>
                </c:pt>
                <c:pt idx="1">
                  <c:v>36.00000000000001</c:v>
                </c:pt>
              </c:numCache>
            </c:numRef>
          </c:xVal>
          <c:yVal>
            <c:numRef>
              <c:f>'The Grinder'!$F$114:$F$115</c:f>
              <c:numCache>
                <c:ptCount val="2"/>
                <c:pt idx="0">
                  <c:v>-57</c:v>
                </c:pt>
                <c:pt idx="1">
                  <c:v>0</c:v>
                </c:pt>
              </c:numCache>
            </c:numRef>
          </c:y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FF"/>
                </a:solidFill>
                <a:prstDash val="sysDot"/>
              </a:ln>
            </c:spPr>
            <c:marker>
              <c:symbol val="none"/>
            </c:marker>
          </c:dPt>
          <c:xVal>
            <c:numRef>
              <c:f>'The Grinder'!$H$114:$H$115</c:f>
              <c:numCache>
                <c:ptCount val="2"/>
                <c:pt idx="0">
                  <c:v>57.78540000000001</c:v>
                </c:pt>
                <c:pt idx="1">
                  <c:v>57.78540000000001</c:v>
                </c:pt>
              </c:numCache>
            </c:numRef>
          </c:xVal>
          <c:yVal>
            <c:numRef>
              <c:f>'The Grinder'!$I$114:$I$115</c:f>
              <c:numCache>
                <c:ptCount val="2"/>
                <c:pt idx="0">
                  <c:v>-57</c:v>
                </c:pt>
                <c:pt idx="1">
                  <c:v>0</c:v>
                </c:pt>
              </c:numCache>
            </c:numRef>
          </c:y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CCFF"/>
                </a:solidFill>
                <a:prstDash val="sysDot"/>
              </a:ln>
            </c:spPr>
            <c:marker>
              <c:symbol val="none"/>
            </c:marker>
          </c:dPt>
          <c:xVal>
            <c:numRef>
              <c:f>'The Grinder'!$K$114:$K$115</c:f>
              <c:numCache>
                <c:ptCount val="2"/>
                <c:pt idx="0">
                  <c:v>79.5708</c:v>
                </c:pt>
                <c:pt idx="1">
                  <c:v>79.5708</c:v>
                </c:pt>
              </c:numCache>
            </c:numRef>
          </c:xVal>
          <c:yVal>
            <c:numRef>
              <c:f>'The Grinder'!$L$114:$L$115</c:f>
              <c:numCache>
                <c:ptCount val="2"/>
                <c:pt idx="0">
                  <c:v>-57</c:v>
                </c:pt>
                <c:pt idx="1">
                  <c:v>0</c:v>
                </c:pt>
              </c:numCache>
            </c:numRef>
          </c:yVal>
          <c:smooth val="0"/>
        </c:ser>
        <c:axId val="66304661"/>
        <c:axId val="59871038"/>
      </c:scatterChart>
      <c:valAx>
        <c:axId val="66304661"/>
        <c:scaling>
          <c:orientation val="minMax"/>
          <c:min val="0"/>
        </c:scaling>
        <c:axPos val="t"/>
        <c:delete val="0"/>
        <c:numFmt formatCode="0" sourceLinked="0"/>
        <c:majorTickMark val="in"/>
        <c:minorTickMark val="in"/>
        <c:tickLblPos val="high"/>
        <c:crossAx val="59871038"/>
        <c:crosses val="autoZero"/>
        <c:crossBetween val="midCat"/>
        <c:dispUnits/>
      </c:valAx>
      <c:valAx>
        <c:axId val="59871038"/>
        <c:scaling>
          <c:orientation val="maxMin"/>
          <c:max val="0"/>
        </c:scaling>
        <c:axPos val="l"/>
        <c:delete val="0"/>
        <c:numFmt formatCode="General" sourceLinked="1"/>
        <c:majorTickMark val="out"/>
        <c:minorTickMark val="out"/>
        <c:tickLblPos val="nextTo"/>
        <c:crossAx val="66304661"/>
        <c:crosses val="autoZero"/>
        <c:crossBetween val="midCat"/>
        <c:dispUnits/>
        <c:majorUnit val="20"/>
        <c:minorUnit val="10"/>
      </c:valAx>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38100</xdr:rowOff>
    </xdr:from>
    <xdr:to>
      <xdr:col>12</xdr:col>
      <xdr:colOff>19050</xdr:colOff>
      <xdr:row>27</xdr:row>
      <xdr:rowOff>123825</xdr:rowOff>
    </xdr:to>
    <xdr:graphicFrame>
      <xdr:nvGraphicFramePr>
        <xdr:cNvPr id="1" name="Chart 1"/>
        <xdr:cNvGraphicFramePr/>
      </xdr:nvGraphicFramePr>
      <xdr:xfrm>
        <a:off x="4095750" y="1857375"/>
        <a:ext cx="3924300" cy="26765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30</xdr:row>
      <xdr:rowOff>85725</xdr:rowOff>
    </xdr:from>
    <xdr:to>
      <xdr:col>5</xdr:col>
      <xdr:colOff>104775</xdr:colOff>
      <xdr:row>50</xdr:row>
      <xdr:rowOff>0</xdr:rowOff>
    </xdr:to>
    <xdr:graphicFrame>
      <xdr:nvGraphicFramePr>
        <xdr:cNvPr id="2" name="Chart 2"/>
        <xdr:cNvGraphicFramePr/>
      </xdr:nvGraphicFramePr>
      <xdr:xfrm>
        <a:off x="695325" y="4981575"/>
        <a:ext cx="3143250" cy="3152775"/>
      </xdr:xfrm>
      <a:graphic>
        <a:graphicData uri="http://schemas.openxmlformats.org/drawingml/2006/chart">
          <c:chart xmlns:c="http://schemas.openxmlformats.org/drawingml/2006/chart" r:id="rId2"/>
        </a:graphicData>
      </a:graphic>
    </xdr:graphicFrame>
    <xdr:clientData/>
  </xdr:twoCellAnchor>
  <xdr:twoCellAnchor>
    <xdr:from>
      <xdr:col>5</xdr:col>
      <xdr:colOff>390525</xdr:colOff>
      <xdr:row>27</xdr:row>
      <xdr:rowOff>76200</xdr:rowOff>
    </xdr:from>
    <xdr:to>
      <xdr:col>10</xdr:col>
      <xdr:colOff>400050</xdr:colOff>
      <xdr:row>44</xdr:row>
      <xdr:rowOff>28575</xdr:rowOff>
    </xdr:to>
    <xdr:graphicFrame>
      <xdr:nvGraphicFramePr>
        <xdr:cNvPr id="3" name="Chart 3"/>
        <xdr:cNvGraphicFramePr/>
      </xdr:nvGraphicFramePr>
      <xdr:xfrm>
        <a:off x="4124325" y="4486275"/>
        <a:ext cx="3057525" cy="2705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oxima.com/site/Products/PRprojcalc.cfm" TargetMode="External" /><Relationship Id="rId2" Type="http://schemas.openxmlformats.org/officeDocument/2006/relationships/hyperlink" Target="http://www.projectorcentral.com/projection_calc.cfm"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7"/>
  <sheetViews>
    <sheetView workbookViewId="0" topLeftCell="A1">
      <selection activeCell="C4" sqref="C4"/>
      <selection activeCell="A1" sqref="A1"/>
    </sheetView>
  </sheetViews>
  <sheetFormatPr defaultColWidth="9.140625" defaultRowHeight="12.75"/>
  <cols>
    <col min="3" max="3" width="28.140625" style="0" bestFit="1" customWidth="1"/>
    <col min="4" max="4" width="48.00390625" style="0" customWidth="1"/>
  </cols>
  <sheetData>
    <row r="2" ht="15">
      <c r="B2" s="12" t="s">
        <v>144</v>
      </c>
    </row>
    <row r="4" spans="2:4" ht="31.5" customHeight="1">
      <c r="B4" s="43">
        <v>1</v>
      </c>
      <c r="C4" s="44" t="s">
        <v>138</v>
      </c>
      <c r="D4" s="14" t="s">
        <v>145</v>
      </c>
    </row>
    <row r="5" spans="2:4" ht="48" customHeight="1">
      <c r="B5" s="43">
        <v>2</v>
      </c>
      <c r="C5" s="44" t="s">
        <v>139</v>
      </c>
      <c r="D5" s="14" t="s">
        <v>146</v>
      </c>
    </row>
    <row r="6" spans="2:4" ht="97.5" customHeight="1">
      <c r="B6" s="43">
        <v>3</v>
      </c>
      <c r="C6" s="44" t="s">
        <v>140</v>
      </c>
      <c r="D6" s="14" t="s">
        <v>141</v>
      </c>
    </row>
    <row r="7" spans="2:4" ht="34.5" customHeight="1">
      <c r="B7" s="43">
        <v>4</v>
      </c>
      <c r="C7" s="44" t="s">
        <v>142</v>
      </c>
      <c r="D7" s="14" t="s">
        <v>143</v>
      </c>
    </row>
  </sheetData>
  <sheetProtection sheet="1" objects="1" scenarios="1"/>
  <hyperlinks>
    <hyperlink ref="C4" location="'Input Configuration HERE'!A1" display="'Input Configuration HERE'!A1"/>
    <hyperlink ref="C5" location="'Resulting Layout'!A1" display="'Resulting Layout'!A1"/>
    <hyperlink ref="C6" location="'Projector Library'!A1" display="'Projector Library'!A1"/>
    <hyperlink ref="C7" location="'The Grinder'!A1" display="'The Grinder'!A1"/>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J30"/>
  <sheetViews>
    <sheetView workbookViewId="0" topLeftCell="A1">
      <selection activeCell="E24" sqref="E24"/>
      <selection activeCell="A1" sqref="A1"/>
    </sheetView>
  </sheetViews>
  <sheetFormatPr defaultColWidth="9.140625" defaultRowHeight="12.75"/>
  <cols>
    <col min="2" max="2" width="9.140625" style="38" customWidth="1"/>
    <col min="3" max="3" width="39.421875" style="9" customWidth="1"/>
    <col min="4" max="4" width="14.421875" style="0" bestFit="1" customWidth="1"/>
  </cols>
  <sheetData>
    <row r="1" ht="16.5" thickBot="1"/>
    <row r="2" ht="15">
      <c r="C2" s="21" t="s">
        <v>100</v>
      </c>
    </row>
    <row r="3" ht="12.75">
      <c r="C3" s="22" t="s">
        <v>97</v>
      </c>
    </row>
    <row r="4" ht="12.75">
      <c r="C4" s="23" t="s">
        <v>98</v>
      </c>
    </row>
    <row r="5" ht="13.5" thickBot="1">
      <c r="C5" s="24" t="s">
        <v>99</v>
      </c>
    </row>
    <row r="6" ht="15.75"/>
    <row r="7" ht="15.75"/>
    <row r="8" spans="2:6" ht="15.75">
      <c r="B8" s="38">
        <v>1</v>
      </c>
      <c r="C8" s="9" t="s">
        <v>122</v>
      </c>
      <c r="D8" s="2"/>
      <c r="F8" s="27"/>
    </row>
    <row r="9" ht="63.75">
      <c r="C9" s="39" t="s">
        <v>128</v>
      </c>
    </row>
    <row r="10" ht="15.75"/>
    <row r="11" spans="2:3" ht="15.75">
      <c r="B11" s="38">
        <v>2</v>
      </c>
      <c r="C11" s="9" t="s">
        <v>75</v>
      </c>
    </row>
    <row r="12" ht="38.25">
      <c r="C12" s="39" t="s">
        <v>129</v>
      </c>
    </row>
    <row r="14" spans="2:6" ht="15.75">
      <c r="B14" s="38">
        <v>3</v>
      </c>
      <c r="C14" s="9" t="s">
        <v>12</v>
      </c>
      <c r="D14" t="s">
        <v>10</v>
      </c>
      <c r="E14" s="48">
        <v>72</v>
      </c>
      <c r="F14" t="s">
        <v>9</v>
      </c>
    </row>
    <row r="15" spans="3:6" ht="51">
      <c r="C15" s="39" t="s">
        <v>132</v>
      </c>
      <c r="D15" s="40" t="s">
        <v>8</v>
      </c>
      <c r="E15" s="49">
        <v>40</v>
      </c>
      <c r="F15" s="40" t="s">
        <v>9</v>
      </c>
    </row>
    <row r="17" spans="2:6" ht="15.75">
      <c r="B17" s="38">
        <v>4</v>
      </c>
      <c r="C17" s="9" t="s">
        <v>123</v>
      </c>
      <c r="D17" t="s">
        <v>34</v>
      </c>
      <c r="E17" s="36">
        <v>0</v>
      </c>
      <c r="F17" t="s">
        <v>37</v>
      </c>
    </row>
    <row r="18" spans="3:6" ht="63.75">
      <c r="C18" s="39" t="s">
        <v>133</v>
      </c>
      <c r="D18" s="40" t="s">
        <v>35</v>
      </c>
      <c r="E18" s="41">
        <v>0</v>
      </c>
      <c r="F18" s="40" t="s">
        <v>36</v>
      </c>
    </row>
    <row r="20" spans="2:6" ht="15.75">
      <c r="B20" s="38">
        <v>5</v>
      </c>
      <c r="C20" s="9" t="s">
        <v>125</v>
      </c>
      <c r="D20" t="s">
        <v>7</v>
      </c>
      <c r="E20" s="35">
        <v>3</v>
      </c>
      <c r="F20" t="s">
        <v>2</v>
      </c>
    </row>
    <row r="21" spans="3:6" ht="25.5">
      <c r="C21" s="39" t="s">
        <v>134</v>
      </c>
      <c r="D21" s="40" t="s">
        <v>0</v>
      </c>
      <c r="E21" s="42">
        <v>2</v>
      </c>
      <c r="F21" s="40" t="s">
        <v>1</v>
      </c>
    </row>
    <row r="23" spans="2:6" ht="15.75">
      <c r="B23" s="38">
        <v>6</v>
      </c>
      <c r="C23" s="9" t="s">
        <v>126</v>
      </c>
      <c r="D23" t="s">
        <v>3</v>
      </c>
      <c r="E23" s="35">
        <v>57</v>
      </c>
      <c r="F23" t="s">
        <v>4</v>
      </c>
    </row>
    <row r="24" spans="3:5" ht="89.25">
      <c r="C24" s="39" t="s">
        <v>135</v>
      </c>
      <c r="E24" s="47"/>
    </row>
    <row r="26" spans="2:10" ht="15.75">
      <c r="B26" s="38">
        <v>7</v>
      </c>
      <c r="C26" s="9" t="s">
        <v>124</v>
      </c>
      <c r="D26" t="s">
        <v>20</v>
      </c>
      <c r="E26" s="36">
        <f>0.2*1024</f>
        <v>204.8</v>
      </c>
      <c r="F26" t="s">
        <v>24</v>
      </c>
      <c r="G26" s="46">
        <f>W_overlap*Width</f>
        <v>5.446350000000001</v>
      </c>
      <c r="H26" t="s">
        <v>9</v>
      </c>
      <c r="I26" s="54">
        <f>W_pixel_overlap/W_pixels</f>
        <v>0.2</v>
      </c>
      <c r="J26" t="s">
        <v>176</v>
      </c>
    </row>
    <row r="27" spans="3:10" ht="51">
      <c r="C27" s="39" t="s">
        <v>136</v>
      </c>
      <c r="D27" s="40" t="s">
        <v>21</v>
      </c>
      <c r="E27" s="41">
        <f>3/4*W_pixel_overlap</f>
        <v>153.60000000000002</v>
      </c>
      <c r="F27" s="40" t="s">
        <v>24</v>
      </c>
      <c r="G27" s="56">
        <f>H_overlap*Height</f>
        <v>4.084287500000001</v>
      </c>
      <c r="H27" s="40" t="s">
        <v>9</v>
      </c>
      <c r="I27" s="55">
        <f>H_pixel_overlap/H_pixels</f>
        <v>0.20000000000000004</v>
      </c>
      <c r="J27" s="40" t="s">
        <v>177</v>
      </c>
    </row>
    <row r="29" spans="2:10" ht="15.75">
      <c r="B29" s="38">
        <v>8</v>
      </c>
      <c r="C29" s="9" t="s">
        <v>127</v>
      </c>
      <c r="D29" t="s">
        <v>14</v>
      </c>
      <c r="E29" s="53">
        <v>0.9</v>
      </c>
      <c r="F29" t="s">
        <v>15</v>
      </c>
      <c r="I29" s="59">
        <f>('Resulting Layout'!G6-1)^2+('Resulting Layout'!G7-1)^2</f>
        <v>0.006843320348535127</v>
      </c>
      <c r="J29" t="s">
        <v>184</v>
      </c>
    </row>
    <row r="30" ht="63.75">
      <c r="C30" s="39" t="s">
        <v>137</v>
      </c>
    </row>
  </sheetData>
  <sheetProtection sheet="1" objects="1" scenarios="1"/>
  <printOptions/>
  <pageMargins left="0.75" right="0.75" top="1" bottom="1" header="0.5" footer="0.5"/>
  <pageSetup fitToHeight="1" fitToWidth="1" horizontalDpi="600" verticalDpi="600" orientation="portrait" scale="65"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H27"/>
  <sheetViews>
    <sheetView tabSelected="1" workbookViewId="0" topLeftCell="F15">
      <selection activeCell="C4" sqref="C4"/>
      <selection activeCell="A1" sqref="A1"/>
    </sheetView>
  </sheetViews>
  <sheetFormatPr defaultColWidth="9.140625" defaultRowHeight="12.75"/>
  <cols>
    <col min="2" max="2" width="17.00390625" style="0" bestFit="1" customWidth="1"/>
    <col min="3" max="3" width="11.57421875" style="0" customWidth="1"/>
  </cols>
  <sheetData>
    <row r="1" ht="15">
      <c r="B1" s="21" t="s">
        <v>100</v>
      </c>
    </row>
    <row r="2" ht="12.75">
      <c r="B2" s="22" t="s">
        <v>97</v>
      </c>
    </row>
    <row r="3" ht="12.75">
      <c r="B3" s="23" t="s">
        <v>98</v>
      </c>
    </row>
    <row r="4" ht="13.5" thickBot="1">
      <c r="B4" s="24" t="s">
        <v>99</v>
      </c>
    </row>
    <row r="6" spans="2:8" ht="12.75">
      <c r="B6" t="s">
        <v>22</v>
      </c>
      <c r="C6" s="52">
        <f>W_projectors*W_pixels-(W_projectors-1)*W_pixel_overlap</f>
        <v>2662.4</v>
      </c>
      <c r="D6" t="s">
        <v>24</v>
      </c>
      <c r="E6" s="25">
        <f>(W_projectors-(W_projectors-1)*W_overlap)*Width</f>
        <v>70.80255000000001</v>
      </c>
      <c r="F6" t="s">
        <v>9</v>
      </c>
      <c r="G6" s="51">
        <f>E6/Mural_Width</f>
        <v>0.9833687500000001</v>
      </c>
      <c r="H6" t="s">
        <v>163</v>
      </c>
    </row>
    <row r="7" spans="2:8" ht="12.75">
      <c r="B7" t="s">
        <v>23</v>
      </c>
      <c r="C7" s="52">
        <f>H_projectors*H_pixels-(H_projectors-1)*H_pixel_overlap</f>
        <v>1382.4</v>
      </c>
      <c r="D7" t="s">
        <v>24</v>
      </c>
      <c r="E7" s="25">
        <f>(H_projectors-(H_projectors-1)*H_overlap)*Height</f>
        <v>36.758587500000004</v>
      </c>
      <c r="F7" t="s">
        <v>9</v>
      </c>
      <c r="G7" s="51">
        <f>E7/Mural_Height</f>
        <v>0.9189646875000002</v>
      </c>
      <c r="H7" t="s">
        <v>164</v>
      </c>
    </row>
    <row r="9" spans="2:8" ht="12.75">
      <c r="B9" t="s">
        <v>159</v>
      </c>
      <c r="C9" s="25">
        <f>Total_Pixel_Width/(E6*25.4)</f>
        <v>1.4804395835714288</v>
      </c>
      <c r="D9" t="s">
        <v>161</v>
      </c>
      <c r="E9" s="25">
        <f>1/C9</f>
        <v>0.675475048828125</v>
      </c>
      <c r="F9" t="s">
        <v>162</v>
      </c>
      <c r="G9" s="46">
        <f>C9*25.4</f>
        <v>37.60316542271429</v>
      </c>
      <c r="H9" t="s">
        <v>178</v>
      </c>
    </row>
    <row r="10" spans="2:8" ht="12.75">
      <c r="B10" t="s">
        <v>160</v>
      </c>
      <c r="C10" s="25">
        <f>Total_Pixel_Height/(E7*25.4)</f>
        <v>1.4806117577394315</v>
      </c>
      <c r="D10" t="s">
        <v>161</v>
      </c>
      <c r="E10" s="25">
        <f>1/C10</f>
        <v>0.6753965006510417</v>
      </c>
      <c r="F10" t="s">
        <v>162</v>
      </c>
      <c r="G10" s="46">
        <f>C10*25.4</f>
        <v>37.60753864658156</v>
      </c>
      <c r="H10" t="s">
        <v>178</v>
      </c>
    </row>
    <row r="12" spans="2:4" ht="12.75">
      <c r="B12" t="s">
        <v>149</v>
      </c>
      <c r="C12" s="46">
        <f>H_Separation</f>
        <v>21.785400000000003</v>
      </c>
      <c r="D12" t="s">
        <v>9</v>
      </c>
    </row>
    <row r="13" spans="2:4" ht="12.75">
      <c r="B13" t="s">
        <v>148</v>
      </c>
      <c r="C13" s="46">
        <f>V_Separation</f>
        <v>16.33715</v>
      </c>
      <c r="D13" t="s">
        <v>9</v>
      </c>
    </row>
    <row r="15" spans="2:4" ht="12.75">
      <c r="B15" t="s">
        <v>155</v>
      </c>
      <c r="C15" s="16">
        <v>6</v>
      </c>
      <c r="D15" t="s">
        <v>9</v>
      </c>
    </row>
    <row r="16" spans="2:4" ht="12.75">
      <c r="B16" t="s">
        <v>158</v>
      </c>
      <c r="C16" s="45">
        <f>IF(Inverted=2,-C15,C15)</f>
        <v>6</v>
      </c>
      <c r="D16" t="s">
        <v>9</v>
      </c>
    </row>
    <row r="18" spans="2:4" ht="12.75">
      <c r="B18" t="s">
        <v>151</v>
      </c>
      <c r="C18" s="46">
        <f>C19+C$13</f>
        <v>61.08805625</v>
      </c>
      <c r="D18" t="s">
        <v>9</v>
      </c>
    </row>
    <row r="19" spans="2:4" ht="12.75">
      <c r="B19" t="s">
        <v>152</v>
      </c>
      <c r="C19" s="46">
        <f>C20+C$13</f>
        <v>44.75090625</v>
      </c>
      <c r="D19" t="s">
        <v>9</v>
      </c>
    </row>
    <row r="20" spans="2:4" ht="12.75">
      <c r="B20" t="s">
        <v>153</v>
      </c>
      <c r="C20" s="46">
        <f>C21+C$13</f>
        <v>28.41375625</v>
      </c>
      <c r="D20" t="s">
        <v>9</v>
      </c>
    </row>
    <row r="21" spans="2:4" ht="12.75">
      <c r="B21" t="s">
        <v>154</v>
      </c>
      <c r="C21" s="46">
        <f>C22+C$13</f>
        <v>12.07660625</v>
      </c>
      <c r="D21" t="s">
        <v>9</v>
      </c>
    </row>
    <row r="22" spans="2:4" ht="12.75">
      <c r="B22" t="s">
        <v>150</v>
      </c>
      <c r="C22" s="46">
        <f>'The Grinder'!F27-C16</f>
        <v>-4.260543750000002</v>
      </c>
      <c r="D22" t="s">
        <v>9</v>
      </c>
    </row>
    <row r="24" ht="12.75">
      <c r="B24" t="s">
        <v>168</v>
      </c>
    </row>
    <row r="25" spans="2:4" ht="12.75">
      <c r="B25" t="s">
        <v>165</v>
      </c>
      <c r="C25" s="46">
        <f>C16</f>
        <v>6</v>
      </c>
      <c r="D25" t="s">
        <v>9</v>
      </c>
    </row>
    <row r="26" spans="2:4" ht="12.75">
      <c r="B26" t="s">
        <v>166</v>
      </c>
      <c r="C26" s="46">
        <f>C27+Height</f>
        <v>26.302687500000005</v>
      </c>
      <c r="D26" t="s">
        <v>9</v>
      </c>
    </row>
    <row r="27" spans="2:4" ht="12.75">
      <c r="B27" t="s">
        <v>167</v>
      </c>
      <c r="C27" s="46">
        <f>C25+Bottom</f>
        <v>5.88125</v>
      </c>
      <c r="D27" t="s">
        <v>9</v>
      </c>
    </row>
  </sheetData>
  <printOptions/>
  <pageMargins left="0.75" right="0.75" top="1" bottom="1" header="0.5" footer="0.5"/>
  <pageSetup fitToHeight="1" fitToWidth="1"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AM28"/>
  <sheetViews>
    <sheetView workbookViewId="0" topLeftCell="A1">
      <selection activeCell="AI15" sqref="AI15"/>
      <selection activeCell="A1" sqref="A1"/>
    </sheetView>
  </sheetViews>
  <sheetFormatPr defaultColWidth="9.140625" defaultRowHeight="12.75"/>
  <cols>
    <col min="3" max="3" width="29.28125" style="0" bestFit="1" customWidth="1"/>
    <col min="4" max="4" width="1.7109375" style="0" customWidth="1"/>
    <col min="11" max="11" width="1.7109375" style="0" customWidth="1"/>
    <col min="15" max="15" width="9.00390625" style="0" customWidth="1"/>
    <col min="17" max="17" width="1.7109375" style="0" customWidth="1"/>
    <col min="23" max="23" width="1.7109375" style="0" customWidth="1"/>
    <col min="24" max="27" width="9.57421875" style="0" bestFit="1" customWidth="1"/>
    <col min="28" max="28" width="1.7109375" style="0" customWidth="1"/>
    <col min="33" max="33" width="1.7109375" style="0" customWidth="1"/>
  </cols>
  <sheetData>
    <row r="1" ht="12.75">
      <c r="C1" s="58" t="s">
        <v>181</v>
      </c>
    </row>
    <row r="2" ht="13.5" thickBot="1"/>
    <row r="3" ht="15">
      <c r="C3" s="21" t="s">
        <v>100</v>
      </c>
    </row>
    <row r="4" ht="12.75">
      <c r="C4" s="22" t="s">
        <v>97</v>
      </c>
    </row>
    <row r="5" ht="12.75">
      <c r="C5" s="23" t="s">
        <v>98</v>
      </c>
    </row>
    <row r="6" ht="13.5" thickBot="1">
      <c r="C6" s="24" t="s">
        <v>99</v>
      </c>
    </row>
    <row r="9" spans="3:39" ht="16.5" thickBot="1">
      <c r="C9" s="10" t="s">
        <v>64</v>
      </c>
      <c r="D9" s="11"/>
      <c r="E9" s="62" t="s">
        <v>67</v>
      </c>
      <c r="F9" s="62"/>
      <c r="G9" s="62"/>
      <c r="H9" s="62"/>
      <c r="I9" s="62"/>
      <c r="J9" s="62"/>
      <c r="L9" s="62" t="s">
        <v>63</v>
      </c>
      <c r="M9" s="62"/>
      <c r="N9" s="62"/>
      <c r="O9" s="62"/>
      <c r="P9" s="62"/>
      <c r="R9" s="62" t="s">
        <v>65</v>
      </c>
      <c r="S9" s="62"/>
      <c r="T9" s="62"/>
      <c r="U9" s="62"/>
      <c r="V9" s="62"/>
      <c r="X9" s="62" t="s">
        <v>82</v>
      </c>
      <c r="Y9" s="62"/>
      <c r="Z9" s="62"/>
      <c r="AA9" s="62"/>
      <c r="AC9" s="62" t="s">
        <v>83</v>
      </c>
      <c r="AD9" s="62"/>
      <c r="AE9" s="62"/>
      <c r="AF9" s="62"/>
      <c r="AH9" s="62" t="s">
        <v>95</v>
      </c>
      <c r="AI9" s="62"/>
      <c r="AJ9" s="62"/>
      <c r="AK9" s="62"/>
      <c r="AL9" s="62"/>
      <c r="AM9" s="62"/>
    </row>
    <row r="10" spans="3:39" ht="68.25" customHeight="1" thickTop="1">
      <c r="C10" s="14" t="s">
        <v>102</v>
      </c>
      <c r="E10" s="63" t="s">
        <v>72</v>
      </c>
      <c r="F10" s="63"/>
      <c r="G10" s="63"/>
      <c r="H10" s="63"/>
      <c r="I10" s="63"/>
      <c r="J10" s="63"/>
      <c r="L10" s="63" t="s">
        <v>170</v>
      </c>
      <c r="M10" s="63"/>
      <c r="N10" s="63"/>
      <c r="O10" s="63"/>
      <c r="P10" s="63"/>
      <c r="R10" s="63" t="s">
        <v>68</v>
      </c>
      <c r="S10" s="63"/>
      <c r="T10" s="63"/>
      <c r="U10" s="63"/>
      <c r="V10" s="63"/>
      <c r="X10" s="60" t="s">
        <v>86</v>
      </c>
      <c r="Y10" s="60"/>
      <c r="Z10" s="60"/>
      <c r="AA10" s="60"/>
      <c r="AC10" s="60" t="s">
        <v>87</v>
      </c>
      <c r="AD10" s="60"/>
      <c r="AE10" s="60"/>
      <c r="AF10" s="60"/>
      <c r="AH10" s="60" t="s">
        <v>101</v>
      </c>
      <c r="AI10" s="61"/>
      <c r="AJ10" s="61"/>
      <c r="AK10" s="61"/>
      <c r="AL10" s="61"/>
      <c r="AM10" s="61"/>
    </row>
    <row r="11" spans="1:39" ht="38.25">
      <c r="A11" s="14" t="s">
        <v>103</v>
      </c>
      <c r="B11" s="50">
        <v>5</v>
      </c>
      <c r="E11" s="7" t="s">
        <v>66</v>
      </c>
      <c r="F11" s="7" t="s">
        <v>73</v>
      </c>
      <c r="G11" s="7" t="s">
        <v>74</v>
      </c>
      <c r="H11" s="7" t="s">
        <v>69</v>
      </c>
      <c r="I11" s="7" t="s">
        <v>70</v>
      </c>
      <c r="J11" s="7" t="s">
        <v>71</v>
      </c>
      <c r="L11" s="7" t="s">
        <v>58</v>
      </c>
      <c r="M11" s="7" t="s">
        <v>59</v>
      </c>
      <c r="N11" s="7" t="s">
        <v>52</v>
      </c>
      <c r="O11" s="8" t="s">
        <v>54</v>
      </c>
      <c r="P11" s="7" t="s">
        <v>56</v>
      </c>
      <c r="Q11" s="7"/>
      <c r="R11" s="7" t="s">
        <v>58</v>
      </c>
      <c r="S11" s="7" t="s">
        <v>60</v>
      </c>
      <c r="T11" s="7" t="s">
        <v>53</v>
      </c>
      <c r="U11" s="8" t="s">
        <v>55</v>
      </c>
      <c r="V11" s="7" t="s">
        <v>57</v>
      </c>
      <c r="X11" s="7" t="s">
        <v>76</v>
      </c>
      <c r="Y11" s="7" t="s">
        <v>84</v>
      </c>
      <c r="Z11" s="7" t="s">
        <v>77</v>
      </c>
      <c r="AA11" s="7" t="s">
        <v>78</v>
      </c>
      <c r="AC11" s="7" t="s">
        <v>79</v>
      </c>
      <c r="AD11" s="7" t="s">
        <v>85</v>
      </c>
      <c r="AE11" s="7" t="s">
        <v>80</v>
      </c>
      <c r="AF11" s="7" t="s">
        <v>81</v>
      </c>
      <c r="AH11" s="7" t="s">
        <v>88</v>
      </c>
      <c r="AI11" s="7" t="s">
        <v>89</v>
      </c>
      <c r="AJ11" s="7" t="s">
        <v>94</v>
      </c>
      <c r="AK11" s="7" t="s">
        <v>93</v>
      </c>
      <c r="AL11" s="7" t="s">
        <v>91</v>
      </c>
      <c r="AM11" s="7" t="s">
        <v>92</v>
      </c>
    </row>
    <row r="12" spans="12:22" ht="12.75">
      <c r="L12" s="7"/>
      <c r="M12" s="7"/>
      <c r="N12" s="7"/>
      <c r="O12" s="8"/>
      <c r="P12" s="7"/>
      <c r="Q12" s="7"/>
      <c r="R12" s="7"/>
      <c r="S12" s="7"/>
      <c r="T12" s="7"/>
      <c r="U12" s="8"/>
      <c r="V12" s="7"/>
    </row>
    <row r="13" spans="1:39" ht="15">
      <c r="A13">
        <v>1</v>
      </c>
      <c r="B13" s="26">
        <f aca="true" t="shared" si="0" ref="B13:B18">IF(B$11=A13,"X","")</f>
      </c>
      <c r="C13" s="12" t="s">
        <v>61</v>
      </c>
      <c r="E13" s="1">
        <v>4</v>
      </c>
      <c r="F13" s="1">
        <f>3*12</f>
        <v>36</v>
      </c>
      <c r="G13" s="1">
        <f>39.37*12</f>
        <v>472.43999999999994</v>
      </c>
      <c r="H13" s="13">
        <f>4/3</f>
        <v>1.3333333333333333</v>
      </c>
      <c r="I13" s="4">
        <v>1024</v>
      </c>
      <c r="J13" s="4">
        <v>768</v>
      </c>
      <c r="L13" s="1">
        <f>10.6*1000/25.4</f>
        <v>417.32283464566933</v>
      </c>
      <c r="M13" s="1">
        <f>599/25.4</f>
        <v>23.582677165354333</v>
      </c>
      <c r="N13" s="1">
        <v>120</v>
      </c>
      <c r="O13" s="1">
        <v>160</v>
      </c>
      <c r="P13" s="1">
        <v>200</v>
      </c>
      <c r="R13" s="20">
        <f>12.3*1000/25.4</f>
        <v>484.251968503937</v>
      </c>
      <c r="S13" s="20">
        <f>891/25.4</f>
        <v>35.07874015748032</v>
      </c>
      <c r="T13" s="1">
        <v>180</v>
      </c>
      <c r="U13" s="1">
        <v>240</v>
      </c>
      <c r="V13" s="1">
        <v>300</v>
      </c>
      <c r="X13" s="15">
        <f aca="true" t="shared" si="1" ref="X13:X18">M13/$L13</f>
        <v>0.05650943396226415</v>
      </c>
      <c r="Y13" s="15">
        <f aca="true" t="shared" si="2" ref="Y13:AA14">N13/$L13</f>
        <v>0.2875471698113207</v>
      </c>
      <c r="Z13" s="15">
        <f t="shared" si="2"/>
        <v>0.3833962264150943</v>
      </c>
      <c r="AA13" s="15">
        <f t="shared" si="2"/>
        <v>0.4792452830188679</v>
      </c>
      <c r="AC13" s="15">
        <f aca="true" t="shared" si="3" ref="AC13:AC18">S13/$R13</f>
        <v>0.07243902439024391</v>
      </c>
      <c r="AD13" s="15">
        <f aca="true" t="shared" si="4" ref="AD13:AF14">T13/$R13</f>
        <v>0.37170731707317073</v>
      </c>
      <c r="AE13" s="15">
        <f t="shared" si="4"/>
        <v>0.49560975609756097</v>
      </c>
      <c r="AF13" s="15">
        <f t="shared" si="4"/>
        <v>0.6195121951219512</v>
      </c>
      <c r="AH13" s="16">
        <v>140</v>
      </c>
      <c r="AI13" s="17">
        <v>0.6</v>
      </c>
      <c r="AJ13" s="25">
        <f aca="true" t="shared" si="5" ref="AJ13:AJ18">(X13*(1-$AI13)+AC13*$AI13)*$AH13</f>
        <v>9.249406350667279</v>
      </c>
      <c r="AK13" s="25">
        <f aca="true" t="shared" si="6" ref="AK13:AM14">(Y13*(1-$AI13)+AD13*$AI13)*$AH13</f>
        <v>47.3260561435803</v>
      </c>
      <c r="AL13" s="25">
        <f t="shared" si="6"/>
        <v>63.1014081914404</v>
      </c>
      <c r="AM13" s="25">
        <f t="shared" si="6"/>
        <v>78.87676023930051</v>
      </c>
    </row>
    <row r="14" spans="1:39" ht="15">
      <c r="A14">
        <f>A13+1</f>
        <v>2</v>
      </c>
      <c r="B14" s="26">
        <f t="shared" si="0"/>
      </c>
      <c r="C14" s="12" t="s">
        <v>62</v>
      </c>
      <c r="E14" s="1">
        <v>4</v>
      </c>
      <c r="F14" s="1">
        <f>3.6*12</f>
        <v>43.2</v>
      </c>
      <c r="G14" s="1">
        <f>47*12</f>
        <v>564</v>
      </c>
      <c r="H14" s="13">
        <f>4/3</f>
        <v>1.3333333333333333</v>
      </c>
      <c r="I14" s="4">
        <v>1024</v>
      </c>
      <c r="J14" s="4">
        <v>768</v>
      </c>
      <c r="L14" s="1">
        <f>47*12</f>
        <v>564</v>
      </c>
      <c r="M14" s="1">
        <v>-17</v>
      </c>
      <c r="N14" s="1">
        <v>150</v>
      </c>
      <c r="O14" s="1">
        <v>200</v>
      </c>
      <c r="P14" s="1">
        <v>250</v>
      </c>
      <c r="R14" s="20">
        <f>47*12</f>
        <v>564</v>
      </c>
      <c r="S14" s="20">
        <v>-28</v>
      </c>
      <c r="T14" s="1">
        <v>240</v>
      </c>
      <c r="U14" s="1">
        <v>320</v>
      </c>
      <c r="V14" s="1">
        <v>400</v>
      </c>
      <c r="X14" s="15">
        <f t="shared" si="1"/>
        <v>-0.030141843971631204</v>
      </c>
      <c r="Y14" s="15">
        <f t="shared" si="2"/>
        <v>0.26595744680851063</v>
      </c>
      <c r="Z14" s="15">
        <f t="shared" si="2"/>
        <v>0.3546099290780142</v>
      </c>
      <c r="AA14" s="15">
        <f t="shared" si="2"/>
        <v>0.4432624113475177</v>
      </c>
      <c r="AC14" s="15">
        <f t="shared" si="3"/>
        <v>-0.04964539007092199</v>
      </c>
      <c r="AD14" s="15">
        <f t="shared" si="4"/>
        <v>0.425531914893617</v>
      </c>
      <c r="AE14" s="15">
        <f t="shared" si="4"/>
        <v>0.5673758865248227</v>
      </c>
      <c r="AF14" s="15">
        <f t="shared" si="4"/>
        <v>0.7092198581560284</v>
      </c>
      <c r="AH14" s="16">
        <v>140</v>
      </c>
      <c r="AI14" s="17">
        <v>0.35</v>
      </c>
      <c r="AJ14" s="25">
        <f t="shared" si="5"/>
        <v>-5.175531914893618</v>
      </c>
      <c r="AK14" s="25">
        <f t="shared" si="6"/>
        <v>45.0531914893617</v>
      </c>
      <c r="AL14" s="25">
        <f t="shared" si="6"/>
        <v>60.0709219858156</v>
      </c>
      <c r="AM14" s="25">
        <f t="shared" si="6"/>
        <v>75.08865248226951</v>
      </c>
    </row>
    <row r="15" spans="1:39" ht="15">
      <c r="A15">
        <f>A14+1</f>
        <v>3</v>
      </c>
      <c r="B15" s="26">
        <f t="shared" si="0"/>
      </c>
      <c r="C15" s="12" t="s">
        <v>169</v>
      </c>
      <c r="E15" s="1">
        <v>2</v>
      </c>
      <c r="F15" s="1">
        <v>62</v>
      </c>
      <c r="G15" s="1">
        <v>480</v>
      </c>
      <c r="H15" s="13">
        <f>4/3</f>
        <v>1.3333333333333333</v>
      </c>
      <c r="I15" s="4">
        <v>1024</v>
      </c>
      <c r="J15" s="4">
        <v>768</v>
      </c>
      <c r="L15" s="1">
        <f>32*12</f>
        <v>384</v>
      </c>
      <c r="M15" s="1">
        <f>(23+11/32)</f>
        <v>23.34375</v>
      </c>
      <c r="N15" s="1">
        <v>120</v>
      </c>
      <c r="O15" s="1">
        <v>160</v>
      </c>
      <c r="P15" s="1">
        <v>200</v>
      </c>
      <c r="R15" s="20">
        <f>40*12</f>
        <v>480</v>
      </c>
      <c r="S15" s="20">
        <f>(35+1/32)</f>
        <v>35.03125</v>
      </c>
      <c r="T15" s="1">
        <v>180</v>
      </c>
      <c r="U15" s="1">
        <v>240</v>
      </c>
      <c r="V15" s="1">
        <v>300</v>
      </c>
      <c r="X15" s="15">
        <f t="shared" si="1"/>
        <v>0.060791015625</v>
      </c>
      <c r="Y15" s="15">
        <f aca="true" t="shared" si="7" ref="Y15:AA18">N15/$L15</f>
        <v>0.3125</v>
      </c>
      <c r="Z15" s="15">
        <f t="shared" si="7"/>
        <v>0.4166666666666667</v>
      </c>
      <c r="AA15" s="15">
        <f t="shared" si="7"/>
        <v>0.5208333333333334</v>
      </c>
      <c r="AC15" s="15">
        <f t="shared" si="3"/>
        <v>0.07298177083333333</v>
      </c>
      <c r="AD15" s="15">
        <f aca="true" t="shared" si="8" ref="AD15:AF18">T15/$R15</f>
        <v>0.375</v>
      </c>
      <c r="AE15" s="15">
        <f t="shared" si="8"/>
        <v>0.5</v>
      </c>
      <c r="AF15" s="15">
        <f t="shared" si="8"/>
        <v>0.625</v>
      </c>
      <c r="AH15" s="16">
        <v>140</v>
      </c>
      <c r="AI15" s="17">
        <v>0.4</v>
      </c>
      <c r="AJ15" s="25">
        <f t="shared" si="5"/>
        <v>9.193424479166667</v>
      </c>
      <c r="AK15" s="25">
        <f aca="true" t="shared" si="9" ref="AK15:AM18">(Y15*(1-$AI15)+AD15*$AI15)*$AH15</f>
        <v>47.25</v>
      </c>
      <c r="AL15" s="25">
        <f t="shared" si="9"/>
        <v>63</v>
      </c>
      <c r="AM15" s="25">
        <f t="shared" si="9"/>
        <v>78.75</v>
      </c>
    </row>
    <row r="16" spans="1:39" ht="15">
      <c r="A16">
        <v>4</v>
      </c>
      <c r="B16" s="26">
        <f t="shared" si="0"/>
      </c>
      <c r="C16" s="12" t="s">
        <v>183</v>
      </c>
      <c r="E16" s="1">
        <v>2</v>
      </c>
      <c r="F16" s="1">
        <f>2.4*12</f>
        <v>28.799999999999997</v>
      </c>
      <c r="G16" s="1">
        <f>53.7*12</f>
        <v>644.4000000000001</v>
      </c>
      <c r="H16" s="13">
        <v>1.33</v>
      </c>
      <c r="I16" s="4">
        <v>1024</v>
      </c>
      <c r="J16" s="4">
        <v>768</v>
      </c>
      <c r="L16" s="1">
        <v>644.8</v>
      </c>
      <c r="M16" s="1"/>
      <c r="N16" s="1">
        <f>P16*3/5</f>
        <v>180</v>
      </c>
      <c r="O16" s="1">
        <f>P16*4/5</f>
        <v>240</v>
      </c>
      <c r="P16" s="1">
        <v>300</v>
      </c>
      <c r="R16" s="20">
        <v>493.7</v>
      </c>
      <c r="S16" s="20"/>
      <c r="T16" s="1">
        <v>180</v>
      </c>
      <c r="U16" s="1">
        <v>240</v>
      </c>
      <c r="V16" s="1">
        <v>300</v>
      </c>
      <c r="X16" s="15">
        <f t="shared" si="1"/>
        <v>0</v>
      </c>
      <c r="Y16" s="15">
        <f aca="true" t="shared" si="10" ref="Y16:AA17">N16/$L16</f>
        <v>0.27915632754342434</v>
      </c>
      <c r="Z16" s="15">
        <f t="shared" si="10"/>
        <v>0.37220843672456577</v>
      </c>
      <c r="AA16" s="15">
        <f t="shared" si="10"/>
        <v>0.4652605459057072</v>
      </c>
      <c r="AC16" s="15">
        <f t="shared" si="3"/>
        <v>0</v>
      </c>
      <c r="AD16" s="15">
        <f aca="true" t="shared" si="11" ref="AD16:AF17">T16/$R16</f>
        <v>0.3645938829248532</v>
      </c>
      <c r="AE16" s="15">
        <f t="shared" si="11"/>
        <v>0.48612517723313753</v>
      </c>
      <c r="AF16" s="15">
        <f t="shared" si="11"/>
        <v>0.6076564715414219</v>
      </c>
      <c r="AH16" s="16">
        <v>140</v>
      </c>
      <c r="AI16" s="17">
        <v>0.7</v>
      </c>
      <c r="AJ16" s="25">
        <f t="shared" si="5"/>
        <v>0</v>
      </c>
      <c r="AK16" s="25">
        <f aca="true" t="shared" si="12" ref="AK16:AM17">(Y16*(1-$AI16)+AD16*$AI16)*$AH16</f>
        <v>47.45476628345944</v>
      </c>
      <c r="AL16" s="25">
        <f t="shared" si="12"/>
        <v>63.27302171127924</v>
      </c>
      <c r="AM16" s="25">
        <f t="shared" si="12"/>
        <v>79.09127713909905</v>
      </c>
    </row>
    <row r="17" spans="1:39" ht="15">
      <c r="A17">
        <v>5</v>
      </c>
      <c r="B17" s="26" t="str">
        <f t="shared" si="0"/>
        <v>X</v>
      </c>
      <c r="C17" s="12" t="s">
        <v>182</v>
      </c>
      <c r="E17" s="1">
        <v>2</v>
      </c>
      <c r="F17" s="1">
        <f>3.6*12</f>
        <v>43.2</v>
      </c>
      <c r="G17" s="1">
        <f>45*12</f>
        <v>540</v>
      </c>
      <c r="H17" s="13">
        <v>1.33</v>
      </c>
      <c r="I17" s="4">
        <v>1024</v>
      </c>
      <c r="J17" s="4">
        <v>768</v>
      </c>
      <c r="L17" s="1">
        <f>40*12</f>
        <v>480</v>
      </c>
      <c r="M17" s="1">
        <v>-1</v>
      </c>
      <c r="N17" s="1">
        <v>160</v>
      </c>
      <c r="O17" s="1">
        <v>213.3</v>
      </c>
      <c r="P17" s="1">
        <v>266.7</v>
      </c>
      <c r="R17" s="20">
        <v>480</v>
      </c>
      <c r="S17" s="20">
        <v>-1</v>
      </c>
      <c r="T17" s="1">
        <v>173.3</v>
      </c>
      <c r="U17" s="1">
        <v>231.1</v>
      </c>
      <c r="V17" s="1">
        <v>288.9</v>
      </c>
      <c r="X17" s="15">
        <f t="shared" si="1"/>
        <v>-0.0020833333333333333</v>
      </c>
      <c r="Y17" s="15">
        <f t="shared" si="10"/>
        <v>0.3333333333333333</v>
      </c>
      <c r="Z17" s="15">
        <f t="shared" si="10"/>
        <v>0.444375</v>
      </c>
      <c r="AA17" s="15">
        <f t="shared" si="10"/>
        <v>0.5556249999999999</v>
      </c>
      <c r="AC17" s="15">
        <f t="shared" si="3"/>
        <v>-0.0020833333333333333</v>
      </c>
      <c r="AD17" s="15">
        <f t="shared" si="11"/>
        <v>0.3610416666666667</v>
      </c>
      <c r="AE17" s="15">
        <f t="shared" si="11"/>
        <v>0.4814583333333333</v>
      </c>
      <c r="AF17" s="15">
        <f t="shared" si="11"/>
        <v>0.6018749999999999</v>
      </c>
      <c r="AH17" s="16">
        <v>140</v>
      </c>
      <c r="AI17" s="17">
        <v>0</v>
      </c>
      <c r="AJ17" s="25">
        <f t="shared" si="5"/>
        <v>-0.2916666666666667</v>
      </c>
      <c r="AK17" s="25">
        <f t="shared" si="12"/>
        <v>46.666666666666664</v>
      </c>
      <c r="AL17" s="25">
        <f t="shared" si="12"/>
        <v>62.212500000000006</v>
      </c>
      <c r="AM17" s="25">
        <f t="shared" si="12"/>
        <v>77.7875</v>
      </c>
    </row>
    <row r="18" spans="1:39" ht="15">
      <c r="A18">
        <v>6</v>
      </c>
      <c r="B18" s="26">
        <f t="shared" si="0"/>
      </c>
      <c r="C18" s="12" t="s">
        <v>96</v>
      </c>
      <c r="E18" s="16">
        <v>4</v>
      </c>
      <c r="F18" s="16">
        <f>3.6*12</f>
        <v>43.2</v>
      </c>
      <c r="G18" s="16">
        <f>47*12</f>
        <v>564</v>
      </c>
      <c r="H18" s="17">
        <f>I18/J18</f>
        <v>1.7777777777777777</v>
      </c>
      <c r="I18" s="18">
        <v>1920</v>
      </c>
      <c r="J18" s="18">
        <f>I18*9/16</f>
        <v>1080</v>
      </c>
      <c r="L18" s="19">
        <f>47*12</f>
        <v>564</v>
      </c>
      <c r="M18" s="19">
        <v>-17</v>
      </c>
      <c r="N18" s="19">
        <v>150</v>
      </c>
      <c r="O18" s="19">
        <f>H18*N18</f>
        <v>266.66666666666663</v>
      </c>
      <c r="P18" s="19">
        <f>SQRT(N18^2+O18^2)</f>
        <v>305.95932917809694</v>
      </c>
      <c r="R18" s="20">
        <f>47*12</f>
        <v>564</v>
      </c>
      <c r="S18" s="20">
        <v>-28</v>
      </c>
      <c r="T18" s="1">
        <v>240</v>
      </c>
      <c r="U18" s="1">
        <f>H18*T18</f>
        <v>426.66666666666663</v>
      </c>
      <c r="V18" s="1">
        <f>SQRT(T18^2+U18^2)</f>
        <v>489.53492668495517</v>
      </c>
      <c r="X18" s="15">
        <f t="shared" si="1"/>
        <v>-0.030141843971631204</v>
      </c>
      <c r="Y18" s="15">
        <f t="shared" si="7"/>
        <v>0.26595744680851063</v>
      </c>
      <c r="Z18" s="15">
        <f t="shared" si="7"/>
        <v>0.4728132387706855</v>
      </c>
      <c r="AA18" s="15">
        <f t="shared" si="7"/>
        <v>0.5424810801030088</v>
      </c>
      <c r="AC18" s="15">
        <f t="shared" si="3"/>
        <v>-0.04964539007092199</v>
      </c>
      <c r="AD18" s="15">
        <f t="shared" si="8"/>
        <v>0.425531914893617</v>
      </c>
      <c r="AE18" s="15">
        <f t="shared" si="8"/>
        <v>0.7565011820330969</v>
      </c>
      <c r="AF18" s="15">
        <f t="shared" si="8"/>
        <v>0.8679697281648141</v>
      </c>
      <c r="AH18" s="16">
        <v>60</v>
      </c>
      <c r="AI18" s="17">
        <v>0.1</v>
      </c>
      <c r="AJ18" s="25">
        <f t="shared" si="5"/>
        <v>-1.925531914893617</v>
      </c>
      <c r="AK18" s="25">
        <f t="shared" si="9"/>
        <v>16.914893617021278</v>
      </c>
      <c r="AL18" s="25">
        <f t="shared" si="9"/>
        <v>30.0709219858156</v>
      </c>
      <c r="AM18" s="25">
        <f t="shared" si="9"/>
        <v>34.50179669455136</v>
      </c>
    </row>
    <row r="22" spans="5:32" ht="25.5">
      <c r="E22" s="14" t="s">
        <v>105</v>
      </c>
      <c r="F22" s="14" t="s">
        <v>106</v>
      </c>
      <c r="G22" s="14" t="s">
        <v>107</v>
      </c>
      <c r="H22" s="14" t="s">
        <v>108</v>
      </c>
      <c r="I22" s="14" t="s">
        <v>109</v>
      </c>
      <c r="J22" s="14" t="s">
        <v>110</v>
      </c>
      <c r="X22" t="s">
        <v>111</v>
      </c>
      <c r="Y22" t="s">
        <v>112</v>
      </c>
      <c r="Z22" t="s">
        <v>113</v>
      </c>
      <c r="AA22" t="s">
        <v>114</v>
      </c>
      <c r="AC22" t="s">
        <v>115</v>
      </c>
      <c r="AD22" t="s">
        <v>116</v>
      </c>
      <c r="AE22" t="s">
        <v>117</v>
      </c>
      <c r="AF22" t="s">
        <v>118</v>
      </c>
    </row>
    <row r="23" spans="3:39" s="29" customFormat="1" ht="15">
      <c r="C23" s="28" t="s">
        <v>104</v>
      </c>
      <c r="E23" s="30">
        <f aca="true" t="shared" si="13" ref="E23:J23">INDEX(E13:E18,ProjectorNumber)</f>
        <v>2</v>
      </c>
      <c r="F23" s="30">
        <f t="shared" si="13"/>
        <v>43.2</v>
      </c>
      <c r="G23" s="30">
        <f t="shared" si="13"/>
        <v>540</v>
      </c>
      <c r="H23" s="31">
        <f t="shared" si="13"/>
        <v>1.33</v>
      </c>
      <c r="I23" s="29">
        <f t="shared" si="13"/>
        <v>1024</v>
      </c>
      <c r="J23" s="29">
        <f t="shared" si="13"/>
        <v>768</v>
      </c>
      <c r="L23" s="30">
        <f>INDEX(L13:L18,ProjectorNumber)</f>
        <v>480</v>
      </c>
      <c r="M23" s="30">
        <f>INDEX(M13:M18,ProjectorNumber)</f>
        <v>-1</v>
      </c>
      <c r="N23" s="30">
        <f>INDEX(N13:N18,ProjectorNumber)</f>
        <v>160</v>
      </c>
      <c r="O23" s="30">
        <f>INDEX(O13:O18,ProjectorNumber)</f>
        <v>213.3</v>
      </c>
      <c r="P23" s="30">
        <f>INDEX(P13:P18,ProjectorNumber)</f>
        <v>266.7</v>
      </c>
      <c r="R23" s="30">
        <f>INDEX(R13:R18,ProjectorNumber)</f>
        <v>480</v>
      </c>
      <c r="S23" s="30">
        <f>INDEX(S13:S18,ProjectorNumber)</f>
        <v>-1</v>
      </c>
      <c r="T23" s="30">
        <f>INDEX(T13:T18,ProjectorNumber)</f>
        <v>173.3</v>
      </c>
      <c r="U23" s="30">
        <f>INDEX(U13:U18,ProjectorNumber)</f>
        <v>231.1</v>
      </c>
      <c r="V23" s="30">
        <f>INDEX(V13:V18,ProjectorNumber)</f>
        <v>288.9</v>
      </c>
      <c r="X23" s="32">
        <f>INDEX(X13:X18,ProjectorNumber)</f>
        <v>-0.0020833333333333333</v>
      </c>
      <c r="Y23" s="32">
        <f>INDEX(Y13:Y18,ProjectorNumber)</f>
        <v>0.3333333333333333</v>
      </c>
      <c r="Z23" s="32">
        <f>INDEX(Z13:Z18,ProjectorNumber)</f>
        <v>0.444375</v>
      </c>
      <c r="AA23" s="32">
        <f>INDEX(AA13:AA18,ProjectorNumber)</f>
        <v>0.5556249999999999</v>
      </c>
      <c r="AC23" s="32">
        <f aca="true" t="shared" si="14" ref="AC23:AH23">INDEX(AC13:AC18,ProjectorNumber)</f>
        <v>-0.0020833333333333333</v>
      </c>
      <c r="AD23" s="32">
        <f t="shared" si="14"/>
        <v>0.3610416666666667</v>
      </c>
      <c r="AE23" s="32">
        <f t="shared" si="14"/>
        <v>0.4814583333333333</v>
      </c>
      <c r="AF23" s="32">
        <f t="shared" si="14"/>
        <v>0.6018749999999999</v>
      </c>
      <c r="AH23" s="33">
        <f t="shared" si="14"/>
        <v>140</v>
      </c>
      <c r="AI23" s="34">
        <v>0</v>
      </c>
      <c r="AJ23" s="25">
        <f>(X23*(1-$AI23)+AC23*$AI23)*$AH23</f>
        <v>-0.2916666666666667</v>
      </c>
      <c r="AK23" s="25">
        <f>(Y23*(1-$AI23)+AD23*$AI23)*$AH23</f>
        <v>46.666666666666664</v>
      </c>
      <c r="AL23" s="25">
        <f>(Z23*(1-$AI23)+AE23*$AI23)*$AH23</f>
        <v>62.212500000000006</v>
      </c>
      <c r="AM23" s="25">
        <f>(AA23*(1-$AI23)+AF23*$AI23)*$AH23</f>
        <v>77.7875</v>
      </c>
    </row>
    <row r="28" ht="12.75">
      <c r="AH28" s="37" t="s">
        <v>121</v>
      </c>
    </row>
  </sheetData>
  <mergeCells count="12">
    <mergeCell ref="E9:J9"/>
    <mergeCell ref="E10:J10"/>
    <mergeCell ref="L9:P9"/>
    <mergeCell ref="R9:V9"/>
    <mergeCell ref="L10:P10"/>
    <mergeCell ref="R10:V10"/>
    <mergeCell ref="AH10:AM10"/>
    <mergeCell ref="AH9:AM9"/>
    <mergeCell ref="X10:AA10"/>
    <mergeCell ref="AC10:AF10"/>
    <mergeCell ref="X9:AA9"/>
    <mergeCell ref="AC9:AF9"/>
  </mergeCells>
  <hyperlinks>
    <hyperlink ref="AH28" r:id="rId1" display="http://www.proxima.com/site/Products/PRprojcalc.cfm"/>
    <hyperlink ref="C1" r:id="rId2" display="http://www.projectorcentral.com/projection_calc.cfm"/>
  </hyperlinks>
  <printOptions/>
  <pageMargins left="0.75" right="0.75" top="1" bottom="1" header="0.5" footer="0.5"/>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2:M115"/>
  <sheetViews>
    <sheetView workbookViewId="0" topLeftCell="A1">
      <selection activeCell="C18" sqref="C18"/>
      <selection activeCell="A1" sqref="A1"/>
    </sheetView>
  </sheetViews>
  <sheetFormatPr defaultColWidth="9.140625" defaultRowHeight="12.75"/>
  <cols>
    <col min="2" max="2" width="18.57421875" style="0" bestFit="1" customWidth="1"/>
    <col min="3" max="3" width="14.8515625" style="0" customWidth="1"/>
    <col min="4" max="4" width="9.57421875" style="0" bestFit="1" customWidth="1"/>
    <col min="11" max="11" width="10.57421875" style="0" bestFit="1" customWidth="1"/>
  </cols>
  <sheetData>
    <row r="2" ht="12.75">
      <c r="A2" t="s">
        <v>11</v>
      </c>
    </row>
    <row r="9" spans="2:4" ht="12.75">
      <c r="B9" t="s">
        <v>16</v>
      </c>
      <c r="C9" s="4">
        <f>Pixel_Width</f>
        <v>1024</v>
      </c>
      <c r="D9" t="s">
        <v>18</v>
      </c>
    </row>
    <row r="10" spans="2:4" ht="12.75">
      <c r="B10" t="s">
        <v>17</v>
      </c>
      <c r="C10" s="4">
        <f>Pixel_Height</f>
        <v>768</v>
      </c>
      <c r="D10" t="s">
        <v>19</v>
      </c>
    </row>
    <row r="13" spans="1:3" ht="12.75">
      <c r="A13" t="s">
        <v>119</v>
      </c>
      <c r="C13" s="50">
        <v>1</v>
      </c>
    </row>
    <row r="14" spans="2:3" ht="12.75">
      <c r="B14" t="s">
        <v>130</v>
      </c>
      <c r="C14" s="26" t="str">
        <f>IF(C$13=1,"X"," ")</f>
        <v>X</v>
      </c>
    </row>
    <row r="15" spans="2:3" ht="12.75">
      <c r="B15" t="s">
        <v>131</v>
      </c>
      <c r="C15" s="26" t="str">
        <f>IF(C$13=2,"X"," ")</f>
        <v> </v>
      </c>
    </row>
    <row r="17" ht="12.75">
      <c r="C17" t="s">
        <v>120</v>
      </c>
    </row>
    <row r="18" spans="2:4" ht="12.75">
      <c r="B18" s="5" t="s">
        <v>30</v>
      </c>
      <c r="C18" s="1">
        <f>Width*(1-W_overlap)</f>
        <v>21.785400000000003</v>
      </c>
      <c r="D18" t="s">
        <v>9</v>
      </c>
    </row>
    <row r="19" spans="2:4" ht="12.75">
      <c r="B19" s="5" t="s">
        <v>31</v>
      </c>
      <c r="C19" s="1">
        <f>Height*(1-H_overlap)</f>
        <v>16.33715</v>
      </c>
      <c r="D19" t="s">
        <v>9</v>
      </c>
    </row>
    <row r="22" spans="2:6" ht="12.75">
      <c r="B22" t="s">
        <v>147</v>
      </c>
      <c r="C22" t="s">
        <v>90</v>
      </c>
      <c r="D22" t="s">
        <v>5</v>
      </c>
      <c r="E22" t="s">
        <v>6</v>
      </c>
      <c r="F22" t="s">
        <v>13</v>
      </c>
    </row>
    <row r="23" spans="2:6" ht="12.75">
      <c r="B23" s="13">
        <f>(Bottom0*(1-Zoom)+Bottom1*Zoom)*distance</f>
        <v>-0.11875</v>
      </c>
      <c r="C23" s="13">
        <f>IF(Inverted=1,RawBottom,-(RawBottom+Height))</f>
        <v>-0.11875</v>
      </c>
      <c r="D23" s="13">
        <f>(Height0*(1-Zoom)+Height1*Zoom)*distance</f>
        <v>20.421437500000003</v>
      </c>
      <c r="E23" s="13">
        <f>(Width0*(1-Zoom)+Width1*Zoom)*distance</f>
        <v>27.23175</v>
      </c>
      <c r="F23" s="13">
        <f>(Diag0*(1-Zoom)+Diag1*Zoom)*distance</f>
        <v>34.04325</v>
      </c>
    </row>
    <row r="25" ht="12.75">
      <c r="C25" t="s">
        <v>156</v>
      </c>
    </row>
    <row r="26" spans="5:6" ht="12.75">
      <c r="E26" t="s">
        <v>30</v>
      </c>
      <c r="F26" t="s">
        <v>31</v>
      </c>
    </row>
    <row r="27" spans="2:7" ht="12.75">
      <c r="B27" t="s">
        <v>26</v>
      </c>
      <c r="C27">
        <v>1</v>
      </c>
      <c r="D27">
        <v>1</v>
      </c>
      <c r="E27" s="1">
        <f>(B70+B69)/2</f>
        <v>14.214600000000003</v>
      </c>
      <c r="F27" s="1">
        <f>C68-Bottom</f>
        <v>1.7394562499999977</v>
      </c>
      <c r="G27" t="s">
        <v>32</v>
      </c>
    </row>
    <row r="28" spans="3:7" ht="12.75">
      <c r="C28">
        <v>1</v>
      </c>
      <c r="D28">
        <v>2</v>
      </c>
      <c r="E28" s="1">
        <f>E27+H_Separation</f>
        <v>36.00000000000001</v>
      </c>
      <c r="F28" s="1">
        <f>F$27</f>
        <v>1.7394562499999977</v>
      </c>
      <c r="G28" t="s">
        <v>32</v>
      </c>
    </row>
    <row r="29" spans="3:7" ht="12.75">
      <c r="C29">
        <v>1</v>
      </c>
      <c r="D29">
        <v>3</v>
      </c>
      <c r="E29" s="1">
        <f>E28+H_Separation</f>
        <v>57.78540000000001</v>
      </c>
      <c r="F29" s="1">
        <f>F$27</f>
        <v>1.7394562499999977</v>
      </c>
      <c r="G29" t="s">
        <v>32</v>
      </c>
    </row>
    <row r="30" spans="3:7" ht="12.75">
      <c r="C30">
        <v>1</v>
      </c>
      <c r="D30">
        <v>4</v>
      </c>
      <c r="E30" s="1">
        <f>E29+H_Separation</f>
        <v>79.57080000000002</v>
      </c>
      <c r="F30" s="1">
        <f>F$27</f>
        <v>1.7394562499999977</v>
      </c>
      <c r="G30" t="s">
        <v>32</v>
      </c>
    </row>
    <row r="31" spans="3:7" ht="12.75">
      <c r="C31">
        <v>1</v>
      </c>
      <c r="D31">
        <v>5</v>
      </c>
      <c r="E31" s="1">
        <f>E30+H_Separation</f>
        <v>101.35620000000003</v>
      </c>
      <c r="F31" s="1">
        <f>F$27</f>
        <v>1.7394562499999977</v>
      </c>
      <c r="G31" t="s">
        <v>32</v>
      </c>
    </row>
    <row r="32" spans="2:7" ht="12.75">
      <c r="B32" t="s">
        <v>29</v>
      </c>
      <c r="C32">
        <v>1</v>
      </c>
      <c r="D32">
        <v>6</v>
      </c>
      <c r="E32" s="1">
        <f>E31+H_Separation</f>
        <v>123.14160000000004</v>
      </c>
      <c r="F32" s="1">
        <f>F$27</f>
        <v>1.7394562499999977</v>
      </c>
      <c r="G32" t="s">
        <v>32</v>
      </c>
    </row>
    <row r="33" spans="5:6" ht="12.75">
      <c r="E33" s="1"/>
      <c r="F33" s="1"/>
    </row>
    <row r="34" spans="2:7" ht="12.75">
      <c r="B34" t="s">
        <v>28</v>
      </c>
      <c r="C34">
        <v>2</v>
      </c>
      <c r="D34">
        <v>1</v>
      </c>
      <c r="E34" s="1">
        <f aca="true" t="shared" si="0" ref="E34:E39">E27</f>
        <v>14.214600000000003</v>
      </c>
      <c r="F34" s="1">
        <f>F27+V_Separation</f>
        <v>18.076606249999998</v>
      </c>
      <c r="G34" t="s">
        <v>32</v>
      </c>
    </row>
    <row r="35" spans="3:7" ht="12.75">
      <c r="C35">
        <v>2</v>
      </c>
      <c r="D35">
        <v>2</v>
      </c>
      <c r="E35" s="1">
        <f t="shared" si="0"/>
        <v>36.00000000000001</v>
      </c>
      <c r="F35" s="1">
        <f>F$34</f>
        <v>18.076606249999998</v>
      </c>
      <c r="G35" t="s">
        <v>32</v>
      </c>
    </row>
    <row r="36" spans="3:7" ht="12.75">
      <c r="C36">
        <v>2</v>
      </c>
      <c r="D36">
        <v>3</v>
      </c>
      <c r="E36" s="1">
        <f t="shared" si="0"/>
        <v>57.78540000000001</v>
      </c>
      <c r="F36" s="1">
        <f>F$34</f>
        <v>18.076606249999998</v>
      </c>
      <c r="G36" t="s">
        <v>32</v>
      </c>
    </row>
    <row r="37" spans="3:7" ht="12.75">
      <c r="C37">
        <v>2</v>
      </c>
      <c r="D37">
        <v>4</v>
      </c>
      <c r="E37" s="1">
        <f t="shared" si="0"/>
        <v>79.57080000000002</v>
      </c>
      <c r="F37" s="1">
        <f>F$34</f>
        <v>18.076606249999998</v>
      </c>
      <c r="G37" t="s">
        <v>32</v>
      </c>
    </row>
    <row r="38" spans="3:7" ht="12.75">
      <c r="C38">
        <v>2</v>
      </c>
      <c r="D38">
        <v>5</v>
      </c>
      <c r="E38" s="1">
        <f t="shared" si="0"/>
        <v>101.35620000000003</v>
      </c>
      <c r="F38" s="1">
        <f>F$34</f>
        <v>18.076606249999998</v>
      </c>
      <c r="G38" t="s">
        <v>32</v>
      </c>
    </row>
    <row r="39" spans="2:7" ht="12.75">
      <c r="B39" t="s">
        <v>27</v>
      </c>
      <c r="C39">
        <v>2</v>
      </c>
      <c r="D39">
        <v>6</v>
      </c>
      <c r="E39" s="1">
        <f t="shared" si="0"/>
        <v>123.14160000000004</v>
      </c>
      <c r="F39" s="1">
        <f>F$34</f>
        <v>18.076606249999998</v>
      </c>
      <c r="G39" t="s">
        <v>32</v>
      </c>
    </row>
    <row r="40" spans="5:6" ht="12.75">
      <c r="E40" s="1"/>
      <c r="F40" s="1"/>
    </row>
    <row r="41" spans="2:7" ht="12.75">
      <c r="B41" t="s">
        <v>28</v>
      </c>
      <c r="C41">
        <v>3</v>
      </c>
      <c r="D41">
        <v>1</v>
      </c>
      <c r="E41" s="1">
        <f aca="true" t="shared" si="1" ref="E41:E46">E34</f>
        <v>14.214600000000003</v>
      </c>
      <c r="F41" s="1">
        <f>F34+V_Separation</f>
        <v>34.41375625</v>
      </c>
      <c r="G41" t="s">
        <v>32</v>
      </c>
    </row>
    <row r="42" spans="3:7" ht="12.75">
      <c r="C42">
        <v>3</v>
      </c>
      <c r="D42">
        <v>2</v>
      </c>
      <c r="E42" s="1">
        <f t="shared" si="1"/>
        <v>36.00000000000001</v>
      </c>
      <c r="F42" s="1">
        <f>F$41</f>
        <v>34.41375625</v>
      </c>
      <c r="G42" t="s">
        <v>32</v>
      </c>
    </row>
    <row r="43" spans="3:7" ht="12.75">
      <c r="C43">
        <v>3</v>
      </c>
      <c r="D43">
        <v>3</v>
      </c>
      <c r="E43" s="1">
        <f t="shared" si="1"/>
        <v>57.78540000000001</v>
      </c>
      <c r="F43" s="1">
        <f>F$41</f>
        <v>34.41375625</v>
      </c>
      <c r="G43" t="s">
        <v>32</v>
      </c>
    </row>
    <row r="44" spans="3:7" ht="12.75">
      <c r="C44">
        <v>3</v>
      </c>
      <c r="D44">
        <v>4</v>
      </c>
      <c r="E44" s="1">
        <f t="shared" si="1"/>
        <v>79.57080000000002</v>
      </c>
      <c r="F44" s="1">
        <f>F$41</f>
        <v>34.41375625</v>
      </c>
      <c r="G44" t="s">
        <v>32</v>
      </c>
    </row>
    <row r="45" spans="3:7" ht="12.75">
      <c r="C45">
        <v>3</v>
      </c>
      <c r="D45">
        <v>5</v>
      </c>
      <c r="E45" s="1">
        <f t="shared" si="1"/>
        <v>101.35620000000003</v>
      </c>
      <c r="F45" s="1">
        <f>F$41</f>
        <v>34.41375625</v>
      </c>
      <c r="G45" t="s">
        <v>32</v>
      </c>
    </row>
    <row r="46" spans="2:7" ht="12.75">
      <c r="B46" t="s">
        <v>27</v>
      </c>
      <c r="C46">
        <v>3</v>
      </c>
      <c r="D46">
        <v>6</v>
      </c>
      <c r="E46" s="1">
        <f t="shared" si="1"/>
        <v>123.14160000000004</v>
      </c>
      <c r="F46" s="1">
        <f>F$41</f>
        <v>34.41375625</v>
      </c>
      <c r="G46" t="s">
        <v>32</v>
      </c>
    </row>
    <row r="48" spans="2:7" ht="12.75">
      <c r="B48" t="s">
        <v>28</v>
      </c>
      <c r="C48">
        <v>4</v>
      </c>
      <c r="D48">
        <v>1</v>
      </c>
      <c r="E48" s="1">
        <f aca="true" t="shared" si="2" ref="E48:E53">E41</f>
        <v>14.214600000000003</v>
      </c>
      <c r="F48" s="1">
        <f>F41+V_Separation</f>
        <v>50.75090625</v>
      </c>
      <c r="G48" t="s">
        <v>32</v>
      </c>
    </row>
    <row r="49" spans="3:7" ht="12.75">
      <c r="C49">
        <v>4</v>
      </c>
      <c r="D49">
        <v>2</v>
      </c>
      <c r="E49" s="1">
        <f t="shared" si="2"/>
        <v>36.00000000000001</v>
      </c>
      <c r="F49" s="1">
        <f>F$48</f>
        <v>50.75090625</v>
      </c>
      <c r="G49" t="s">
        <v>32</v>
      </c>
    </row>
    <row r="50" spans="3:7" ht="12.75">
      <c r="C50">
        <v>4</v>
      </c>
      <c r="D50">
        <v>3</v>
      </c>
      <c r="E50" s="1">
        <f t="shared" si="2"/>
        <v>57.78540000000001</v>
      </c>
      <c r="F50" s="1">
        <f>F$48</f>
        <v>50.75090625</v>
      </c>
      <c r="G50" t="s">
        <v>32</v>
      </c>
    </row>
    <row r="51" spans="3:7" ht="12.75">
      <c r="C51">
        <v>4</v>
      </c>
      <c r="D51">
        <v>4</v>
      </c>
      <c r="E51" s="1">
        <f t="shared" si="2"/>
        <v>79.57080000000002</v>
      </c>
      <c r="F51" s="1">
        <f>F$48</f>
        <v>50.75090625</v>
      </c>
      <c r="G51" t="s">
        <v>32</v>
      </c>
    </row>
    <row r="52" spans="3:7" ht="12.75">
      <c r="C52">
        <v>4</v>
      </c>
      <c r="D52">
        <v>5</v>
      </c>
      <c r="E52" s="1">
        <f t="shared" si="2"/>
        <v>101.35620000000003</v>
      </c>
      <c r="F52" s="1">
        <f>F$48</f>
        <v>50.75090625</v>
      </c>
      <c r="G52" t="s">
        <v>32</v>
      </c>
    </row>
    <row r="53" spans="2:7" ht="12.75">
      <c r="B53" t="s">
        <v>27</v>
      </c>
      <c r="C53">
        <v>4</v>
      </c>
      <c r="D53">
        <v>6</v>
      </c>
      <c r="E53" s="1">
        <f t="shared" si="2"/>
        <v>123.14160000000004</v>
      </c>
      <c r="F53" s="1">
        <f>F$48</f>
        <v>50.75090625</v>
      </c>
      <c r="G53" t="s">
        <v>32</v>
      </c>
    </row>
    <row r="58" ht="12.75">
      <c r="A58" t="s">
        <v>39</v>
      </c>
    </row>
    <row r="60" spans="1:3" ht="12.75">
      <c r="A60" t="s">
        <v>25</v>
      </c>
      <c r="B60" s="5" t="s">
        <v>43</v>
      </c>
      <c r="C60" s="5" t="s">
        <v>44</v>
      </c>
    </row>
    <row r="61" spans="1:4" ht="12.75">
      <c r="A61" t="s">
        <v>26</v>
      </c>
      <c r="B61" s="3">
        <f>Mural_X</f>
        <v>0</v>
      </c>
      <c r="C61" s="3">
        <f>Mural_Y</f>
        <v>0</v>
      </c>
      <c r="D61" t="s">
        <v>9</v>
      </c>
    </row>
    <row r="62" spans="1:4" ht="12.75">
      <c r="A62" t="s">
        <v>28</v>
      </c>
      <c r="B62" s="1">
        <f>B61</f>
        <v>0</v>
      </c>
      <c r="C62" s="1">
        <f>C61+Mural_Height</f>
        <v>40</v>
      </c>
      <c r="D62" t="s">
        <v>9</v>
      </c>
    </row>
    <row r="63" spans="1:4" ht="12.75">
      <c r="A63" t="s">
        <v>27</v>
      </c>
      <c r="B63" s="1">
        <f>B61+Mural_Width</f>
        <v>72</v>
      </c>
      <c r="C63" s="1">
        <f>C62</f>
        <v>40</v>
      </c>
      <c r="D63" t="s">
        <v>9</v>
      </c>
    </row>
    <row r="64" spans="1:4" ht="12.75">
      <c r="A64" t="s">
        <v>29</v>
      </c>
      <c r="B64" s="1">
        <f>B63</f>
        <v>72</v>
      </c>
      <c r="C64" s="1">
        <f>C61</f>
        <v>0</v>
      </c>
      <c r="D64" t="s">
        <v>9</v>
      </c>
    </row>
    <row r="65" spans="2:4" ht="12.75">
      <c r="B65" s="1">
        <f>B61</f>
        <v>0</v>
      </c>
      <c r="C65" s="1">
        <f>C61</f>
        <v>0</v>
      </c>
      <c r="D65" t="s">
        <v>9</v>
      </c>
    </row>
    <row r="67" ht="12.75">
      <c r="A67" t="s">
        <v>38</v>
      </c>
    </row>
    <row r="68" spans="1:12" ht="12.75">
      <c r="A68" t="s">
        <v>26</v>
      </c>
      <c r="B68" s="1">
        <f>(B63+B61)/2-(W_projectors*Width-(W_projectors-1)*Width*W_overlap)/2</f>
        <v>0.5987250000000017</v>
      </c>
      <c r="C68" s="1">
        <f>(C63+C61)/2-(H_projectors*Height-(H_projectors-1)*Height*H_overlap)/2</f>
        <v>1.6207062499999978</v>
      </c>
      <c r="D68" t="s">
        <v>9</v>
      </c>
      <c r="E68" s="1">
        <f>B68+H_Separation</f>
        <v>22.384125000000004</v>
      </c>
      <c r="F68" s="1">
        <f>C68</f>
        <v>1.6207062499999978</v>
      </c>
      <c r="G68" t="s">
        <v>9</v>
      </c>
      <c r="H68" s="1">
        <f>E68+H_Separation</f>
        <v>44.16952500000001</v>
      </c>
      <c r="I68" s="1">
        <f>F68</f>
        <v>1.6207062499999978</v>
      </c>
      <c r="J68" t="s">
        <v>9</v>
      </c>
      <c r="K68" s="1">
        <f>H68+H_Separation</f>
        <v>65.954925</v>
      </c>
      <c r="L68" s="1">
        <f>I68</f>
        <v>1.6207062499999978</v>
      </c>
    </row>
    <row r="69" spans="1:12" ht="12.75">
      <c r="A69" t="s">
        <v>28</v>
      </c>
      <c r="B69" s="1">
        <f>B68</f>
        <v>0.5987250000000017</v>
      </c>
      <c r="C69" s="1">
        <f>C68+Height</f>
        <v>22.04214375</v>
      </c>
      <c r="D69" t="s">
        <v>9</v>
      </c>
      <c r="E69" s="1">
        <f>E68</f>
        <v>22.384125000000004</v>
      </c>
      <c r="F69" s="1">
        <f>F68+Height</f>
        <v>22.04214375</v>
      </c>
      <c r="G69" t="s">
        <v>9</v>
      </c>
      <c r="H69" s="1">
        <f>H68</f>
        <v>44.16952500000001</v>
      </c>
      <c r="I69" s="1">
        <f>I68+Height</f>
        <v>22.04214375</v>
      </c>
      <c r="J69" t="s">
        <v>9</v>
      </c>
      <c r="K69" s="1">
        <f>K68</f>
        <v>65.954925</v>
      </c>
      <c r="L69" s="1">
        <f>L68+Height</f>
        <v>22.04214375</v>
      </c>
    </row>
    <row r="70" spans="1:12" ht="12.75">
      <c r="A70" t="s">
        <v>27</v>
      </c>
      <c r="B70" s="1">
        <f>B68+Width</f>
        <v>27.830475000000003</v>
      </c>
      <c r="C70" s="1">
        <f>C69</f>
        <v>22.04214375</v>
      </c>
      <c r="D70" t="s">
        <v>9</v>
      </c>
      <c r="E70" s="1">
        <f>E68+Width</f>
        <v>49.615875</v>
      </c>
      <c r="F70" s="1">
        <f>F69</f>
        <v>22.04214375</v>
      </c>
      <c r="G70" t="s">
        <v>9</v>
      </c>
      <c r="H70" s="1">
        <f>H68+Width</f>
        <v>71.40127500000001</v>
      </c>
      <c r="I70" s="1">
        <f>I69</f>
        <v>22.04214375</v>
      </c>
      <c r="J70" t="s">
        <v>9</v>
      </c>
      <c r="K70" s="1">
        <f>K68+Width</f>
        <v>93.18667500000001</v>
      </c>
      <c r="L70" s="1">
        <f>L69</f>
        <v>22.04214375</v>
      </c>
    </row>
    <row r="71" spans="1:12" ht="12.75">
      <c r="A71" t="s">
        <v>29</v>
      </c>
      <c r="B71" s="1">
        <f>B70</f>
        <v>27.830475000000003</v>
      </c>
      <c r="C71" s="1">
        <f>C68</f>
        <v>1.6207062499999978</v>
      </c>
      <c r="D71" t="s">
        <v>9</v>
      </c>
      <c r="E71" s="1">
        <f>E70</f>
        <v>49.615875</v>
      </c>
      <c r="F71" s="1">
        <f>F68</f>
        <v>1.6207062499999978</v>
      </c>
      <c r="G71" t="s">
        <v>9</v>
      </c>
      <c r="H71" s="1">
        <f>H70</f>
        <v>71.40127500000001</v>
      </c>
      <c r="I71" s="1">
        <f>I68</f>
        <v>1.6207062499999978</v>
      </c>
      <c r="J71" t="s">
        <v>9</v>
      </c>
      <c r="K71" s="1">
        <f>K70</f>
        <v>93.18667500000001</v>
      </c>
      <c r="L71" s="1">
        <f>L68</f>
        <v>1.6207062499999978</v>
      </c>
    </row>
    <row r="72" spans="2:12" ht="12.75">
      <c r="B72" s="1">
        <f>B68</f>
        <v>0.5987250000000017</v>
      </c>
      <c r="C72" s="1">
        <f>C68</f>
        <v>1.6207062499999978</v>
      </c>
      <c r="D72" t="s">
        <v>9</v>
      </c>
      <c r="E72" s="1">
        <f>E68</f>
        <v>22.384125000000004</v>
      </c>
      <c r="F72" s="1">
        <f>F68</f>
        <v>1.6207062499999978</v>
      </c>
      <c r="G72" t="s">
        <v>9</v>
      </c>
      <c r="H72" s="1">
        <f>H68</f>
        <v>44.16952500000001</v>
      </c>
      <c r="I72" s="1">
        <f>I68</f>
        <v>1.6207062499999978</v>
      </c>
      <c r="J72" t="s">
        <v>9</v>
      </c>
      <c r="K72" s="1">
        <f>K68</f>
        <v>65.954925</v>
      </c>
      <c r="L72" s="1">
        <f>L68</f>
        <v>1.6207062499999978</v>
      </c>
    </row>
    <row r="74" spans="2:12" ht="12.75">
      <c r="B74" s="1">
        <f>B68</f>
        <v>0.5987250000000017</v>
      </c>
      <c r="C74" s="1">
        <f>C68+V_Separation*(H_projectors-1)</f>
        <v>17.95785625</v>
      </c>
      <c r="D74" t="s">
        <v>9</v>
      </c>
      <c r="E74" s="1">
        <f>E68</f>
        <v>22.384125000000004</v>
      </c>
      <c r="F74" s="1">
        <f>C74</f>
        <v>17.95785625</v>
      </c>
      <c r="G74" t="s">
        <v>9</v>
      </c>
      <c r="H74" s="1">
        <f>H68</f>
        <v>44.16952500000001</v>
      </c>
      <c r="I74" s="1">
        <f>F74</f>
        <v>17.95785625</v>
      </c>
      <c r="J74" t="s">
        <v>9</v>
      </c>
      <c r="K74" s="1">
        <f>K68</f>
        <v>65.954925</v>
      </c>
      <c r="L74" s="1">
        <f>I74</f>
        <v>17.95785625</v>
      </c>
    </row>
    <row r="75" spans="2:12" ht="12.75">
      <c r="B75" s="1">
        <f>B74</f>
        <v>0.5987250000000017</v>
      </c>
      <c r="C75" s="1">
        <f>C74+Height</f>
        <v>38.37929375</v>
      </c>
      <c r="D75" t="s">
        <v>9</v>
      </c>
      <c r="E75" s="1">
        <f>E74</f>
        <v>22.384125000000004</v>
      </c>
      <c r="F75" s="1">
        <f>F74+Height</f>
        <v>38.37929375</v>
      </c>
      <c r="G75" t="s">
        <v>9</v>
      </c>
      <c r="H75" s="1">
        <f>H74</f>
        <v>44.16952500000001</v>
      </c>
      <c r="I75" s="1">
        <f>I74+Height</f>
        <v>38.37929375</v>
      </c>
      <c r="J75" t="s">
        <v>9</v>
      </c>
      <c r="K75" s="1">
        <f>K74</f>
        <v>65.954925</v>
      </c>
      <c r="L75" s="1">
        <f>L74+Height</f>
        <v>38.37929375</v>
      </c>
    </row>
    <row r="76" spans="2:12" ht="12.75">
      <c r="B76" s="1">
        <f>B74+Width</f>
        <v>27.830475000000003</v>
      </c>
      <c r="C76" s="1">
        <f>C75</f>
        <v>38.37929375</v>
      </c>
      <c r="D76" t="s">
        <v>9</v>
      </c>
      <c r="E76" s="1">
        <f>E74+Width</f>
        <v>49.615875</v>
      </c>
      <c r="F76" s="1">
        <f>F75</f>
        <v>38.37929375</v>
      </c>
      <c r="G76" t="s">
        <v>9</v>
      </c>
      <c r="H76" s="1">
        <f>H74+Width</f>
        <v>71.40127500000001</v>
      </c>
      <c r="I76" s="1">
        <f>I75</f>
        <v>38.37929375</v>
      </c>
      <c r="J76" t="s">
        <v>9</v>
      </c>
      <c r="K76" s="1">
        <f>K74+Width</f>
        <v>93.18667500000001</v>
      </c>
      <c r="L76" s="1">
        <f>L75</f>
        <v>38.37929375</v>
      </c>
    </row>
    <row r="77" spans="2:12" ht="12.75">
      <c r="B77" s="1">
        <f>B76</f>
        <v>27.830475000000003</v>
      </c>
      <c r="C77" s="1">
        <f>C74</f>
        <v>17.95785625</v>
      </c>
      <c r="D77" t="s">
        <v>9</v>
      </c>
      <c r="E77" s="1">
        <f>E76</f>
        <v>49.615875</v>
      </c>
      <c r="F77" s="1">
        <f>F74</f>
        <v>17.95785625</v>
      </c>
      <c r="G77" t="s">
        <v>9</v>
      </c>
      <c r="H77" s="1">
        <f>H76</f>
        <v>71.40127500000001</v>
      </c>
      <c r="I77" s="1">
        <f>I74</f>
        <v>17.95785625</v>
      </c>
      <c r="J77" t="s">
        <v>9</v>
      </c>
      <c r="K77" s="1">
        <f>K76</f>
        <v>93.18667500000001</v>
      </c>
      <c r="L77" s="1">
        <f>L74</f>
        <v>17.95785625</v>
      </c>
    </row>
    <row r="78" spans="2:12" ht="12.75">
      <c r="B78" s="1">
        <f>B74</f>
        <v>0.5987250000000017</v>
      </c>
      <c r="C78" s="1">
        <f>C74</f>
        <v>17.95785625</v>
      </c>
      <c r="D78" t="s">
        <v>9</v>
      </c>
      <c r="E78" s="1">
        <f>E74</f>
        <v>22.384125000000004</v>
      </c>
      <c r="F78" s="1">
        <f>F74</f>
        <v>17.95785625</v>
      </c>
      <c r="G78" t="s">
        <v>9</v>
      </c>
      <c r="H78" s="1">
        <f>H74</f>
        <v>44.16952500000001</v>
      </c>
      <c r="I78" s="1">
        <f>I74</f>
        <v>17.95785625</v>
      </c>
      <c r="J78" t="s">
        <v>9</v>
      </c>
      <c r="K78" s="1">
        <f>K74</f>
        <v>65.954925</v>
      </c>
      <c r="L78" s="1">
        <f>L74</f>
        <v>17.95785625</v>
      </c>
    </row>
    <row r="80" ht="12.75">
      <c r="A80" t="s">
        <v>40</v>
      </c>
    </row>
    <row r="82" spans="1:3" ht="12.75">
      <c r="A82" t="s">
        <v>25</v>
      </c>
      <c r="B82" s="5" t="s">
        <v>45</v>
      </c>
      <c r="C82" s="5" t="s">
        <v>44</v>
      </c>
    </row>
    <row r="83" spans="1:4" ht="12.75">
      <c r="A83" t="s">
        <v>41</v>
      </c>
      <c r="B83">
        <v>0</v>
      </c>
      <c r="C83" s="1">
        <f>$C$61</f>
        <v>0</v>
      </c>
      <c r="D83" t="s">
        <v>33</v>
      </c>
    </row>
    <row r="84" spans="1:4" ht="12.75">
      <c r="A84" t="s">
        <v>42</v>
      </c>
      <c r="B84">
        <v>0</v>
      </c>
      <c r="C84" s="1">
        <f>C83+Mural_Height</f>
        <v>40</v>
      </c>
      <c r="D84" t="s">
        <v>33</v>
      </c>
    </row>
    <row r="86" ht="12.75">
      <c r="A86" t="s">
        <v>38</v>
      </c>
    </row>
    <row r="87" spans="1:4" ht="12.75">
      <c r="A87" t="s">
        <v>46</v>
      </c>
      <c r="B87">
        <f>-distance</f>
        <v>-57</v>
      </c>
      <c r="C87" s="1">
        <f>$C$68-Bottom</f>
        <v>1.7394562499999977</v>
      </c>
      <c r="D87" t="s">
        <v>33</v>
      </c>
    </row>
    <row r="88" spans="1:4" ht="12.75">
      <c r="A88" t="s">
        <v>41</v>
      </c>
      <c r="B88">
        <v>0</v>
      </c>
      <c r="C88" s="1">
        <f>$C$68</f>
        <v>1.6207062499999978</v>
      </c>
      <c r="D88" t="s">
        <v>33</v>
      </c>
    </row>
    <row r="89" spans="1:4" ht="12.75">
      <c r="A89" t="s">
        <v>42</v>
      </c>
      <c r="B89">
        <f>B88</f>
        <v>0</v>
      </c>
      <c r="C89" s="1">
        <f>$C$69</f>
        <v>22.04214375</v>
      </c>
      <c r="D89" t="s">
        <v>33</v>
      </c>
    </row>
    <row r="90" spans="1:4" ht="12.75">
      <c r="A90" t="s">
        <v>46</v>
      </c>
      <c r="B90">
        <f>B87</f>
        <v>-57</v>
      </c>
      <c r="C90" s="1">
        <f>C87</f>
        <v>1.7394562499999977</v>
      </c>
      <c r="D90" t="s">
        <v>33</v>
      </c>
    </row>
    <row r="91" spans="1:4" ht="12.75">
      <c r="A91" t="s">
        <v>47</v>
      </c>
      <c r="B91">
        <f>B88</f>
        <v>0</v>
      </c>
      <c r="C91" s="1">
        <f>C90</f>
        <v>1.7394562499999977</v>
      </c>
      <c r="D91" t="s">
        <v>33</v>
      </c>
    </row>
    <row r="92" spans="1:4" ht="12.75">
      <c r="A92" t="s">
        <v>157</v>
      </c>
      <c r="B92">
        <f>B90</f>
        <v>-57</v>
      </c>
      <c r="C92" s="1">
        <f>C91-'Resulting Layout'!$C$16</f>
        <v>-4.260543750000002</v>
      </c>
      <c r="D92" t="s">
        <v>33</v>
      </c>
    </row>
    <row r="93" spans="1:4" ht="12.75">
      <c r="A93" t="s">
        <v>157</v>
      </c>
      <c r="B93">
        <f>1.1*B92</f>
        <v>-62.7</v>
      </c>
      <c r="C93" s="1">
        <f>C92</f>
        <v>-4.260543750000002</v>
      </c>
      <c r="D93" t="s">
        <v>33</v>
      </c>
    </row>
    <row r="95" spans="1:4" ht="12.75">
      <c r="A95" t="s">
        <v>46</v>
      </c>
      <c r="B95">
        <f>-distance</f>
        <v>-57</v>
      </c>
      <c r="C95" s="1">
        <f>$C$74-Bottom</f>
        <v>18.076606249999998</v>
      </c>
      <c r="D95" t="s">
        <v>33</v>
      </c>
    </row>
    <row r="96" spans="1:4" ht="12.75">
      <c r="A96" t="s">
        <v>41</v>
      </c>
      <c r="B96">
        <v>0</v>
      </c>
      <c r="C96" s="1">
        <f>$C$74</f>
        <v>17.95785625</v>
      </c>
      <c r="D96" t="s">
        <v>33</v>
      </c>
    </row>
    <row r="97" spans="1:4" ht="12.75">
      <c r="A97" t="s">
        <v>42</v>
      </c>
      <c r="B97">
        <f>B96</f>
        <v>0</v>
      </c>
      <c r="C97" s="1">
        <f>$C$75</f>
        <v>38.37929375</v>
      </c>
      <c r="D97" t="s">
        <v>33</v>
      </c>
    </row>
    <row r="98" spans="1:4" ht="12.75">
      <c r="A98" t="s">
        <v>46</v>
      </c>
      <c r="B98">
        <f>B95</f>
        <v>-57</v>
      </c>
      <c r="C98" s="1">
        <f>C95</f>
        <v>18.076606249999998</v>
      </c>
      <c r="D98" t="s">
        <v>33</v>
      </c>
    </row>
    <row r="99" spans="1:4" ht="12.75">
      <c r="A99" t="s">
        <v>47</v>
      </c>
      <c r="B99">
        <f>B96</f>
        <v>0</v>
      </c>
      <c r="C99" s="1">
        <f>C98</f>
        <v>18.076606249999998</v>
      </c>
      <c r="D99" t="s">
        <v>33</v>
      </c>
    </row>
    <row r="100" spans="1:4" ht="12.75">
      <c r="A100" t="s">
        <v>157</v>
      </c>
      <c r="B100">
        <f>B98</f>
        <v>-57</v>
      </c>
      <c r="C100" s="1">
        <f>C99-'Resulting Layout'!$C$16</f>
        <v>12.076606249999998</v>
      </c>
      <c r="D100" t="s">
        <v>33</v>
      </c>
    </row>
    <row r="101" spans="1:4" ht="12.75">
      <c r="A101" t="s">
        <v>157</v>
      </c>
      <c r="B101">
        <f>1.1*B100</f>
        <v>-62.7</v>
      </c>
      <c r="C101" s="1">
        <f>C100</f>
        <v>12.076606249999998</v>
      </c>
      <c r="D101" t="s">
        <v>33</v>
      </c>
    </row>
    <row r="104" ht="12.75">
      <c r="A104" t="s">
        <v>48</v>
      </c>
    </row>
    <row r="106" spans="1:3" ht="12.75">
      <c r="A106" t="s">
        <v>25</v>
      </c>
      <c r="B106" s="5" t="s">
        <v>43</v>
      </c>
      <c r="C106" s="6" t="s">
        <v>49</v>
      </c>
    </row>
    <row r="107" spans="1:4" ht="12.75">
      <c r="A107" t="s">
        <v>41</v>
      </c>
      <c r="B107" s="1">
        <f>$B$61</f>
        <v>0</v>
      </c>
      <c r="C107" s="1">
        <v>0</v>
      </c>
      <c r="D107" t="s">
        <v>33</v>
      </c>
    </row>
    <row r="108" spans="1:4" ht="12.75">
      <c r="A108" t="s">
        <v>42</v>
      </c>
      <c r="B108" s="1">
        <f>B107+Mural_Width</f>
        <v>72</v>
      </c>
      <c r="C108" s="1">
        <f>C107</f>
        <v>0</v>
      </c>
      <c r="D108" t="s">
        <v>33</v>
      </c>
    </row>
    <row r="110" ht="12.75">
      <c r="A110" t="s">
        <v>38</v>
      </c>
    </row>
    <row r="111" spans="1:13" ht="12.75">
      <c r="A111" t="s">
        <v>46</v>
      </c>
      <c r="B111" s="1">
        <f>B68+Width/2</f>
        <v>14.214600000000003</v>
      </c>
      <c r="C111">
        <f>-distance</f>
        <v>-57</v>
      </c>
      <c r="D111" t="s">
        <v>33</v>
      </c>
      <c r="E111" s="1">
        <f>E68+Width/2</f>
        <v>36.00000000000001</v>
      </c>
      <c r="F111">
        <f>-distance</f>
        <v>-57</v>
      </c>
      <c r="G111" t="s">
        <v>33</v>
      </c>
      <c r="H111" s="1">
        <f>H68+Width/2</f>
        <v>57.78540000000001</v>
      </c>
      <c r="I111">
        <f>-distance</f>
        <v>-57</v>
      </c>
      <c r="J111" t="s">
        <v>33</v>
      </c>
      <c r="K111" s="1">
        <f>K68+Width/2</f>
        <v>79.5708</v>
      </c>
      <c r="L111">
        <f>-distance</f>
        <v>-57</v>
      </c>
      <c r="M111" t="s">
        <v>33</v>
      </c>
    </row>
    <row r="112" spans="1:13" ht="12.75">
      <c r="A112" t="s">
        <v>50</v>
      </c>
      <c r="B112" s="1">
        <f>B68</f>
        <v>0.5987250000000017</v>
      </c>
      <c r="C112">
        <v>0</v>
      </c>
      <c r="D112" t="s">
        <v>33</v>
      </c>
      <c r="E112" s="1">
        <f>E68</f>
        <v>22.384125000000004</v>
      </c>
      <c r="F112">
        <v>0</v>
      </c>
      <c r="G112" t="s">
        <v>33</v>
      </c>
      <c r="H112" s="1">
        <f>H68</f>
        <v>44.16952500000001</v>
      </c>
      <c r="I112">
        <v>0</v>
      </c>
      <c r="J112" t="s">
        <v>33</v>
      </c>
      <c r="K112" s="1">
        <f>K68</f>
        <v>65.954925</v>
      </c>
      <c r="L112">
        <v>0</v>
      </c>
      <c r="M112" t="s">
        <v>33</v>
      </c>
    </row>
    <row r="113" spans="1:13" ht="12.75">
      <c r="A113" t="s">
        <v>51</v>
      </c>
      <c r="B113" s="1">
        <f>B70</f>
        <v>27.830475000000003</v>
      </c>
      <c r="C113">
        <f>C112</f>
        <v>0</v>
      </c>
      <c r="D113" t="s">
        <v>33</v>
      </c>
      <c r="E113" s="1">
        <f>E70</f>
        <v>49.615875</v>
      </c>
      <c r="F113">
        <f>F112</f>
        <v>0</v>
      </c>
      <c r="G113" t="s">
        <v>33</v>
      </c>
      <c r="H113" s="1">
        <f>H70</f>
        <v>71.40127500000001</v>
      </c>
      <c r="I113">
        <f>I112</f>
        <v>0</v>
      </c>
      <c r="J113" t="s">
        <v>33</v>
      </c>
      <c r="K113" s="1">
        <f>K70</f>
        <v>93.18667500000001</v>
      </c>
      <c r="L113">
        <f>L112</f>
        <v>0</v>
      </c>
      <c r="M113" t="s">
        <v>33</v>
      </c>
    </row>
    <row r="114" spans="1:13" ht="12.75">
      <c r="A114" t="s">
        <v>46</v>
      </c>
      <c r="B114" s="1">
        <f>B111</f>
        <v>14.214600000000003</v>
      </c>
      <c r="C114">
        <f>C111</f>
        <v>-57</v>
      </c>
      <c r="D114" t="s">
        <v>33</v>
      </c>
      <c r="E114" s="1">
        <f>E111</f>
        <v>36.00000000000001</v>
      </c>
      <c r="F114">
        <f>F111</f>
        <v>-57</v>
      </c>
      <c r="G114" t="s">
        <v>33</v>
      </c>
      <c r="H114" s="1">
        <f>H111</f>
        <v>57.78540000000001</v>
      </c>
      <c r="I114">
        <f>I111</f>
        <v>-57</v>
      </c>
      <c r="J114" t="s">
        <v>33</v>
      </c>
      <c r="K114" s="1">
        <f>K111</f>
        <v>79.5708</v>
      </c>
      <c r="L114">
        <f>L111</f>
        <v>-57</v>
      </c>
      <c r="M114" t="s">
        <v>33</v>
      </c>
    </row>
    <row r="115" spans="1:13" ht="12.75">
      <c r="A115" t="s">
        <v>47</v>
      </c>
      <c r="B115" s="1">
        <f>B114</f>
        <v>14.214600000000003</v>
      </c>
      <c r="C115">
        <f>C112</f>
        <v>0</v>
      </c>
      <c r="D115" t="s">
        <v>33</v>
      </c>
      <c r="E115" s="1">
        <f>E114</f>
        <v>36.00000000000001</v>
      </c>
      <c r="F115">
        <f>F112</f>
        <v>0</v>
      </c>
      <c r="G115" t="s">
        <v>33</v>
      </c>
      <c r="H115" s="1">
        <f>H114</f>
        <v>57.78540000000001</v>
      </c>
      <c r="I115">
        <f>I112</f>
        <v>0</v>
      </c>
      <c r="J115" t="s">
        <v>33</v>
      </c>
      <c r="K115" s="1">
        <f>K114</f>
        <v>79.5708</v>
      </c>
      <c r="L115">
        <f>L112</f>
        <v>0</v>
      </c>
      <c r="M115" t="s">
        <v>33</v>
      </c>
    </row>
  </sheetData>
  <sheetProtection sheet="1" objects="1" scenarios="1"/>
  <printOptions/>
  <pageMargins left="0.75" right="0.75" top="1" bottom="1" header="0.5" footer="0.5"/>
  <pageSetup horizontalDpi="300" verticalDpi="300" orientation="landscape" r:id="rId1"/>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3:C12"/>
  <sheetViews>
    <sheetView workbookViewId="0" topLeftCell="A1">
      <selection activeCell="B7" sqref="B7"/>
      <selection activeCell="A1" sqref="A1"/>
    </sheetView>
  </sheetViews>
  <sheetFormatPr defaultColWidth="9.140625" defaultRowHeight="12.75"/>
  <cols>
    <col min="2" max="2" width="15.28125" style="57" bestFit="1" customWidth="1"/>
  </cols>
  <sheetData>
    <row r="3" ht="12.75">
      <c r="A3" t="s">
        <v>174</v>
      </c>
    </row>
    <row r="4" spans="2:3" ht="12.75">
      <c r="B4" s="57">
        <v>36451</v>
      </c>
      <c r="C4" t="s">
        <v>171</v>
      </c>
    </row>
    <row r="5" ht="12.75">
      <c r="C5" t="s">
        <v>172</v>
      </c>
    </row>
    <row r="7" spans="2:3" ht="12.75">
      <c r="B7" s="57">
        <v>36468</v>
      </c>
      <c r="C7" t="s">
        <v>179</v>
      </c>
    </row>
    <row r="8" ht="12.75">
      <c r="C8" t="s">
        <v>180</v>
      </c>
    </row>
    <row r="11" ht="12.75">
      <c r="A11" t="s">
        <v>173</v>
      </c>
    </row>
    <row r="12" ht="12.75">
      <c r="C12" t="s">
        <v>175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MCS Argonne National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Grid worksheet for configuring Tiled Image Projector Arrays</dc:title>
  <dc:subject/>
  <dc:creator>Mark Hereld</dc:creator>
  <cp:keywords/>
  <dc:description/>
  <cp:lastModifiedBy>Mary Fritsch</cp:lastModifiedBy>
  <cp:lastPrinted>1999-10-19T18:09:26Z</cp:lastPrinted>
  <dcterms:created xsi:type="dcterms:W3CDTF">1998-10-12T19:23:17Z</dcterms:created>
  <dcterms:modified xsi:type="dcterms:W3CDTF">2003-03-20T00:16:05Z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