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  <Override PartName="/xl/embeddings/oleObject_11_6.bin" ContentType="application/vnd.openxmlformats-officedocument.oleObject"/>
  <Override PartName="/xl/embeddings/oleObject_11_7.bin" ContentType="application/vnd.openxmlformats-officedocument.oleObject"/>
  <Override PartName="/xl/embeddings/oleObject_1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5835" windowHeight="5400" activeTab="0"/>
  </bookViews>
  <sheets>
    <sheet name="Cryo Power" sheetId="1" r:id="rId1"/>
    <sheet name="Supply helium" sheetId="2" r:id="rId2"/>
    <sheet name="Thermal shield" sheetId="3" r:id="rId3"/>
    <sheet name="Trace Tube Helium" sheetId="4" r:id="rId4"/>
    <sheet name="Return helium" sheetId="5" r:id="rId5"/>
    <sheet name="Comparison" sheetId="6" r:id="rId6"/>
    <sheet name="Comments" sheetId="7" r:id="rId7"/>
    <sheet name="Draft He Calcs" sheetId="8" r:id="rId8"/>
    <sheet name="2-phase N2" sheetId="9" r:id="rId9"/>
    <sheet name="Subcooled N2" sheetId="10" r:id="rId10"/>
    <sheet name="HeatSummary" sheetId="11" r:id="rId11"/>
    <sheet name="Equations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<sst xmlns="http://schemas.openxmlformats.org/spreadsheetml/2006/main" count="1304" uniqueCount="314">
  <si>
    <t>T. Peterson</t>
  </si>
  <si>
    <t>Latent heat</t>
  </si>
  <si>
    <t>ml</t>
  </si>
  <si>
    <t>mv</t>
  </si>
  <si>
    <t>mt</t>
  </si>
  <si>
    <t>Vapor density</t>
  </si>
  <si>
    <t>Vapor viscosity</t>
  </si>
  <si>
    <t>Pipe inner dia.</t>
  </si>
  <si>
    <t>Re</t>
  </si>
  <si>
    <t>f</t>
  </si>
  <si>
    <t>dL</t>
  </si>
  <si>
    <t>DP</t>
  </si>
  <si>
    <t>(J/g)</t>
  </si>
  <si>
    <t>fraction @ inlet</t>
  </si>
  <si>
    <t>(g/s)</t>
  </si>
  <si>
    <t xml:space="preserve"> (g/s)</t>
  </si>
  <si>
    <t>(g/cm3)</t>
  </si>
  <si>
    <t>(Pa s)</t>
  </si>
  <si>
    <t>(cm)</t>
  </si>
  <si>
    <t>(cm/s)</t>
  </si>
  <si>
    <t>(Pa)</t>
  </si>
  <si>
    <t>X</t>
  </si>
  <si>
    <t>1 Pa s=10 g/cm s</t>
  </si>
  <si>
    <t>Z (m)</t>
  </si>
  <si>
    <t>Bin</t>
  </si>
  <si>
    <t>size</t>
  </si>
  <si>
    <t>(m)</t>
  </si>
  <si>
    <t>f incl factor</t>
  </si>
  <si>
    <t>W/m</t>
  </si>
  <si>
    <t xml:space="preserve">Watts:  </t>
  </si>
  <si>
    <t>Total heat</t>
  </si>
  <si>
    <t>in each bin</t>
  </si>
  <si>
    <t xml:space="preserve">(W per bin) </t>
  </si>
  <si>
    <t>(W/m)</t>
  </si>
  <si>
    <t>Qstatic</t>
  </si>
  <si>
    <t>W</t>
  </si>
  <si>
    <t xml:space="preserve">Qstatic </t>
  </si>
  <si>
    <t>(W per bin)</t>
  </si>
  <si>
    <t xml:space="preserve">in each </t>
  </si>
  <si>
    <t>Total system heat =</t>
  </si>
  <si>
    <t>Pressure drop for sudden expansion into collector volume is (one velocity head, in Pa) =</t>
  </si>
  <si>
    <t>through a pipe with boiling 2-phase flow</t>
  </si>
  <si>
    <t>Section 1</t>
  </si>
  <si>
    <t>Section 2</t>
  </si>
  <si>
    <t>Section 3</t>
  </si>
  <si>
    <t>Section 4</t>
  </si>
  <si>
    <t>Far end</t>
  </si>
  <si>
    <t>Supply end</t>
  </si>
  <si>
    <t>Q in</t>
  </si>
  <si>
    <t>Enter</t>
  </si>
  <si>
    <t>section</t>
  </si>
  <si>
    <t>Qsect (W)</t>
  </si>
  <si>
    <t>vapor mass</t>
  </si>
  <si>
    <t xml:space="preserve">Total dynamic heat = </t>
  </si>
  <si>
    <t xml:space="preserve">Number </t>
  </si>
  <si>
    <t>of parallel</t>
  </si>
  <si>
    <t>pipes</t>
  </si>
  <si>
    <t xml:space="preserve">Calculation of pressure drop for nitrogen </t>
  </si>
  <si>
    <t xml:space="preserve"> 4 for D</t>
  </si>
  <si>
    <t>Enter a linear heat flux (W/m)</t>
  </si>
  <si>
    <t xml:space="preserve">Heat = </t>
  </si>
  <si>
    <t xml:space="preserve">Enter a total pipe length (m) </t>
  </si>
  <si>
    <t xml:space="preserve">Length = </t>
  </si>
  <si>
    <t>m</t>
  </si>
  <si>
    <t>Heat per</t>
  </si>
  <si>
    <t xml:space="preserve">section in </t>
  </si>
  <si>
    <t>Pressure drop in pipe (Pa) =</t>
  </si>
  <si>
    <t>Pressure drop in pipe (bar) =</t>
  </si>
  <si>
    <t>Enter a saturated vapor pressure for the supply end of the pipe.</t>
  </si>
  <si>
    <t xml:space="preserve">This pressure will be used to find an initial vapor density. </t>
  </si>
  <si>
    <t>bar</t>
  </si>
  <si>
    <t>P</t>
  </si>
  <si>
    <t>(bar)</t>
  </si>
  <si>
    <t>density</t>
  </si>
  <si>
    <t>Overall avg.</t>
  </si>
  <si>
    <t>Liquid density</t>
  </si>
  <si>
    <t>Liquid viscosity</t>
  </si>
  <si>
    <t>Avg viscosity</t>
  </si>
  <si>
    <t>Pipe pressure drop details using properties of saturated nitrogen from 1 to 20 bar and a homogeneous flow model</t>
  </si>
  <si>
    <t>Overall avg</t>
  </si>
  <si>
    <t>fluid velocity</t>
  </si>
  <si>
    <t>K at start to</t>
  </si>
  <si>
    <t>K at exit</t>
  </si>
  <si>
    <t>The nitrogen temperatures through the pipe are</t>
  </si>
  <si>
    <t>Enter a pipe inner dia (cm)</t>
  </si>
  <si>
    <t>Diameter =</t>
  </si>
  <si>
    <t>cm</t>
  </si>
  <si>
    <t>Enter a helium pressure for the supply end of the pipe in bar.</t>
  </si>
  <si>
    <t xml:space="preserve">Enter a helium temperature for the supply end of the pipe in K. </t>
  </si>
  <si>
    <t>K</t>
  </si>
  <si>
    <t xml:space="preserve">This pressure and temperature will be used to find an initial helium density. </t>
  </si>
  <si>
    <t>Enter the desired delta-T in K</t>
  </si>
  <si>
    <t xml:space="preserve">Calculation of pressure drop for helium gas </t>
  </si>
  <si>
    <t>through a pipe with pressure drop and heat added</t>
  </si>
  <si>
    <t>Pipe pressure drop details using properties of helium from 50 to 150 K and 1 to 20 bar</t>
  </si>
  <si>
    <t>Specific heat</t>
  </si>
  <si>
    <t>Helium</t>
  </si>
  <si>
    <t xml:space="preserve">Helium </t>
  </si>
  <si>
    <t>temperature</t>
  </si>
  <si>
    <t>(K)</t>
  </si>
  <si>
    <t>viscosity</t>
  </si>
  <si>
    <t>Heat flux (W/m)</t>
  </si>
  <si>
    <t>Total length (m)</t>
  </si>
  <si>
    <t>Inlet pressure (bar)</t>
  </si>
  <si>
    <t>Exit pressure (bar)</t>
  </si>
  <si>
    <t>Pressure drop (bar)</t>
  </si>
  <si>
    <t>Inlet temperature (K)</t>
  </si>
  <si>
    <t>Exit temperature (K)</t>
  </si>
  <si>
    <t>Mass flow (g/sec)</t>
  </si>
  <si>
    <t>Two-phase nitrogen</t>
  </si>
  <si>
    <t>Helium gas</t>
  </si>
  <si>
    <t>Total heat (kW)</t>
  </si>
  <si>
    <t>Temperature change (K)</t>
  </si>
  <si>
    <t xml:space="preserve">Tom Peterson </t>
  </si>
  <si>
    <t>of long systems with large heat flux</t>
  </si>
  <si>
    <t>Pipe inner diameter (cm)</t>
  </si>
  <si>
    <t xml:space="preserve">Pipe ID (inches) </t>
  </si>
  <si>
    <t>f incl factors</t>
  </si>
  <si>
    <t>and 1.5 for 2ph</t>
  </si>
  <si>
    <t xml:space="preserve">Calculation of pressure drop for subcooled nitrogen  </t>
  </si>
  <si>
    <t xml:space="preserve">Enter a nitrogen temperature for the supply end of the pipe in K. </t>
  </si>
  <si>
    <t>Enter a nitrogen pressure for the supply end of the pipe in bar.</t>
  </si>
  <si>
    <t>Nitrogen</t>
  </si>
  <si>
    <t>(J/gK)</t>
  </si>
  <si>
    <t>Subcooled nitrogen</t>
  </si>
  <si>
    <t xml:space="preserve">Comparison of helium gas and nitrogen cooling </t>
  </si>
  <si>
    <t>Sat T at P</t>
  </si>
  <si>
    <t>Pipe pressure drop details using properties of nitrogen from 70 to 100 K and 5 to 20 bar</t>
  </si>
  <si>
    <t>Subcooling left (K)</t>
  </si>
  <si>
    <t>and 1.3 safety</t>
  </si>
  <si>
    <t xml:space="preserve">I include an additional factor of 1.5 in the friction factor for 2-phase nitrogen flow </t>
  </si>
  <si>
    <t xml:space="preserve">based on the data and analysis in "Pressure Drop Considerations in the Transfer </t>
  </si>
  <si>
    <t xml:space="preserve">of Fluids," by Timmerhaus and Sugden, Advances Vol 10, p 367.  </t>
  </si>
  <si>
    <t xml:space="preserve">I do not include any additional fudge factors for friction factor or pressure drop for </t>
  </si>
  <si>
    <t xml:space="preserve">helium gas since my experience has been that the standard correlations work </t>
  </si>
  <si>
    <t xml:space="preserve">well for single phase helium, especially for gas.  </t>
  </si>
  <si>
    <t xml:space="preserve">Comments </t>
  </si>
  <si>
    <t>Tom Peterson</t>
  </si>
  <si>
    <t xml:space="preserve">The data, however, are for 2-phase freon and hydrogen, and the authors also </t>
  </si>
  <si>
    <t xml:space="preserve">warn that adjustments should be a function of vapor fraction.  So the 2-phase </t>
  </si>
  <si>
    <t xml:space="preserve">nitrogen pressure drop estimates need refinement based on real LN2 data.  </t>
  </si>
  <si>
    <t xml:space="preserve">I include an additional factor of 1.3 for liquid nitrogen flow based on a  </t>
  </si>
  <si>
    <t xml:space="preserve">recommendation for single phase flow in the same paper.  </t>
  </si>
  <si>
    <t>trace tube</t>
  </si>
  <si>
    <t>Number of parallel tubes</t>
  </si>
  <si>
    <t>mTraceTube</t>
  </si>
  <si>
    <t>(scratch work)</t>
  </si>
  <si>
    <t>return</t>
  </si>
  <si>
    <t>Enter a maximum delta-T</t>
  </si>
  <si>
    <t>Helium pressure for the supply end of the pipe in bar.</t>
  </si>
  <si>
    <t>Turnaround end</t>
  </si>
  <si>
    <t>Refrigerator end</t>
  </si>
  <si>
    <t>Helium pressure for the supply end of the tube in bar.</t>
  </si>
  <si>
    <t xml:space="preserve">Helium temperature for the supply end of the tube in K. </t>
  </si>
  <si>
    <t>(one beam)</t>
  </si>
  <si>
    <t>W/m per beam</t>
  </si>
  <si>
    <t>Calc'd del-P</t>
  </si>
  <si>
    <t xml:space="preserve"> </t>
  </si>
  <si>
    <t>System summary</t>
  </si>
  <si>
    <t>Arc magnets</t>
  </si>
  <si>
    <t xml:space="preserve">Beam screen </t>
  </si>
  <si>
    <t>Magnet cold mass</t>
  </si>
  <si>
    <t>(two beams)</t>
  </si>
  <si>
    <t>Temp in</t>
  </si>
  <si>
    <t>Press in</t>
  </si>
  <si>
    <t xml:space="preserve">Press in </t>
  </si>
  <si>
    <t xml:space="preserve">Enthalpy in </t>
  </si>
  <si>
    <t>Entropy in</t>
  </si>
  <si>
    <t xml:space="preserve">Entropy in </t>
  </si>
  <si>
    <t>Temp out</t>
  </si>
  <si>
    <t>Press out</t>
  </si>
  <si>
    <t>Enthalpy out</t>
  </si>
  <si>
    <t xml:space="preserve">Enthalpy out </t>
  </si>
  <si>
    <t>Entropy out</t>
  </si>
  <si>
    <t xml:space="preserve">Entropy out </t>
  </si>
  <si>
    <t xml:space="preserve">Current </t>
  </si>
  <si>
    <t>(kA)</t>
  </si>
  <si>
    <t>Predicted heat load</t>
  </si>
  <si>
    <t>Flow per lead</t>
  </si>
  <si>
    <t>Distance</t>
  </si>
  <si>
    <t>(kW)</t>
  </si>
  <si>
    <t xml:space="preserve">Total current </t>
  </si>
  <si>
    <t xml:space="preserve">Total flow </t>
  </si>
  <si>
    <t>Heat uncertainty factor</t>
  </si>
  <si>
    <t xml:space="preserve">Design heat load </t>
  </si>
  <si>
    <t>Design flow</t>
  </si>
  <si>
    <t>Design ideal power</t>
  </si>
  <si>
    <t>4.5 K equiv design power</t>
  </si>
  <si>
    <t>4.5 K equiv design pwr</t>
  </si>
  <si>
    <t>Efficiency (fraction Carnot)</t>
  </si>
  <si>
    <t>Efficiency in Watts/Watt</t>
  </si>
  <si>
    <t>(W/W)</t>
  </si>
  <si>
    <t>Nominal operating power</t>
  </si>
  <si>
    <t xml:space="preserve">Overcapacity factor </t>
  </si>
  <si>
    <t xml:space="preserve">Installed operating power </t>
  </si>
  <si>
    <t>Installed 4.5 K equiv</t>
  </si>
  <si>
    <t>Arc power leads</t>
  </si>
  <si>
    <t xml:space="preserve">Average current </t>
  </si>
  <si>
    <t>W/m pipe heat load</t>
  </si>
  <si>
    <t xml:space="preserve">Helium temperature for the supply end of the pipe in K. </t>
  </si>
  <si>
    <t xml:space="preserve">Note:  Bin size and number of bins </t>
  </si>
  <si>
    <t>are manually entered to match total length</t>
  </si>
  <si>
    <t>W/m T-line shield heat load</t>
  </si>
  <si>
    <t xml:space="preserve">supply </t>
  </si>
  <si>
    <t>Thermal shield</t>
  </si>
  <si>
    <t>(transfer line)</t>
  </si>
  <si>
    <t xml:space="preserve">Supply pipe </t>
  </si>
  <si>
    <t>Shield supply</t>
  </si>
  <si>
    <t>pipe</t>
  </si>
  <si>
    <t xml:space="preserve">Total pipe length (m) </t>
  </si>
  <si>
    <t>Linear heat flux (W/m)</t>
  </si>
  <si>
    <t>mShield</t>
  </si>
  <si>
    <t>Shield plus beam screen delta-T (K) =</t>
  </si>
  <si>
    <t xml:space="preserve">(magnet) </t>
  </si>
  <si>
    <t>Segment distance</t>
  </si>
  <si>
    <t>Segment heat</t>
  </si>
  <si>
    <t>(W)</t>
  </si>
  <si>
    <t xml:space="preserve">Segment mass flow </t>
  </si>
  <si>
    <t>Segments per sector</t>
  </si>
  <si>
    <t>Shield return pipe</t>
  </si>
  <si>
    <t>and thermal shield</t>
  </si>
  <si>
    <t>(in transfer line)</t>
  </si>
  <si>
    <t>Combined</t>
  </si>
  <si>
    <t>temperatures</t>
  </si>
  <si>
    <t xml:space="preserve">inverted for </t>
  </si>
  <si>
    <t>return pipe</t>
  </si>
  <si>
    <t>copied for</t>
  </si>
  <si>
    <t>supply pipe</t>
  </si>
  <si>
    <t xml:space="preserve">Supply </t>
  </si>
  <si>
    <t xml:space="preserve">pipe exit </t>
  </si>
  <si>
    <t>Delta-T</t>
  </si>
  <si>
    <t>from far end</t>
  </si>
  <si>
    <t xml:space="preserve">temperatures </t>
  </si>
  <si>
    <t xml:space="preserve">pipe inlet </t>
  </si>
  <si>
    <t xml:space="preserve">temperature </t>
  </si>
  <si>
    <t>delta-T</t>
  </si>
  <si>
    <t xml:space="preserve">Shield plus </t>
  </si>
  <si>
    <t>beam screen</t>
  </si>
  <si>
    <t xml:space="preserve">beam screen </t>
  </si>
  <si>
    <t>exit temperature</t>
  </si>
  <si>
    <t>pipe helium</t>
  </si>
  <si>
    <t>Joining</t>
  </si>
  <si>
    <t xml:space="preserve">system total </t>
  </si>
  <si>
    <t xml:space="preserve">transfer line) </t>
  </si>
  <si>
    <t xml:space="preserve">Overall shield </t>
  </si>
  <si>
    <t xml:space="preserve">(Magnet and </t>
  </si>
  <si>
    <t xml:space="preserve">Design total heat </t>
  </si>
  <si>
    <t xml:space="preserve">Avg design mass flow </t>
  </si>
  <si>
    <t>For comparison:</t>
  </si>
  <si>
    <t>Number of leads per sector</t>
  </si>
  <si>
    <t>Corrector leads per sector</t>
  </si>
  <si>
    <t xml:space="preserve">The above spreadsheet is duplicated here for calculation of the flows and pressure drops after the applied heat load uncertainty factor.  </t>
  </si>
  <si>
    <t xml:space="preserve">Installed number of LHC system equivalents </t>
  </si>
  <si>
    <t xml:space="preserve">Installed number of standard large cryoplants </t>
  </si>
  <si>
    <t>Installed 4.5 K equivalent power for entire accelerator (kW)</t>
  </si>
  <si>
    <t>Installed wall plug power for cryogenics for entire accelerator (MW)</t>
  </si>
  <si>
    <t>Operating wall plug power for cryogenics for entire accelerator (MW)</t>
  </si>
  <si>
    <t>Avg heat flux</t>
  </si>
  <si>
    <t>Location</t>
  </si>
  <si>
    <t xml:space="preserve">Design </t>
  </si>
  <si>
    <t xml:space="preserve">sector load </t>
  </si>
  <si>
    <t>Design</t>
  </si>
  <si>
    <t>ring load</t>
  </si>
  <si>
    <t>Predicted</t>
  </si>
  <si>
    <t>4.5 - 5.5 K cold mass</t>
  </si>
  <si>
    <t>Installed ring</t>
  </si>
  <si>
    <t>power</t>
  </si>
  <si>
    <t>(MW)</t>
  </si>
  <si>
    <t>4.5 K liquefaction (g/s)</t>
  </si>
  <si>
    <t xml:space="preserve">Total for VLHC </t>
  </si>
  <si>
    <t xml:space="preserve">cooling </t>
  </si>
  <si>
    <t>4.5 K conduction</t>
  </si>
  <si>
    <t>cooling</t>
  </si>
  <si>
    <t>4.5 K vapor</t>
  </si>
  <si>
    <t>Flow per lead (for gas cooled)</t>
  </si>
  <si>
    <t>Heat per lead (for cond cooled)</t>
  </si>
  <si>
    <t>Corrector leads only</t>
  </si>
  <si>
    <t xml:space="preserve">Total heat per sector </t>
  </si>
  <si>
    <t>Flow or heat uncertainty factor</t>
  </si>
  <si>
    <t xml:space="preserve">Design heat </t>
  </si>
  <si>
    <t>Corrector leads at 5 K</t>
  </si>
  <si>
    <t>Main leads</t>
  </si>
  <si>
    <t>80 - 90 K thermal shield</t>
  </si>
  <si>
    <t>90 - 110 K beam screen</t>
  </si>
  <si>
    <t>Corrector leads at 80 K</t>
  </si>
  <si>
    <t>80 K liquefaction (g/s)</t>
  </si>
  <si>
    <t xml:space="preserve">80 K conduction </t>
  </si>
  <si>
    <t>80 K gas</t>
  </si>
  <si>
    <t>Total installed operating power for one 10 km string (MW)</t>
  </si>
  <si>
    <t>Total installed 4.5 K equivalent power for one 10 km string (kW)</t>
  </si>
  <si>
    <t xml:space="preserve">Number of standard large cryoplants per 10 km string  </t>
  </si>
  <si>
    <t>Number of standard large cryoplants per location (cooling two 10 km strings)</t>
  </si>
  <si>
    <t xml:space="preserve">Number of above "strings" in accelerator </t>
  </si>
  <si>
    <t xml:space="preserve">Percent of power </t>
  </si>
  <si>
    <t>updated 20 Apr 01</t>
  </si>
  <si>
    <t xml:space="preserve">Design mass flow </t>
  </si>
  <si>
    <t>High Field VLHC Cryogenic Power Estimates</t>
  </si>
  <si>
    <t>D</t>
  </si>
  <si>
    <t>Qtotal</t>
  </si>
  <si>
    <t>Qpred</t>
  </si>
  <si>
    <t>Qdesign</t>
  </si>
  <si>
    <t>mdot</t>
  </si>
  <si>
    <t>Pideal</t>
  </si>
  <si>
    <t>P4.5equiv</t>
  </si>
  <si>
    <t>E</t>
  </si>
  <si>
    <t>Especific</t>
  </si>
  <si>
    <t>Pnominal</t>
  </si>
  <si>
    <t>f1</t>
  </si>
  <si>
    <t>f2</t>
  </si>
  <si>
    <t>Pinstalled</t>
  </si>
  <si>
    <r>
      <t>h</t>
    </r>
    <r>
      <rPr>
        <vertAlign val="subscript"/>
        <sz val="10"/>
        <rFont val="Geneva"/>
        <family val="0"/>
      </rPr>
      <t>in</t>
    </r>
  </si>
  <si>
    <r>
      <t>s</t>
    </r>
    <r>
      <rPr>
        <vertAlign val="subscript"/>
        <sz val="10"/>
        <rFont val="Geneva"/>
        <family val="0"/>
      </rPr>
      <t>in</t>
    </r>
  </si>
  <si>
    <r>
      <t>h</t>
    </r>
    <r>
      <rPr>
        <vertAlign val="subscript"/>
        <sz val="10"/>
        <rFont val="Geneva"/>
        <family val="0"/>
      </rPr>
      <t>out</t>
    </r>
  </si>
  <si>
    <r>
      <t>s</t>
    </r>
    <r>
      <rPr>
        <vertAlign val="subscript"/>
        <sz val="10"/>
        <rFont val="Geneva"/>
        <family val="0"/>
      </rPr>
      <t>out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</si>
</sst>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00"/>
    <numFmt numFmtId="171" formatCode="0.00000000"/>
    <numFmt numFmtId="172" formatCode="0.0"/>
    <numFmt numFmtId="173" formatCode="0.0E+00"/>
    <numFmt numFmtId="174" formatCode="&quot;$&quot;#,##0.00"/>
    <numFmt numFmtId="175" formatCode="0.0%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1.75"/>
      <name val="Arial"/>
      <family val="2"/>
    </font>
    <font>
      <sz val="1.5"/>
      <name val="Arial"/>
      <family val="2"/>
    </font>
    <font>
      <sz val="1"/>
      <name val="Arial"/>
      <family val="0"/>
    </font>
    <font>
      <b/>
      <sz val="1.75"/>
      <name val="Arial"/>
      <family val="2"/>
    </font>
    <font>
      <sz val="12"/>
      <name val="Arial"/>
      <family val="2"/>
    </font>
    <font>
      <sz val="1.25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Geneva"/>
      <family val="0"/>
    </font>
    <font>
      <vertAlign val="subscript"/>
      <sz val="10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left"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19">
      <alignment/>
      <protection/>
    </xf>
    <xf numFmtId="0" fontId="12" fillId="0" borderId="0" xfId="19" applyFont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15" fontId="11" fillId="0" borderId="0" xfId="19" applyNumberFormat="1">
      <alignment/>
      <protection/>
    </xf>
    <xf numFmtId="0" fontId="11" fillId="0" borderId="0" xfId="19" applyAlignment="1">
      <alignment horizontal="center"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11" fillId="0" borderId="0" xfId="19" applyFill="1">
      <alignment/>
      <protection/>
    </xf>
    <xf numFmtId="0" fontId="11" fillId="4" borderId="0" xfId="19" applyFill="1">
      <alignment/>
      <protection/>
    </xf>
    <xf numFmtId="172" fontId="11" fillId="4" borderId="0" xfId="19" applyNumberFormat="1" applyFill="1">
      <alignment/>
      <protection/>
    </xf>
    <xf numFmtId="172" fontId="11" fillId="0" borderId="0" xfId="19" applyNumberFormat="1" applyFill="1">
      <alignment/>
      <protection/>
    </xf>
    <xf numFmtId="172" fontId="11" fillId="4" borderId="0" xfId="19" applyNumberFormat="1" applyFont="1" applyFill="1">
      <alignment/>
      <protection/>
    </xf>
    <xf numFmtId="172" fontId="11" fillId="0" borderId="0" xfId="19" applyNumberFormat="1" applyFont="1">
      <alignment/>
      <protection/>
    </xf>
    <xf numFmtId="172" fontId="11" fillId="0" borderId="0" xfId="19" applyNumberFormat="1">
      <alignment/>
      <protection/>
    </xf>
    <xf numFmtId="172" fontId="12" fillId="0" borderId="0" xfId="19" applyNumberFormat="1" applyFont="1" applyFill="1">
      <alignment/>
      <protection/>
    </xf>
    <xf numFmtId="2" fontId="11" fillId="0" borderId="0" xfId="19" applyNumberFormat="1">
      <alignment/>
      <protection/>
    </xf>
    <xf numFmtId="168" fontId="11" fillId="0" borderId="0" xfId="19" applyNumberFormat="1">
      <alignment/>
      <protection/>
    </xf>
    <xf numFmtId="2" fontId="11" fillId="0" borderId="0" xfId="19" applyNumberFormat="1" applyFill="1">
      <alignment/>
      <protection/>
    </xf>
    <xf numFmtId="2" fontId="11" fillId="4" borderId="0" xfId="19" applyNumberFormat="1" applyFill="1">
      <alignment/>
      <protection/>
    </xf>
    <xf numFmtId="1" fontId="11" fillId="0" borderId="0" xfId="19" applyNumberFormat="1">
      <alignment/>
      <protection/>
    </xf>
    <xf numFmtId="4" fontId="11" fillId="0" borderId="0" xfId="19" applyNumberFormat="1">
      <alignment/>
      <protection/>
    </xf>
    <xf numFmtId="0" fontId="11" fillId="0" borderId="0" xfId="19" applyFont="1">
      <alignment/>
      <protection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" fillId="0" borderId="0" xfId="0" applyNumberFormat="1" applyFont="1" applyAlignment="1">
      <alignment horizontal="left"/>
    </xf>
    <xf numFmtId="172" fontId="11" fillId="0" borderId="0" xfId="19" applyNumberFormat="1" applyFont="1" applyFill="1">
      <alignment/>
      <protection/>
    </xf>
    <xf numFmtId="0" fontId="0" fillId="0" borderId="0" xfId="0" applyAlignment="1">
      <alignment horizontal="left"/>
    </xf>
    <xf numFmtId="0" fontId="11" fillId="4" borderId="0" xfId="19" applyFont="1" applyFill="1">
      <alignment/>
      <protection/>
    </xf>
    <xf numFmtId="0" fontId="11" fillId="5" borderId="0" xfId="19" applyFont="1" applyFill="1">
      <alignment/>
      <protection/>
    </xf>
    <xf numFmtId="0" fontId="12" fillId="5" borderId="0" xfId="19" applyFont="1" applyFill="1" applyAlignment="1">
      <alignment horizontal="center"/>
      <protection/>
    </xf>
    <xf numFmtId="0" fontId="13" fillId="0" borderId="0" xfId="0" applyFont="1" applyAlignment="1">
      <alignment/>
    </xf>
    <xf numFmtId="0" fontId="11" fillId="0" borderId="0" xfId="19" applyFont="1" applyFill="1">
      <alignment/>
      <protection/>
    </xf>
    <xf numFmtId="2" fontId="0" fillId="0" borderId="0" xfId="0" applyNumberFormat="1" applyBorder="1" applyAlignment="1">
      <alignment/>
    </xf>
    <xf numFmtId="172" fontId="11" fillId="0" borderId="0" xfId="19" applyNumberFormat="1" applyFont="1" applyFill="1">
      <alignment/>
      <protection/>
    </xf>
    <xf numFmtId="167" fontId="0" fillId="0" borderId="0" xfId="0" applyNumberFormat="1" applyBorder="1" applyAlignment="1">
      <alignment/>
    </xf>
    <xf numFmtId="172" fontId="11" fillId="4" borderId="0" xfId="19" applyNumberFormat="1" applyFont="1" applyFill="1" applyAlignment="1">
      <alignment horizontal="center"/>
      <protection/>
    </xf>
    <xf numFmtId="172" fontId="11" fillId="4" borderId="0" xfId="19" applyNumberFormat="1" applyFill="1" applyAlignment="1">
      <alignment horizontal="center"/>
      <protection/>
    </xf>
    <xf numFmtId="172" fontId="11" fillId="0" borderId="0" xfId="19" applyNumberFormat="1" applyAlignment="1">
      <alignment horizontal="center"/>
      <protection/>
    </xf>
    <xf numFmtId="172" fontId="11" fillId="0" borderId="0" xfId="19" applyNumberFormat="1" applyFont="1" applyAlignment="1">
      <alignment horizontal="center"/>
      <protection/>
    </xf>
    <xf numFmtId="2" fontId="11" fillId="0" borderId="0" xfId="19" applyNumberFormat="1" applyAlignment="1">
      <alignment horizontal="center"/>
      <protection/>
    </xf>
    <xf numFmtId="168" fontId="11" fillId="0" borderId="0" xfId="19" applyNumberFormat="1" applyAlignment="1">
      <alignment horizontal="center"/>
      <protection/>
    </xf>
    <xf numFmtId="167" fontId="11" fillId="0" borderId="0" xfId="19" applyNumberFormat="1" applyAlignment="1">
      <alignment horizontal="center"/>
      <protection/>
    </xf>
    <xf numFmtId="2" fontId="11" fillId="0" borderId="0" xfId="19" applyNumberFormat="1" applyFill="1" applyAlignment="1">
      <alignment horizontal="center"/>
      <protection/>
    </xf>
    <xf numFmtId="167" fontId="11" fillId="0" borderId="0" xfId="19" applyNumberFormat="1" applyFill="1" applyAlignment="1">
      <alignment horizontal="center"/>
      <protection/>
    </xf>
    <xf numFmtId="0" fontId="11" fillId="4" borderId="0" xfId="19" applyFill="1" applyAlignment="1">
      <alignment horizontal="center"/>
      <protection/>
    </xf>
    <xf numFmtId="172" fontId="11" fillId="0" borderId="0" xfId="19" applyNumberFormat="1" applyFill="1" applyAlignment="1">
      <alignment horizontal="center"/>
      <protection/>
    </xf>
    <xf numFmtId="2" fontId="11" fillId="4" borderId="0" xfId="19" applyNumberFormat="1" applyFill="1" applyAlignment="1">
      <alignment horizontal="center"/>
      <protection/>
    </xf>
    <xf numFmtId="0" fontId="12" fillId="0" borderId="0" xfId="19" applyFont="1" applyFill="1">
      <alignment/>
      <protection/>
    </xf>
    <xf numFmtId="2" fontId="12" fillId="0" borderId="0" xfId="19" applyNumberFormat="1" applyFont="1" applyFill="1">
      <alignment/>
      <protection/>
    </xf>
    <xf numFmtId="1" fontId="11" fillId="0" borderId="0" xfId="19" applyNumberFormat="1" applyFill="1">
      <alignment/>
      <protection/>
    </xf>
    <xf numFmtId="0" fontId="11" fillId="0" borderId="0" xfId="19" applyFont="1" applyFill="1">
      <alignment/>
      <protection/>
    </xf>
    <xf numFmtId="175" fontId="11" fillId="0" borderId="0" xfId="19" applyNumberFormat="1" applyFill="1">
      <alignment/>
      <protection/>
    </xf>
    <xf numFmtId="172" fontId="12" fillId="0" borderId="0" xfId="19" applyNumberFormat="1" applyFont="1">
      <alignment/>
      <protection/>
    </xf>
    <xf numFmtId="0" fontId="0" fillId="3" borderId="12" xfId="0" applyFill="1" applyBorder="1" applyAlignment="1">
      <alignment horizontal="center" vertical="center" wrapText="1"/>
    </xf>
    <xf numFmtId="2" fontId="0" fillId="6" borderId="13" xfId="0" applyNumberFormat="1" applyFill="1" applyBorder="1" applyAlignment="1">
      <alignment horizontal="center" vertical="center"/>
    </xf>
    <xf numFmtId="1" fontId="11" fillId="4" borderId="0" xfId="19" applyNumberFormat="1" applyFill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172" fontId="11" fillId="4" borderId="0" xfId="19" applyNumberFormat="1" applyFont="1" applyFill="1" applyAlignment="1">
      <alignment horizontal="center"/>
      <protection/>
    </xf>
    <xf numFmtId="172" fontId="11" fillId="4" borderId="0" xfId="19" applyNumberFormat="1" applyFill="1" applyAlignment="1">
      <alignment horizontal="center"/>
      <protection/>
    </xf>
    <xf numFmtId="1" fontId="11" fillId="4" borderId="0" xfId="19" applyNumberFormat="1" applyFont="1" applyFill="1" applyAlignment="1">
      <alignment horizontal="center"/>
      <protection/>
    </xf>
    <xf numFmtId="172" fontId="11" fillId="0" borderId="0" xfId="19" applyNumberFormat="1" applyAlignment="1">
      <alignment horizontal="center"/>
      <protection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LHCidealPow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6662559"/>
        <c:axId val="58029936"/>
      </c:barChart>
      <c:catAx>
        <c:axId val="666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029936"/>
        <c:crosses val="autoZero"/>
        <c:auto val="1"/>
        <c:lblOffset val="100"/>
        <c:noMultiLvlLbl val="0"/>
      </c:catAx>
      <c:valAx>
        <c:axId val="5802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62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'Return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'Return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'Return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49147393"/>
        <c:axId val="59412018"/>
      </c:barChart>
      <c:catAx>
        <c:axId val="4914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412018"/>
        <c:crosses val="autoZero"/>
        <c:auto val="1"/>
        <c:lblOffset val="100"/>
        <c:noMultiLvlLbl val="0"/>
      </c:catAx>
      <c:valAx>
        <c:axId val="5941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147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'Return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'Return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'Return helium'!#REF!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'Return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'Return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'Return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25507731"/>
        <c:axId val="41919268"/>
      </c:barChart>
      <c:catAx>
        <c:axId val="2550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1919268"/>
        <c:crosses val="autoZero"/>
        <c:auto val="1"/>
        <c:lblOffset val="100"/>
        <c:noMultiLvlLbl val="0"/>
      </c:catAx>
      <c:valAx>
        <c:axId val="4191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55077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'Return helium'!$AI$15:$AI$88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40778213"/>
        <c:axId val="51975382"/>
      </c:lineChart>
      <c:catAx>
        <c:axId val="4077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75382"/>
        <c:crosses val="autoZero"/>
        <c:auto val="1"/>
        <c:lblOffset val="100"/>
        <c:noMultiLvlLbl val="0"/>
      </c:catAx>
      <c:valAx>
        <c:axId val="5197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78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'Draft He Calcs'!#REF!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'Draft He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'Draft He Calcs'!#REF!</c:f>
              <c:numCache>
                <c:ptCount val="1"/>
                <c:pt idx="0">
                  <c:v>1</c:v>
                </c:pt>
              </c:numCache>
            </c:numRef>
          </c:val>
        </c:ser>
        <c:axId val="63765751"/>
        <c:axId val="37514056"/>
      </c:barChart>
      <c:catAx>
        <c:axId val="6376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7514056"/>
        <c:crosses val="autoZero"/>
        <c:auto val="1"/>
        <c:lblOffset val="100"/>
        <c:noMultiLvlLbl val="0"/>
      </c:catAx>
      <c:valAx>
        <c:axId val="37514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Delta T (mK)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765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'Draft He Calcs'!#REF!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'Draft He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'Draft He Calcs'!#REF!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'Draft He Calcs'!#REF!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'Draft He Calcs'!#REF!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'Draft He Calcs'!#REF!</c:f>
              <c:numCache>
                <c:ptCount val="1"/>
                <c:pt idx="0">
                  <c:v>1</c:v>
                </c:pt>
              </c:numCache>
            </c:numRef>
          </c:val>
        </c:ser>
        <c:axId val="26249417"/>
        <c:axId val="11153018"/>
      </c:barChart>
      <c:catAx>
        <c:axId val="262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1153018"/>
        <c:crosses val="autoZero"/>
        <c:auto val="1"/>
        <c:lblOffset val="100"/>
        <c:noMultiLvlLbl val="0"/>
      </c:catAx>
      <c:valAx>
        <c:axId val="1115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2494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'2-phase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'2-phase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'2-phase N2'!#REF!</c:f>
              <c:numCache>
                <c:ptCount val="1"/>
                <c:pt idx="0">
                  <c:v>1</c:v>
                </c:pt>
              </c:numCache>
            </c:numRef>
          </c:val>
        </c:ser>
        <c:axId val="9626971"/>
        <c:axId val="1959532"/>
      </c:barChart>
      <c:catAx>
        <c:axId val="962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59532"/>
        <c:crosses val="autoZero"/>
        <c:auto val="1"/>
        <c:lblOffset val="100"/>
        <c:noMultiLvlLbl val="0"/>
      </c:catAx>
      <c:valAx>
        <c:axId val="195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Delta T (mK)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626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'2-phase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'2-phase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'2-phase N2'!#REF!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'2-phase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'2-phase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'2-phase N2'!#REF!</c:f>
              <c:numCache>
                <c:ptCount val="1"/>
                <c:pt idx="0">
                  <c:v>1</c:v>
                </c:pt>
              </c:numCache>
            </c:numRef>
          </c:val>
        </c:ser>
        <c:axId val="28908205"/>
        <c:axId val="7215902"/>
      </c:barChart>
      <c:catAx>
        <c:axId val="289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7215902"/>
        <c:crosses val="autoZero"/>
        <c:auto val="1"/>
        <c:lblOffset val="100"/>
        <c:noMultiLvlLbl val="0"/>
      </c:catAx>
      <c:valAx>
        <c:axId val="721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89082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'Subcooled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'Subcooled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'Subcooled N2'!#REF!</c:f>
              <c:numCache>
                <c:ptCount val="1"/>
                <c:pt idx="0">
                  <c:v>1</c:v>
                </c:pt>
              </c:numCache>
            </c:numRef>
          </c:val>
        </c:ser>
        <c:axId val="18034879"/>
        <c:axId val="11293840"/>
      </c:barChart>
      <c:catAx>
        <c:axId val="1803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293840"/>
        <c:crosses val="autoZero"/>
        <c:auto val="1"/>
        <c:lblOffset val="100"/>
        <c:noMultiLvlLbl val="0"/>
      </c:catAx>
      <c:valAx>
        <c:axId val="11293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034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'Subcooled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'Subcooled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'Subcooled N2'!#REF!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'Subcooled N2'!#REF!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'Subcooled N2'!#REF!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'Subcooled N2'!#REF!</c:f>
              <c:numCache>
                <c:ptCount val="1"/>
                <c:pt idx="0">
                  <c:v>1</c:v>
                </c:pt>
              </c:numCache>
            </c:numRef>
          </c:val>
        </c:ser>
        <c:axId val="16527249"/>
        <c:axId val="4528834"/>
      </c:barChart>
      <c:catAx>
        <c:axId val="1652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528834"/>
        <c:crosses val="autoZero"/>
        <c:auto val="1"/>
        <c:lblOffset val="100"/>
        <c:noMultiLvlLbl val="0"/>
      </c:catAx>
      <c:valAx>
        <c:axId val="452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65272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24894577"/>
        <c:axId val="11874722"/>
      </c:barChart>
      <c:catAx>
        <c:axId val="2489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1874722"/>
        <c:crosses val="autoZero"/>
        <c:auto val="1"/>
        <c:lblOffset val="100"/>
        <c:noMultiLvlLbl val="0"/>
      </c:catAx>
      <c:valAx>
        <c:axId val="11874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48945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475"/>
          <c:w val="0.829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'Supply helium'!$AF$15:$AF$88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44990467"/>
        <c:axId val="57049236"/>
      </c:lineChart>
      <c:catAx>
        <c:axId val="4499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9236"/>
        <c:crosses val="autoZero"/>
        <c:auto val="1"/>
        <c:lblOffset val="100"/>
        <c:noMultiLvlLbl val="0"/>
      </c:catAx>
      <c:valAx>
        <c:axId val="5704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90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43949141"/>
        <c:axId val="6024262"/>
      </c:barChart>
      <c:catAx>
        <c:axId val="4394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24262"/>
        <c:crosses val="autoZero"/>
        <c:auto val="1"/>
        <c:lblOffset val="100"/>
        <c:noMultiLvlLbl val="0"/>
      </c:catAx>
      <c:valAx>
        <c:axId val="6024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3949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'Supply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'Supply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'Supply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26753383"/>
        <c:axId val="35847352"/>
      </c:barChart>
      <c:catAx>
        <c:axId val="2675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5847352"/>
        <c:crosses val="autoZero"/>
        <c:auto val="1"/>
        <c:lblOffset val="100"/>
        <c:noMultiLvlLbl val="0"/>
      </c:catAx>
      <c:valAx>
        <c:axId val="3584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7533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'Thermal shield'!#REF!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'Thermal shield'!#REF!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'Thermal shield'!#REF!</c:f>
              <c:numCache>
                <c:ptCount val="1"/>
                <c:pt idx="0">
                  <c:v>1</c:v>
                </c:pt>
              </c:numCache>
            </c:numRef>
          </c:val>
        </c:ser>
        <c:axId val="11689785"/>
        <c:axId val="35928554"/>
      </c:barChart>
      <c:catAx>
        <c:axId val="1168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928554"/>
        <c:crosses val="autoZero"/>
        <c:auto val="1"/>
        <c:lblOffset val="100"/>
        <c:noMultiLvlLbl val="0"/>
      </c:catAx>
      <c:valAx>
        <c:axId val="35928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Delta T (mK)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689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'Thermal shield'!#REF!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'Thermal shield'!#REF!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'Thermal shield'!#REF!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'Thermal shield'!#REF!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'Thermal shield'!#REF!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'Thermal shield'!#REF!</c:f>
              <c:numCache>
                <c:ptCount val="1"/>
                <c:pt idx="0">
                  <c:v>1</c:v>
                </c:pt>
              </c:numCache>
            </c:numRef>
          </c:val>
        </c:ser>
        <c:axId val="15668683"/>
        <c:axId val="29567964"/>
      </c:barChart>
      <c:catAx>
        <c:axId val="15668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9567964"/>
        <c:crosses val="autoZero"/>
        <c:auto val="1"/>
        <c:lblOffset val="100"/>
        <c:noMultiLvlLbl val="0"/>
      </c:catAx>
      <c:valAx>
        <c:axId val="29567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56686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'Trace Tube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'Trace Tube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'Trace Tube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39544093"/>
        <c:axId val="58612366"/>
      </c:barChart>
      <c:catAx>
        <c:axId val="39544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612366"/>
        <c:crosses val="autoZero"/>
        <c:auto val="1"/>
        <c:lblOffset val="100"/>
        <c:noMultiLvlLbl val="0"/>
      </c:catAx>
      <c:valAx>
        <c:axId val="5861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Delta T (mK)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544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'Trace Tube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'Trace Tube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'Trace Tube Helium'!#REF!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'Trace Tube Helium'!#REF!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'Trace Tube Helium'!#REF!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'Trace Tube Helium'!#REF!</c:f>
              <c:numCache>
                <c:ptCount val="1"/>
                <c:pt idx="0">
                  <c:v>1</c:v>
                </c:pt>
              </c:numCache>
            </c:numRef>
          </c:val>
        </c:ser>
        <c:axId val="53433647"/>
        <c:axId val="1003008"/>
      </c:barChart>
      <c:catAx>
        <c:axId val="5343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003008"/>
        <c:crosses val="autoZero"/>
        <c:auto val="1"/>
        <c:lblOffset val="100"/>
        <c:noMultiLvlLbl val="0"/>
      </c:catAx>
      <c:valAx>
        <c:axId val="1003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34336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20</xdr:row>
      <xdr:rowOff>28575</xdr:rowOff>
    </xdr:from>
    <xdr:to>
      <xdr:col>33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7755850" y="3419475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0</xdr:colOff>
      <xdr:row>44</xdr:row>
      <xdr:rowOff>142875</xdr:rowOff>
    </xdr:from>
    <xdr:to>
      <xdr:col>33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27755850" y="7448550"/>
        <a:ext cx="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209550</xdr:colOff>
      <xdr:row>18</xdr:row>
      <xdr:rowOff>9525</xdr:rowOff>
    </xdr:from>
    <xdr:to>
      <xdr:col>48</xdr:col>
      <xdr:colOff>123825</xdr:colOff>
      <xdr:row>40</xdr:row>
      <xdr:rowOff>47625</xdr:rowOff>
    </xdr:to>
    <xdr:graphicFrame>
      <xdr:nvGraphicFramePr>
        <xdr:cNvPr id="3" name="Chart 3"/>
        <xdr:cNvGraphicFramePr/>
      </xdr:nvGraphicFramePr>
      <xdr:xfrm>
        <a:off x="34032825" y="3076575"/>
        <a:ext cx="684847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0</xdr:colOff>
      <xdr:row>120</xdr:row>
      <xdr:rowOff>28575</xdr:rowOff>
    </xdr:from>
    <xdr:to>
      <xdr:col>33</xdr:col>
      <xdr:colOff>0</xdr:colOff>
      <xdr:row>143</xdr:row>
      <xdr:rowOff>57150</xdr:rowOff>
    </xdr:to>
    <xdr:graphicFrame>
      <xdr:nvGraphicFramePr>
        <xdr:cNvPr id="4" name="Chart 4"/>
        <xdr:cNvGraphicFramePr/>
      </xdr:nvGraphicFramePr>
      <xdr:xfrm>
        <a:off x="27755850" y="19945350"/>
        <a:ext cx="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144</xdr:row>
      <xdr:rowOff>142875</xdr:rowOff>
    </xdr:from>
    <xdr:to>
      <xdr:col>33</xdr:col>
      <xdr:colOff>0</xdr:colOff>
      <xdr:row>167</xdr:row>
      <xdr:rowOff>19050</xdr:rowOff>
    </xdr:to>
    <xdr:graphicFrame>
      <xdr:nvGraphicFramePr>
        <xdr:cNvPr id="5" name="Chart 5"/>
        <xdr:cNvGraphicFramePr/>
      </xdr:nvGraphicFramePr>
      <xdr:xfrm>
        <a:off x="27755850" y="23974425"/>
        <a:ext cx="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20</xdr:row>
      <xdr:rowOff>28575</xdr:rowOff>
    </xdr:from>
    <xdr:to>
      <xdr:col>35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9565600" y="34194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44</xdr:row>
      <xdr:rowOff>142875</xdr:rowOff>
    </xdr:from>
    <xdr:to>
      <xdr:col>35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29565600" y="7439025"/>
        <a:ext cx="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20</xdr:row>
      <xdr:rowOff>28575</xdr:rowOff>
    </xdr:from>
    <xdr:to>
      <xdr:col>35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9727525" y="34194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44</xdr:row>
      <xdr:rowOff>142875</xdr:rowOff>
    </xdr:from>
    <xdr:to>
      <xdr:col>35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29727525" y="7439025"/>
        <a:ext cx="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20</xdr:row>
      <xdr:rowOff>28575</xdr:rowOff>
    </xdr:from>
    <xdr:to>
      <xdr:col>36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31032450" y="3419475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44</xdr:row>
      <xdr:rowOff>142875</xdr:rowOff>
    </xdr:from>
    <xdr:to>
      <xdr:col>36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31032450" y="7448550"/>
        <a:ext cx="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390525</xdr:colOff>
      <xdr:row>18</xdr:row>
      <xdr:rowOff>104775</xdr:rowOff>
    </xdr:from>
    <xdr:to>
      <xdr:col>44</xdr:col>
      <xdr:colOff>304800</xdr:colOff>
      <xdr:row>40</xdr:row>
      <xdr:rowOff>142875</xdr:rowOff>
    </xdr:to>
    <xdr:graphicFrame>
      <xdr:nvGraphicFramePr>
        <xdr:cNvPr id="3" name="Chart 3"/>
        <xdr:cNvGraphicFramePr/>
      </xdr:nvGraphicFramePr>
      <xdr:xfrm>
        <a:off x="31422975" y="3171825"/>
        <a:ext cx="684847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20</xdr:row>
      <xdr:rowOff>28575</xdr:rowOff>
    </xdr:from>
    <xdr:to>
      <xdr:col>35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9565600" y="34194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44</xdr:row>
      <xdr:rowOff>142875</xdr:rowOff>
    </xdr:from>
    <xdr:to>
      <xdr:col>35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29565600" y="7439025"/>
        <a:ext cx="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18</xdr:row>
      <xdr:rowOff>28575</xdr:rowOff>
    </xdr:from>
    <xdr:to>
      <xdr:col>35</xdr:col>
      <xdr:colOff>0</xdr:colOff>
      <xdr:row>41</xdr:row>
      <xdr:rowOff>57150</xdr:rowOff>
    </xdr:to>
    <xdr:graphicFrame>
      <xdr:nvGraphicFramePr>
        <xdr:cNvPr id="1" name="Chart 5"/>
        <xdr:cNvGraphicFramePr/>
      </xdr:nvGraphicFramePr>
      <xdr:xfrm>
        <a:off x="29565600" y="309562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42</xdr:row>
      <xdr:rowOff>142875</xdr:rowOff>
    </xdr:from>
    <xdr:to>
      <xdr:col>35</xdr:col>
      <xdr:colOff>0</xdr:colOff>
      <xdr:row>65</xdr:row>
      <xdr:rowOff>19050</xdr:rowOff>
    </xdr:to>
    <xdr:graphicFrame>
      <xdr:nvGraphicFramePr>
        <xdr:cNvPr id="2" name="Chart 6"/>
        <xdr:cNvGraphicFramePr/>
      </xdr:nvGraphicFramePr>
      <xdr:xfrm>
        <a:off x="29565600" y="7115175"/>
        <a:ext cx="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20</xdr:row>
      <xdr:rowOff>28575</xdr:rowOff>
    </xdr:from>
    <xdr:to>
      <xdr:col>35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9794200" y="34194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44</xdr:row>
      <xdr:rowOff>142875</xdr:rowOff>
    </xdr:from>
    <xdr:to>
      <xdr:col>35</xdr:col>
      <xdr:colOff>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29794200" y="7439025"/>
        <a:ext cx="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oleObject" Target="../embeddings/oleObject_11_6.bin" /><Relationship Id="rId8" Type="http://schemas.openxmlformats.org/officeDocument/2006/relationships/oleObject" Target="../embeddings/oleObject_11_7.bin" /><Relationship Id="rId9" Type="http://schemas.openxmlformats.org/officeDocument/2006/relationships/oleObject" Target="../embeddings/oleObject_1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workbookViewId="0" topLeftCell="A1">
      <selection activeCell="H1" sqref="B1:H16384"/>
    </sheetView>
  </sheetViews>
  <sheetFormatPr defaultColWidth="9.00390625" defaultRowHeight="12.75"/>
  <cols>
    <col min="1" max="1" width="23.00390625" style="45" customWidth="1"/>
    <col min="2" max="2" width="6.125" style="45" bestFit="1" customWidth="1"/>
    <col min="3" max="4" width="14.625" style="45" customWidth="1"/>
    <col min="5" max="5" width="12.625" style="45" customWidth="1"/>
    <col min="6" max="7" width="16.125" style="45" customWidth="1"/>
    <col min="8" max="8" width="16.25390625" style="45" bestFit="1" customWidth="1"/>
    <col min="9" max="9" width="16.25390625" style="45" customWidth="1"/>
    <col min="10" max="10" width="26.25390625" style="45" bestFit="1" customWidth="1"/>
    <col min="11" max="11" width="8.375" style="45" customWidth="1"/>
    <col min="12" max="12" width="15.00390625" style="45" bestFit="1" customWidth="1"/>
    <col min="13" max="13" width="15.00390625" style="45" customWidth="1"/>
    <col min="14" max="14" width="11.25390625" style="45" bestFit="1" customWidth="1"/>
    <col min="15" max="15" width="11.875" style="45" bestFit="1" customWidth="1"/>
    <col min="16" max="16" width="9.125" style="45" customWidth="1"/>
    <col min="17" max="17" width="22.75390625" style="45" bestFit="1" customWidth="1"/>
    <col min="18" max="18" width="6.375" style="45" bestFit="1" customWidth="1"/>
    <col min="19" max="19" width="11.875" style="45" bestFit="1" customWidth="1"/>
    <col min="20" max="16384" width="9.125" style="45" customWidth="1"/>
  </cols>
  <sheetData>
    <row r="2" spans="2:15" ht="12.75">
      <c r="B2" s="46"/>
      <c r="C2" s="46"/>
      <c r="D2" s="46" t="s">
        <v>296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3" ht="12.75">
      <c r="A3" s="46"/>
      <c r="B3" s="46"/>
      <c r="C3" s="46"/>
      <c r="D3" s="46" t="s">
        <v>159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ht="12.75">
      <c r="A4" s="47" t="s">
        <v>137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2.75">
      <c r="A5" s="48">
        <v>36901</v>
      </c>
    </row>
    <row r="6" spans="1:8" ht="12.75">
      <c r="A6" s="66" t="s">
        <v>294</v>
      </c>
      <c r="D6" s="46"/>
      <c r="E6" s="46"/>
      <c r="F6" s="46"/>
      <c r="G6" s="76" t="s">
        <v>248</v>
      </c>
      <c r="H6" s="46"/>
    </row>
    <row r="7" spans="1:7" ht="12.75">
      <c r="A7" s="48"/>
      <c r="C7" s="66"/>
      <c r="D7" s="66"/>
      <c r="F7" s="66"/>
      <c r="G7" s="75" t="s">
        <v>244</v>
      </c>
    </row>
    <row r="8" spans="3:15" ht="12.75">
      <c r="C8" s="66" t="s">
        <v>207</v>
      </c>
      <c r="F8" s="66" t="s">
        <v>219</v>
      </c>
      <c r="G8" s="75" t="s">
        <v>242</v>
      </c>
      <c r="K8" s="49"/>
      <c r="L8" s="103" t="s">
        <v>276</v>
      </c>
      <c r="M8" s="103"/>
      <c r="N8" s="103" t="s">
        <v>281</v>
      </c>
      <c r="O8" s="103"/>
    </row>
    <row r="9" spans="1:15" ht="12.75">
      <c r="A9" s="50"/>
      <c r="C9" s="66" t="s">
        <v>208</v>
      </c>
      <c r="D9" s="66" t="s">
        <v>204</v>
      </c>
      <c r="E9" s="45" t="s">
        <v>160</v>
      </c>
      <c r="F9" s="66" t="s">
        <v>220</v>
      </c>
      <c r="G9" s="75" t="s">
        <v>245</v>
      </c>
      <c r="H9" s="45" t="s">
        <v>161</v>
      </c>
      <c r="J9" s="46" t="s">
        <v>196</v>
      </c>
      <c r="L9" s="66" t="s">
        <v>286</v>
      </c>
      <c r="M9" s="66" t="s">
        <v>271</v>
      </c>
      <c r="N9" s="66" t="s">
        <v>287</v>
      </c>
      <c r="O9" s="66" t="s">
        <v>273</v>
      </c>
    </row>
    <row r="10" spans="1:15" ht="12.75">
      <c r="A10" s="51"/>
      <c r="C10" s="66" t="s">
        <v>221</v>
      </c>
      <c r="D10" s="66" t="s">
        <v>213</v>
      </c>
      <c r="E10" s="45" t="s">
        <v>162</v>
      </c>
      <c r="F10" s="66" t="s">
        <v>205</v>
      </c>
      <c r="G10" s="75" t="s">
        <v>243</v>
      </c>
      <c r="I10" s="52"/>
      <c r="L10" s="66" t="s">
        <v>270</v>
      </c>
      <c r="M10" s="66" t="s">
        <v>270</v>
      </c>
      <c r="N10" s="66" t="s">
        <v>272</v>
      </c>
      <c r="O10" s="66" t="s">
        <v>272</v>
      </c>
    </row>
    <row r="11" spans="1:15" ht="12.75">
      <c r="A11" s="52" t="s">
        <v>163</v>
      </c>
      <c r="B11" s="52" t="s">
        <v>99</v>
      </c>
      <c r="C11" s="62">
        <v>77</v>
      </c>
      <c r="D11" s="62">
        <f>'Supply helium'!P188</f>
        <v>77.54757562313371</v>
      </c>
      <c r="E11" s="62">
        <f>'Thermal shield'!R174</f>
        <v>85.52757562313344</v>
      </c>
      <c r="F11" s="62">
        <f>'Return helium'!R114</f>
        <v>77.54757562313371</v>
      </c>
      <c r="G11" s="62">
        <f>C11</f>
        <v>77</v>
      </c>
      <c r="H11" s="55">
        <v>4.5</v>
      </c>
      <c r="I11" s="55"/>
      <c r="J11" s="54" t="s">
        <v>163</v>
      </c>
      <c r="K11" s="54" t="s">
        <v>99</v>
      </c>
      <c r="L11" s="83">
        <f>D11</f>
        <v>77.54757562313371</v>
      </c>
      <c r="M11" s="83">
        <v>4.5</v>
      </c>
      <c r="N11" s="83">
        <v>80</v>
      </c>
      <c r="O11" s="83">
        <v>4.5</v>
      </c>
    </row>
    <row r="12" spans="1:15" ht="12" customHeight="1">
      <c r="A12" s="52" t="s">
        <v>164</v>
      </c>
      <c r="B12" s="52" t="s">
        <v>72</v>
      </c>
      <c r="C12" s="55">
        <v>20</v>
      </c>
      <c r="D12" s="55">
        <f>'Supply helium'!AG190</f>
        <v>19.106309119300043</v>
      </c>
      <c r="E12" s="72">
        <f>'Thermal shield'!AI175</f>
        <v>19.027321352606062</v>
      </c>
      <c r="F12" s="55">
        <f>'Trace Tube Helium'!AI175</f>
        <v>17.25090293323625</v>
      </c>
      <c r="G12" s="55">
        <f>C12</f>
        <v>20</v>
      </c>
      <c r="H12" s="55">
        <v>4</v>
      </c>
      <c r="I12" s="55"/>
      <c r="J12" s="54" t="s">
        <v>165</v>
      </c>
      <c r="K12" s="54" t="s">
        <v>72</v>
      </c>
      <c r="L12" s="83">
        <f>D12</f>
        <v>19.106309119300043</v>
      </c>
      <c r="M12" s="83">
        <v>4</v>
      </c>
      <c r="N12" s="82">
        <v>2</v>
      </c>
      <c r="O12" s="83">
        <v>4</v>
      </c>
    </row>
    <row r="13" spans="1:15" ht="12" customHeight="1">
      <c r="A13" s="52" t="s">
        <v>166</v>
      </c>
      <c r="B13" s="52" t="s">
        <v>12</v>
      </c>
      <c r="C13" s="72">
        <f>15.1+5.217*C11</f>
        <v>416.80899999999997</v>
      </c>
      <c r="D13" s="72">
        <f>15.1+5.217*D11</f>
        <v>419.66570202588855</v>
      </c>
      <c r="E13" s="72">
        <f>15.1+5.217*E11</f>
        <v>461.2973620258872</v>
      </c>
      <c r="F13" s="72">
        <f>15.1+5.217*F11</f>
        <v>419.66570202588855</v>
      </c>
      <c r="G13" s="72">
        <f>15.1+5.217*G11</f>
        <v>416.80899999999997</v>
      </c>
      <c r="H13" s="55">
        <v>12.09</v>
      </c>
      <c r="I13" s="55"/>
      <c r="J13" s="58" t="s">
        <v>166</v>
      </c>
      <c r="K13" s="58" t="s">
        <v>12</v>
      </c>
      <c r="L13" s="84">
        <f>15.1+5.217*L11</f>
        <v>419.66570202588855</v>
      </c>
      <c r="M13" s="84">
        <v>12.1</v>
      </c>
      <c r="N13" s="85">
        <f>15.1+5.217*N11</f>
        <v>432.46</v>
      </c>
      <c r="O13" s="84">
        <v>12.1</v>
      </c>
    </row>
    <row r="14" spans="1:15" ht="12" customHeight="1">
      <c r="A14" s="52" t="s">
        <v>167</v>
      </c>
      <c r="B14" s="52" t="s">
        <v>123</v>
      </c>
      <c r="C14" s="55">
        <f>2.0234-5.0309*LOG(C12)+(11.953+0.008775*C12)*LOG(C11)</f>
        <v>18.358350955068524</v>
      </c>
      <c r="D14" s="55">
        <f>2.0234-5.0309*LOG(D12)+(11.953+0.008775*D12)*LOG(D11)</f>
        <v>18.480737600294276</v>
      </c>
      <c r="E14" s="55">
        <f>2.0234-5.0309*LOG(E12)+(11.953+0.008775*E12)*LOG(E11)</f>
        <v>19.00403752760081</v>
      </c>
      <c r="F14" s="55">
        <f>2.0234-5.0309*LOG(F12)+(11.953+0.008775*F12)*LOG(F11)</f>
        <v>18.673168901750792</v>
      </c>
      <c r="G14" s="55">
        <f>2.0234-5.0309*LOG(G12)+(11.953+0.008775*G12)*LOG(G11)</f>
        <v>18.358350955068524</v>
      </c>
      <c r="H14" s="55">
        <v>3.522</v>
      </c>
      <c r="I14" s="55"/>
      <c r="J14" s="58" t="s">
        <v>168</v>
      </c>
      <c r="K14" s="58" t="s">
        <v>123</v>
      </c>
      <c r="L14" s="84">
        <f>2.0234-5.0309*LOG(L12)+(11.953+0.008775*L12)*LOG(L11)</f>
        <v>18.480737600294276</v>
      </c>
      <c r="M14" s="84">
        <v>3.5</v>
      </c>
      <c r="N14" s="84">
        <f>2.0234-5.0309*LOG(N12)+(11.953+0.008775*N12)*LOG(N11)</f>
        <v>23.289982038600485</v>
      </c>
      <c r="O14" s="84">
        <v>3.5</v>
      </c>
    </row>
    <row r="15" spans="1:15" ht="12" customHeight="1">
      <c r="A15" s="52" t="s">
        <v>169</v>
      </c>
      <c r="B15" s="52" t="s">
        <v>99</v>
      </c>
      <c r="C15" s="62">
        <f>'Supply helium'!P188</f>
        <v>77.54757562313371</v>
      </c>
      <c r="D15" s="62">
        <f>'Thermal shield'!R174</f>
        <v>85.52757562313344</v>
      </c>
      <c r="E15" s="62">
        <f>'Trace Tube Helium'!R174</f>
        <v>104.52757562313322</v>
      </c>
      <c r="F15" s="62">
        <f>'Return helium'!S188</f>
        <v>106.62784635200588</v>
      </c>
      <c r="G15" s="62">
        <f>'Return helium'!S188</f>
        <v>106.62784635200588</v>
      </c>
      <c r="H15" s="55">
        <v>5.5</v>
      </c>
      <c r="I15" s="55"/>
      <c r="J15" s="54" t="s">
        <v>169</v>
      </c>
      <c r="K15" s="54" t="s">
        <v>99</v>
      </c>
      <c r="L15" s="83">
        <f>D15</f>
        <v>85.52757562313344</v>
      </c>
      <c r="M15" s="83">
        <v>5.5</v>
      </c>
      <c r="N15" s="83">
        <v>300</v>
      </c>
      <c r="O15" s="83">
        <f>N15</f>
        <v>300</v>
      </c>
    </row>
    <row r="16" spans="1:16" ht="12" customHeight="1">
      <c r="A16" s="52" t="s">
        <v>170</v>
      </c>
      <c r="B16" s="52" t="s">
        <v>72</v>
      </c>
      <c r="C16" s="55">
        <f>'Supply helium'!AG190</f>
        <v>19.106309119300043</v>
      </c>
      <c r="D16" s="55">
        <f>'Thermal shield'!AI175</f>
        <v>19.027321352606062</v>
      </c>
      <c r="E16" s="55">
        <f>'Trace Tube Helium'!AI175</f>
        <v>17.25090293323625</v>
      </c>
      <c r="F16" s="55">
        <f>'Return helium'!AJ190</f>
        <v>16.598489940027495</v>
      </c>
      <c r="G16" s="55">
        <f>'Return helium'!AJ190</f>
        <v>16.598489940027495</v>
      </c>
      <c r="H16" s="55">
        <v>1.8</v>
      </c>
      <c r="I16" s="55"/>
      <c r="J16" s="54" t="s">
        <v>170</v>
      </c>
      <c r="K16" s="54" t="s">
        <v>72</v>
      </c>
      <c r="L16" s="83">
        <f>D16</f>
        <v>19.027321352606062</v>
      </c>
      <c r="M16" s="83">
        <v>1.8</v>
      </c>
      <c r="N16" s="83">
        <v>1.6</v>
      </c>
      <c r="O16" s="83">
        <f>N16</f>
        <v>1.6</v>
      </c>
      <c r="P16" s="58"/>
    </row>
    <row r="17" spans="1:16" ht="12" customHeight="1">
      <c r="A17" s="52" t="s">
        <v>171</v>
      </c>
      <c r="B17" s="52" t="s">
        <v>12</v>
      </c>
      <c r="C17" s="72">
        <f>15.1+5.217*C15</f>
        <v>419.66570202588855</v>
      </c>
      <c r="D17" s="72">
        <f>15.1+5.217*D15</f>
        <v>461.2973620258872</v>
      </c>
      <c r="E17" s="72">
        <f>15.1+5.217*E15</f>
        <v>560.420362025886</v>
      </c>
      <c r="F17" s="72">
        <f>15.1+5.217*F15</f>
        <v>571.3774744184146</v>
      </c>
      <c r="G17" s="72">
        <f>15.1+5.217*G15</f>
        <v>571.3774744184146</v>
      </c>
      <c r="H17" s="55">
        <v>35.9</v>
      </c>
      <c r="I17" s="55"/>
      <c r="J17" s="58" t="s">
        <v>172</v>
      </c>
      <c r="K17" s="58" t="s">
        <v>12</v>
      </c>
      <c r="L17" s="58">
        <f>15.1+5.217*L15</f>
        <v>461.2973620258872</v>
      </c>
      <c r="M17" s="58">
        <v>35.9</v>
      </c>
      <c r="N17" s="57">
        <f>15.1+5.217*N15</f>
        <v>1580.1999999999998</v>
      </c>
      <c r="O17" s="58">
        <f>N17</f>
        <v>1580.1999999999998</v>
      </c>
      <c r="P17" s="58"/>
    </row>
    <row r="18" spans="1:16" ht="12" customHeight="1">
      <c r="A18" s="52" t="s">
        <v>173</v>
      </c>
      <c r="B18" s="52" t="s">
        <v>123</v>
      </c>
      <c r="C18" s="55">
        <f>2.0234-5.0309*LOG(C16)+(11.953+0.008775*C16)*LOG(C15)</f>
        <v>18.480737600294276</v>
      </c>
      <c r="D18" s="55">
        <f>2.0234-5.0309*LOG(D16)+(11.953+0.008775*D16)*LOG(D15)</f>
        <v>19.00403752760081</v>
      </c>
      <c r="E18" s="55">
        <f>2.0234-5.0309*LOG(E16)+(11.953+0.008775*E16)*LOG(E15)</f>
        <v>20.24265449000677</v>
      </c>
      <c r="F18" s="55">
        <f>2.0234-5.0309*LOG(F16)+(11.953+0.008775*F16)*LOG(F15)</f>
        <v>20.41985761864108</v>
      </c>
      <c r="G18" s="55">
        <f>2.0234-5.0309*LOG(G16)+(11.953+0.008775*G16)*LOG(G15)</f>
        <v>20.41985761864108</v>
      </c>
      <c r="H18" s="55">
        <v>8.706</v>
      </c>
      <c r="I18" s="55"/>
      <c r="J18" s="58" t="s">
        <v>174</v>
      </c>
      <c r="K18" s="58" t="s">
        <v>123</v>
      </c>
      <c r="L18" s="58">
        <f>2.0234-5.0309*LOG(L16)+(11.953+0.008775*L16)*LOG(L15)</f>
        <v>19.00403752760081</v>
      </c>
      <c r="M18" s="58">
        <v>8.7</v>
      </c>
      <c r="N18" s="58">
        <f>2.0234-5.0309*LOG(N16)+(11.953+0.008775*N16)*LOG(N15)</f>
        <v>30.640301919336697</v>
      </c>
      <c r="O18" s="58">
        <f>N18</f>
        <v>30.640301919336697</v>
      </c>
      <c r="P18" s="58"/>
    </row>
    <row r="19" spans="1:16" ht="12" customHeight="1" hidden="1">
      <c r="A19" s="52"/>
      <c r="B19" s="52"/>
      <c r="C19" s="55"/>
      <c r="D19" s="55"/>
      <c r="E19" s="52"/>
      <c r="F19" s="55"/>
      <c r="G19" s="55"/>
      <c r="H19" s="55"/>
      <c r="I19" s="55"/>
      <c r="J19" s="58"/>
      <c r="K19" s="58"/>
      <c r="L19" s="58"/>
      <c r="M19" s="58"/>
      <c r="N19" s="58"/>
      <c r="O19" s="58"/>
      <c r="P19" s="58"/>
    </row>
    <row r="20" spans="1:15" ht="12" customHeight="1" hidden="1">
      <c r="A20" s="52"/>
      <c r="B20" s="52"/>
      <c r="C20" s="52"/>
      <c r="D20" s="52"/>
      <c r="E20" s="52"/>
      <c r="F20" s="52"/>
      <c r="G20" s="52"/>
      <c r="H20" s="52"/>
      <c r="I20" s="59"/>
      <c r="J20" s="56" t="s">
        <v>249</v>
      </c>
      <c r="K20" s="56"/>
      <c r="L20" s="106"/>
      <c r="M20" s="106"/>
      <c r="N20" s="102">
        <v>6</v>
      </c>
      <c r="O20" s="102"/>
    </row>
    <row r="21" spans="1:15" ht="12" customHeight="1">
      <c r="A21" s="52"/>
      <c r="B21" s="52"/>
      <c r="C21" s="52"/>
      <c r="D21" s="52"/>
      <c r="E21" s="52"/>
      <c r="F21" s="52"/>
      <c r="G21" s="52"/>
      <c r="H21" s="52"/>
      <c r="I21" s="59"/>
      <c r="J21" s="56" t="s">
        <v>175</v>
      </c>
      <c r="K21" s="56" t="s">
        <v>176</v>
      </c>
      <c r="L21" s="104"/>
      <c r="M21" s="104"/>
      <c r="N21" s="105">
        <v>25</v>
      </c>
      <c r="O21" s="105"/>
    </row>
    <row r="22" spans="1:15" ht="12" customHeight="1">
      <c r="A22" s="94" t="s">
        <v>177</v>
      </c>
      <c r="B22" s="94" t="s">
        <v>33</v>
      </c>
      <c r="C22" s="59">
        <v>0.1</v>
      </c>
      <c r="D22" s="59">
        <v>4.2</v>
      </c>
      <c r="E22" s="59">
        <v>10</v>
      </c>
      <c r="F22" s="59">
        <v>2.2</v>
      </c>
      <c r="G22" s="59">
        <f>C22+D22+E22+F22*(E25/C25)+L27/10000</f>
        <v>16.51951546391753</v>
      </c>
      <c r="H22" s="95">
        <v>0.83</v>
      </c>
      <c r="I22" s="55"/>
      <c r="J22" s="45" t="s">
        <v>178</v>
      </c>
      <c r="K22" s="45" t="s">
        <v>14</v>
      </c>
      <c r="L22" s="60"/>
      <c r="M22" s="61"/>
      <c r="N22" s="86">
        <f>0.0395*N21</f>
        <v>0.9875</v>
      </c>
      <c r="O22" s="87">
        <f>0.006*N21</f>
        <v>0.15</v>
      </c>
    </row>
    <row r="23" spans="1:15" ht="12" customHeight="1">
      <c r="A23" s="53" t="s">
        <v>183</v>
      </c>
      <c r="B23" s="53"/>
      <c r="C23" s="63">
        <v>1.25</v>
      </c>
      <c r="D23" s="63">
        <v>1.25</v>
      </c>
      <c r="E23" s="63">
        <v>1.25</v>
      </c>
      <c r="F23" s="63">
        <v>1.25</v>
      </c>
      <c r="G23" s="63"/>
      <c r="H23" s="63">
        <v>1.25</v>
      </c>
      <c r="I23" s="55"/>
      <c r="J23" s="56" t="s">
        <v>250</v>
      </c>
      <c r="K23" s="56"/>
      <c r="L23" s="104">
        <v>1000</v>
      </c>
      <c r="M23" s="104"/>
      <c r="N23" s="102">
        <v>0</v>
      </c>
      <c r="O23" s="102"/>
    </row>
    <row r="24" spans="1:15" ht="12.75">
      <c r="A24" s="94" t="s">
        <v>184</v>
      </c>
      <c r="B24" s="94" t="s">
        <v>33</v>
      </c>
      <c r="C24" s="95">
        <f>C23*C22</f>
        <v>0.125</v>
      </c>
      <c r="D24" s="95">
        <f>D23*D22</f>
        <v>5.25</v>
      </c>
      <c r="E24" s="95">
        <f>E23*E22</f>
        <v>12.5</v>
      </c>
      <c r="F24" s="95">
        <f>F23*F22</f>
        <v>2.75</v>
      </c>
      <c r="G24" s="95">
        <f>C24+D24+E24+F24+L32/20000</f>
        <v>20.903125</v>
      </c>
      <c r="H24" s="95">
        <f>H23*H22</f>
        <v>1.0374999999999999</v>
      </c>
      <c r="I24" s="55"/>
      <c r="J24" s="56" t="s">
        <v>197</v>
      </c>
      <c r="K24" s="56" t="s">
        <v>176</v>
      </c>
      <c r="L24" s="104">
        <v>0.1</v>
      </c>
      <c r="M24" s="104"/>
      <c r="N24" s="105">
        <v>0.1</v>
      </c>
      <c r="O24" s="105"/>
    </row>
    <row r="25" spans="1:15" ht="12.75">
      <c r="A25" s="97" t="s">
        <v>179</v>
      </c>
      <c r="B25" s="97" t="s">
        <v>26</v>
      </c>
      <c r="C25" s="72">
        <v>9700</v>
      </c>
      <c r="D25" s="72">
        <f>C25</f>
        <v>9700</v>
      </c>
      <c r="E25" s="72">
        <v>7824</v>
      </c>
      <c r="F25" s="72">
        <f>C25</f>
        <v>9700</v>
      </c>
      <c r="G25" s="72">
        <f>F25</f>
        <v>9700</v>
      </c>
      <c r="H25" s="72">
        <f>C25</f>
        <v>9700</v>
      </c>
      <c r="I25" s="55"/>
      <c r="J25" s="66" t="s">
        <v>274</v>
      </c>
      <c r="K25" s="45" t="s">
        <v>14</v>
      </c>
      <c r="N25" s="87">
        <f>0.0395*N24</f>
        <v>0.00395</v>
      </c>
      <c r="O25" s="88">
        <f>0.006*N24</f>
        <v>0.0006000000000000001</v>
      </c>
    </row>
    <row r="26" spans="1:15" ht="12.75">
      <c r="A26" s="78" t="s">
        <v>246</v>
      </c>
      <c r="B26" s="52" t="s">
        <v>180</v>
      </c>
      <c r="C26" s="55">
        <f aca="true" t="shared" si="0" ref="C26:H26">C24*C25/1000</f>
        <v>1.2125</v>
      </c>
      <c r="D26" s="55">
        <f t="shared" si="0"/>
        <v>50.925</v>
      </c>
      <c r="E26" s="55">
        <f t="shared" si="0"/>
        <v>97.8</v>
      </c>
      <c r="F26" s="55">
        <f t="shared" si="0"/>
        <v>26.675</v>
      </c>
      <c r="G26" s="55">
        <f t="shared" si="0"/>
        <v>202.7603125</v>
      </c>
      <c r="H26" s="55">
        <f t="shared" si="0"/>
        <v>10.063749999999999</v>
      </c>
      <c r="I26" s="55"/>
      <c r="J26" s="80" t="s">
        <v>275</v>
      </c>
      <c r="K26" s="80" t="s">
        <v>216</v>
      </c>
      <c r="L26" s="89">
        <v>4.45</v>
      </c>
      <c r="M26" s="90">
        <v>0.04</v>
      </c>
      <c r="N26" s="58"/>
      <c r="O26" s="58"/>
    </row>
    <row r="27" spans="1:13" ht="12.75" hidden="1">
      <c r="A27" s="78" t="s">
        <v>247</v>
      </c>
      <c r="B27" s="52" t="s">
        <v>14</v>
      </c>
      <c r="C27" s="55">
        <f aca="true" t="shared" si="1" ref="C27:H27">C26*1000/(C17-C13)</f>
        <v>424.44048732133706</v>
      </c>
      <c r="D27" s="55">
        <f t="shared" si="1"/>
        <v>1223.2277069903448</v>
      </c>
      <c r="E27" s="55">
        <f t="shared" si="1"/>
        <v>986.6529463394085</v>
      </c>
      <c r="F27" s="55">
        <f t="shared" si="1"/>
        <v>175.82682991128323</v>
      </c>
      <c r="G27" s="55">
        <f t="shared" si="1"/>
        <v>1311.7830997744775</v>
      </c>
      <c r="H27" s="55">
        <f t="shared" si="1"/>
        <v>422.66904661906756</v>
      </c>
      <c r="I27" s="55"/>
      <c r="J27" s="66" t="s">
        <v>277</v>
      </c>
      <c r="K27" s="66" t="s">
        <v>216</v>
      </c>
      <c r="L27" s="84">
        <f>L23*L26</f>
        <v>4450</v>
      </c>
      <c r="M27" s="86">
        <f>L23*M26</f>
        <v>40</v>
      </c>
    </row>
    <row r="28" spans="1:13" ht="12.75">
      <c r="A28" s="78" t="s">
        <v>295</v>
      </c>
      <c r="B28" s="78" t="s">
        <v>14</v>
      </c>
      <c r="C28" s="55">
        <f>'Supply helium'!R114</f>
        <v>1349.8947875469016</v>
      </c>
      <c r="D28" s="55">
        <f>E28*2</f>
        <v>17.02430313852507</v>
      </c>
      <c r="E28" s="55">
        <f>E27/((E25/E29)*2)</f>
        <v>8.512151569262535</v>
      </c>
      <c r="F28" s="55">
        <f>'Return helium'!U188</f>
        <v>1349.8947875469016</v>
      </c>
      <c r="G28" s="55"/>
      <c r="H28" s="55">
        <f>H27</f>
        <v>422.66904661906756</v>
      </c>
      <c r="I28" s="55"/>
      <c r="J28" s="66"/>
      <c r="K28" s="66"/>
      <c r="L28" s="84"/>
      <c r="M28" s="86"/>
    </row>
    <row r="29" spans="1:15" ht="12.75" hidden="1">
      <c r="A29" s="78" t="s">
        <v>214</v>
      </c>
      <c r="B29" s="78" t="s">
        <v>26</v>
      </c>
      <c r="C29" s="52"/>
      <c r="D29" s="62">
        <v>135</v>
      </c>
      <c r="E29" s="62">
        <v>135</v>
      </c>
      <c r="F29" s="52"/>
      <c r="G29" s="52"/>
      <c r="H29" s="52"/>
      <c r="I29" s="55"/>
      <c r="J29" s="58" t="s">
        <v>181</v>
      </c>
      <c r="K29" s="58" t="s">
        <v>176</v>
      </c>
      <c r="L29" s="107">
        <f>L23*L24</f>
        <v>100</v>
      </c>
      <c r="M29" s="107"/>
      <c r="N29" s="107">
        <f>N20*N21+N23*N24</f>
        <v>150</v>
      </c>
      <c r="O29" s="107"/>
    </row>
    <row r="30" spans="1:15" ht="12.75" hidden="1">
      <c r="A30" s="78" t="s">
        <v>215</v>
      </c>
      <c r="B30" s="78" t="s">
        <v>216</v>
      </c>
      <c r="C30" s="52"/>
      <c r="D30" s="62">
        <f>D24*D29</f>
        <v>708.75</v>
      </c>
      <c r="E30" s="62">
        <f>E24*E29</f>
        <v>1687.5</v>
      </c>
      <c r="F30" s="52"/>
      <c r="G30" s="52"/>
      <c r="H30" s="52"/>
      <c r="I30" s="55"/>
      <c r="J30" s="52" t="s">
        <v>182</v>
      </c>
      <c r="K30" s="52" t="s">
        <v>14</v>
      </c>
      <c r="L30" s="52"/>
      <c r="M30" s="52"/>
      <c r="N30" s="84">
        <f>N25*N23+N22*N20</f>
        <v>5.925000000000001</v>
      </c>
      <c r="O30" s="84">
        <f>O25*N23+O22*N20</f>
        <v>0.8999999999999999</v>
      </c>
    </row>
    <row r="31" spans="1:15" ht="12.75" hidden="1">
      <c r="A31" s="78" t="s">
        <v>217</v>
      </c>
      <c r="B31" s="78" t="s">
        <v>14</v>
      </c>
      <c r="C31" s="52"/>
      <c r="D31" s="62">
        <f>D30/(D17-D13)</f>
        <v>17.024303138525415</v>
      </c>
      <c r="E31" s="62">
        <f>E30/(E17-E13)</f>
        <v>17.02430313852507</v>
      </c>
      <c r="F31" s="52"/>
      <c r="G31" s="52"/>
      <c r="H31" s="52"/>
      <c r="I31" s="62"/>
      <c r="J31" s="74" t="s">
        <v>278</v>
      </c>
      <c r="K31" s="53"/>
      <c r="L31" s="91">
        <v>1.25</v>
      </c>
      <c r="M31" s="91">
        <v>1.25</v>
      </c>
      <c r="N31" s="91">
        <v>1.25</v>
      </c>
      <c r="O31" s="91">
        <v>1.25</v>
      </c>
    </row>
    <row r="32" spans="1:15" ht="12.75" hidden="1">
      <c r="A32" s="78" t="s">
        <v>218</v>
      </c>
      <c r="B32" s="52"/>
      <c r="C32" s="52"/>
      <c r="D32" s="96">
        <f>D25/D29</f>
        <v>71.85185185185185</v>
      </c>
      <c r="E32" s="96">
        <f>E25/E29</f>
        <v>57.955555555555556</v>
      </c>
      <c r="F32" s="52"/>
      <c r="G32" s="52"/>
      <c r="H32" s="52"/>
      <c r="I32" s="55"/>
      <c r="J32" s="66" t="s">
        <v>279</v>
      </c>
      <c r="K32" s="66" t="s">
        <v>216</v>
      </c>
      <c r="L32" s="84">
        <f>L27*L31</f>
        <v>5562.5</v>
      </c>
      <c r="M32" s="86">
        <f>M27*M31</f>
        <v>50</v>
      </c>
      <c r="N32" s="49"/>
      <c r="O32" s="49"/>
    </row>
    <row r="33" spans="1:15" ht="12.75">
      <c r="A33" s="78"/>
      <c r="B33" s="52"/>
      <c r="C33" s="52"/>
      <c r="D33" s="52"/>
      <c r="E33" s="52"/>
      <c r="F33" s="52"/>
      <c r="G33" s="52"/>
      <c r="H33" s="52"/>
      <c r="I33" s="55"/>
      <c r="J33" s="45" t="s">
        <v>185</v>
      </c>
      <c r="K33" s="45" t="s">
        <v>14</v>
      </c>
      <c r="L33" s="86">
        <f>L32/(L17-L13)</f>
        <v>133.61225567273033</v>
      </c>
      <c r="M33" s="86">
        <f>M32/(M17-M13)</f>
        <v>2.100840336134454</v>
      </c>
      <c r="N33" s="86">
        <f>N30*N31</f>
        <v>7.406250000000001</v>
      </c>
      <c r="O33" s="86">
        <f>O30*O31</f>
        <v>1.125</v>
      </c>
    </row>
    <row r="34" spans="1:15" ht="12.75">
      <c r="A34" s="52" t="s">
        <v>186</v>
      </c>
      <c r="B34" s="52" t="s">
        <v>180</v>
      </c>
      <c r="C34" s="55">
        <f aca="true" t="shared" si="2" ref="C34:H34">C27*(300*(C18-C14)-(C17-C13))/1000</f>
        <v>14.371254202372592</v>
      </c>
      <c r="D34" s="55">
        <f t="shared" si="2"/>
        <v>141.10949104421618</v>
      </c>
      <c r="E34" s="55">
        <f t="shared" si="2"/>
        <v>268.8255226031426</v>
      </c>
      <c r="F34" s="55">
        <f t="shared" si="2"/>
        <v>65.45942197978778</v>
      </c>
      <c r="G34" s="55">
        <f t="shared" si="2"/>
        <v>608.514567904084</v>
      </c>
      <c r="H34" s="55">
        <f t="shared" si="2"/>
        <v>647.2711513019739</v>
      </c>
      <c r="I34" s="55"/>
      <c r="J34" s="55" t="s">
        <v>186</v>
      </c>
      <c r="K34" s="55" t="s">
        <v>180</v>
      </c>
      <c r="L34" s="92">
        <f>L33*(300*(L18-L14)-(L17-L13))/1000</f>
        <v>15.413285104240595</v>
      </c>
      <c r="M34" s="92">
        <f>M33*(300*(M18-M14)-(M17-M13))/1000</f>
        <v>3.2273109243697475</v>
      </c>
      <c r="N34" s="84">
        <f>N33*(300*(N18-N14)-(N17-N13))/1000</f>
        <v>7.8310426100107735</v>
      </c>
      <c r="O34" s="84">
        <f>O33*(300*(O18-O14)-(O17-O13))/1000</f>
        <v>7.395739397776134</v>
      </c>
    </row>
    <row r="35" spans="1:15" ht="12.75">
      <c r="A35" s="52" t="s">
        <v>187</v>
      </c>
      <c r="B35" s="52" t="s">
        <v>180</v>
      </c>
      <c r="C35" s="55">
        <f aca="true" t="shared" si="3" ref="C35:H35">C34/65.66</f>
        <v>0.21887380752928104</v>
      </c>
      <c r="D35" s="55">
        <f t="shared" si="3"/>
        <v>2.149093680234788</v>
      </c>
      <c r="E35" s="55">
        <f t="shared" si="3"/>
        <v>4.09420533967625</v>
      </c>
      <c r="F35" s="55">
        <f t="shared" si="3"/>
        <v>0.9969452022508039</v>
      </c>
      <c r="G35" s="55">
        <f t="shared" si="3"/>
        <v>9.267660187390861</v>
      </c>
      <c r="H35" s="55">
        <f t="shared" si="3"/>
        <v>9.85792189006966</v>
      </c>
      <c r="I35" s="55"/>
      <c r="J35" s="58" t="s">
        <v>188</v>
      </c>
      <c r="K35" s="58" t="s">
        <v>180</v>
      </c>
      <c r="L35" s="84">
        <f>L34/65.66</f>
        <v>0.234743909598547</v>
      </c>
      <c r="M35" s="84">
        <f>M34/65.66</f>
        <v>0.049151856904808826</v>
      </c>
      <c r="N35" s="84">
        <f>N34/65.66</f>
        <v>0.1192665642706484</v>
      </c>
      <c r="O35" s="84">
        <f>O34/65.66</f>
        <v>0.11263690828169562</v>
      </c>
    </row>
    <row r="36" spans="1:15" ht="12.75">
      <c r="A36" s="52"/>
      <c r="B36" s="52"/>
      <c r="C36" s="55"/>
      <c r="D36" s="55"/>
      <c r="E36" s="55"/>
      <c r="F36" s="55"/>
      <c r="G36" s="55"/>
      <c r="H36" s="55"/>
      <c r="I36" s="62"/>
      <c r="J36" s="58"/>
      <c r="K36" s="58"/>
      <c r="L36" s="84"/>
      <c r="M36" s="84"/>
      <c r="N36" s="84"/>
      <c r="O36" s="84"/>
    </row>
    <row r="37" spans="1:15" ht="12.75">
      <c r="A37" s="53" t="s">
        <v>189</v>
      </c>
      <c r="B37" s="53"/>
      <c r="C37" s="63">
        <v>0.3</v>
      </c>
      <c r="D37" s="63">
        <v>0.3</v>
      </c>
      <c r="E37" s="63">
        <v>0.3</v>
      </c>
      <c r="F37" s="63">
        <v>0.3</v>
      </c>
      <c r="G37" s="63">
        <v>0.3</v>
      </c>
      <c r="H37" s="63">
        <v>0.3</v>
      </c>
      <c r="I37" s="55"/>
      <c r="J37" s="63" t="s">
        <v>189</v>
      </c>
      <c r="K37" s="63"/>
      <c r="L37" s="93">
        <v>0.3</v>
      </c>
      <c r="M37" s="93">
        <v>0.3</v>
      </c>
      <c r="N37" s="93">
        <v>0.25</v>
      </c>
      <c r="O37" s="93">
        <v>0.25</v>
      </c>
    </row>
    <row r="38" spans="1:15" ht="12.75">
      <c r="A38" s="52" t="s">
        <v>190</v>
      </c>
      <c r="B38" s="52" t="s">
        <v>191</v>
      </c>
      <c r="C38" s="55">
        <f aca="true" t="shared" si="4" ref="C38:H38">(C34/C26)/C37</f>
        <v>39.50860261820644</v>
      </c>
      <c r="D38" s="55">
        <f t="shared" si="4"/>
        <v>9.236425530631072</v>
      </c>
      <c r="E38" s="55">
        <f t="shared" si="4"/>
        <v>9.162424083270027</v>
      </c>
      <c r="F38" s="55">
        <f t="shared" si="4"/>
        <v>8.179871537617966</v>
      </c>
      <c r="G38" s="55">
        <f t="shared" si="4"/>
        <v>10.003840830604428</v>
      </c>
      <c r="H38" s="55">
        <f t="shared" si="4"/>
        <v>214.39031219375613</v>
      </c>
      <c r="I38" s="55"/>
      <c r="L38" s="49"/>
      <c r="M38" s="49"/>
      <c r="N38" s="84"/>
      <c r="O38" s="84"/>
    </row>
    <row r="39" spans="1:15" ht="12.75">
      <c r="A39" s="52" t="s">
        <v>192</v>
      </c>
      <c r="B39" s="52" t="s">
        <v>180</v>
      </c>
      <c r="C39" s="55">
        <f aca="true" t="shared" si="5" ref="C39:H39">C34/C37</f>
        <v>47.90418067457531</v>
      </c>
      <c r="D39" s="55">
        <f t="shared" si="5"/>
        <v>470.3649701473873</v>
      </c>
      <c r="E39" s="55">
        <f t="shared" si="5"/>
        <v>896.0850753438086</v>
      </c>
      <c r="F39" s="55">
        <f t="shared" si="5"/>
        <v>218.19807326595927</v>
      </c>
      <c r="G39" s="55">
        <f t="shared" si="5"/>
        <v>2028.3818930136133</v>
      </c>
      <c r="H39" s="55">
        <f t="shared" si="5"/>
        <v>2157.570504339913</v>
      </c>
      <c r="I39" s="55"/>
      <c r="J39" s="45" t="s">
        <v>192</v>
      </c>
      <c r="K39" s="58" t="s">
        <v>180</v>
      </c>
      <c r="L39" s="84">
        <f>L34/L37</f>
        <v>51.37761701413532</v>
      </c>
      <c r="M39" s="84">
        <f>M34/M37</f>
        <v>10.757703081232492</v>
      </c>
      <c r="N39" s="84">
        <f>N34/N37</f>
        <v>31.324170440043094</v>
      </c>
      <c r="O39" s="84">
        <f>O34/O37</f>
        <v>29.582957591104535</v>
      </c>
    </row>
    <row r="40" spans="1:15" ht="12.75">
      <c r="A40" s="52"/>
      <c r="B40" s="52"/>
      <c r="C40" s="55"/>
      <c r="D40" s="55"/>
      <c r="E40" s="55"/>
      <c r="F40" s="55"/>
      <c r="G40" s="55"/>
      <c r="H40" s="55"/>
      <c r="I40" s="55"/>
      <c r="K40" s="58"/>
      <c r="L40" s="84"/>
      <c r="M40" s="84"/>
      <c r="N40" s="84"/>
      <c r="O40" s="84"/>
    </row>
    <row r="41" spans="1:15" ht="12.75">
      <c r="A41" s="53" t="s">
        <v>193</v>
      </c>
      <c r="B41" s="53"/>
      <c r="C41" s="63">
        <v>1.3</v>
      </c>
      <c r="D41" s="63">
        <v>1.3</v>
      </c>
      <c r="E41" s="63">
        <v>1.3</v>
      </c>
      <c r="F41" s="63">
        <v>1.3</v>
      </c>
      <c r="G41" s="63">
        <v>1.3</v>
      </c>
      <c r="H41" s="63">
        <v>1.3</v>
      </c>
      <c r="I41" s="55"/>
      <c r="J41" s="53" t="s">
        <v>193</v>
      </c>
      <c r="K41" s="54"/>
      <c r="L41" s="93">
        <v>1.3</v>
      </c>
      <c r="M41" s="93">
        <v>1.3</v>
      </c>
      <c r="N41" s="93">
        <v>1.3</v>
      </c>
      <c r="O41" s="93">
        <v>1.3</v>
      </c>
    </row>
    <row r="42" spans="1:15" ht="12.75">
      <c r="A42" s="52" t="s">
        <v>194</v>
      </c>
      <c r="B42" s="52" t="s">
        <v>180</v>
      </c>
      <c r="C42" s="55">
        <f aca="true" t="shared" si="6" ref="C42:H42">C39*C41</f>
        <v>62.275434876947905</v>
      </c>
      <c r="D42" s="55">
        <f t="shared" si="6"/>
        <v>611.4744611916035</v>
      </c>
      <c r="E42" s="55">
        <f t="shared" si="6"/>
        <v>1164.9105979469512</v>
      </c>
      <c r="F42" s="55">
        <f t="shared" si="6"/>
        <v>283.65749524574704</v>
      </c>
      <c r="G42" s="55">
        <f t="shared" si="6"/>
        <v>2636.8964609176974</v>
      </c>
      <c r="H42" s="55">
        <f t="shared" si="6"/>
        <v>2804.841655641887</v>
      </c>
      <c r="I42" s="55"/>
      <c r="J42" s="45" t="s">
        <v>194</v>
      </c>
      <c r="K42" s="58" t="s">
        <v>180</v>
      </c>
      <c r="L42" s="84">
        <f>L39*L41</f>
        <v>66.79090211837591</v>
      </c>
      <c r="M42" s="84">
        <f>M39*M41</f>
        <v>13.98501400560224</v>
      </c>
      <c r="N42" s="84">
        <f>N39*N41</f>
        <v>40.72142157205602</v>
      </c>
      <c r="O42" s="84">
        <f>O39*O41</f>
        <v>38.4578448684359</v>
      </c>
    </row>
    <row r="43" spans="1:15" ht="12.75" hidden="1">
      <c r="A43" s="52" t="s">
        <v>195</v>
      </c>
      <c r="B43" s="52" t="s">
        <v>180</v>
      </c>
      <c r="C43" s="55">
        <f>C42/(65.66/H37)</f>
        <v>0.28453594978806535</v>
      </c>
      <c r="D43" s="55">
        <f>D42/(65.66/F37)</f>
        <v>2.7938217843052247</v>
      </c>
      <c r="E43" s="55">
        <f>E42/(65.66/H37)</f>
        <v>5.322466941579124</v>
      </c>
      <c r="F43" s="55">
        <f>F42/(65.66/F37)</f>
        <v>1.296028762926045</v>
      </c>
      <c r="G43" s="55">
        <f>G42/(65.66/G37)</f>
        <v>12.04795824360812</v>
      </c>
      <c r="H43" s="55">
        <f>H42/(65.66/H37)</f>
        <v>12.815298457090558</v>
      </c>
      <c r="I43" s="55"/>
      <c r="J43" s="45" t="s">
        <v>195</v>
      </c>
      <c r="K43" s="58" t="s">
        <v>180</v>
      </c>
      <c r="L43" s="84">
        <f>L42/(65.66/L37)</f>
        <v>0.3051670824781111</v>
      </c>
      <c r="M43" s="84">
        <f>M42/(65.66/M37)</f>
        <v>0.06389741397625147</v>
      </c>
      <c r="N43" s="84">
        <f>N42/(65.66/H37)</f>
        <v>0.1860558402622115</v>
      </c>
      <c r="O43" s="84">
        <f>O42/(65.66/H37)</f>
        <v>0.17571357691944517</v>
      </c>
    </row>
    <row r="44" spans="1:15" ht="12.75">
      <c r="A44" s="52"/>
      <c r="B44" s="52"/>
      <c r="C44" s="55"/>
      <c r="D44" s="55"/>
      <c r="E44" s="55"/>
      <c r="F44" s="55"/>
      <c r="G44" s="55"/>
      <c r="H44" s="55"/>
      <c r="I44" s="55"/>
      <c r="K44" s="58"/>
      <c r="L44" s="84"/>
      <c r="M44" s="84"/>
      <c r="N44" s="84"/>
      <c r="O44" s="84"/>
    </row>
    <row r="45" spans="1:15" ht="12.75">
      <c r="A45" s="78" t="s">
        <v>293</v>
      </c>
      <c r="B45" s="52"/>
      <c r="C45" s="98">
        <f>C42/(H47*1000)</f>
        <v>0.012241798541816866</v>
      </c>
      <c r="D45" s="98">
        <f>D42/(H47*1000)</f>
        <v>0.12020064062442222</v>
      </c>
      <c r="E45" s="98">
        <f>E42/(H47*1000)</f>
        <v>0.22899239302739505</v>
      </c>
      <c r="F45" s="98">
        <f>F42/(H47*1000)</f>
        <v>0.0557599945875319</v>
      </c>
      <c r="G45" s="98">
        <f>G42/(H47*1000)</f>
        <v>0.5183481305906277</v>
      </c>
      <c r="H45" s="98">
        <f>H42/(H47*1000)</f>
        <v>0.5513619705411982</v>
      </c>
      <c r="I45" s="55"/>
      <c r="K45" s="58"/>
      <c r="L45" s="84"/>
      <c r="M45" s="84"/>
      <c r="N45" s="84"/>
      <c r="O45" s="84"/>
    </row>
    <row r="46" spans="1:15" ht="12.75">
      <c r="A46" s="52"/>
      <c r="B46" s="52"/>
      <c r="C46" s="55"/>
      <c r="D46" s="80"/>
      <c r="E46" s="52"/>
      <c r="F46" s="52"/>
      <c r="G46" s="55">
        <f>C43+D43+E43+F43+L43</f>
        <v>10.00202052107657</v>
      </c>
      <c r="H46" s="55"/>
      <c r="J46" s="58"/>
      <c r="K46" s="58"/>
      <c r="L46" s="58"/>
      <c r="M46" s="58"/>
      <c r="O46" s="58"/>
    </row>
    <row r="47" spans="1:8" ht="12.75">
      <c r="A47" s="78" t="s">
        <v>288</v>
      </c>
      <c r="B47" s="52"/>
      <c r="C47" s="52"/>
      <c r="D47" s="52"/>
      <c r="E47" s="52"/>
      <c r="F47" s="52"/>
      <c r="G47" s="52"/>
      <c r="H47" s="55">
        <f>(C42+D42+E42+F42+H42+L42+M42+N42+O42)/1000</f>
        <v>5.087114827467607</v>
      </c>
    </row>
    <row r="48" spans="1:8" ht="12.75">
      <c r="A48" s="78" t="s">
        <v>289</v>
      </c>
      <c r="B48" s="52"/>
      <c r="C48" s="52"/>
      <c r="D48" s="52"/>
      <c r="E48" s="52"/>
      <c r="F48" s="52"/>
      <c r="G48" s="52"/>
      <c r="H48" s="55">
        <f>C43+D43+E43+F43+H43+N43+O43</f>
        <v>22.873921312870674</v>
      </c>
    </row>
    <row r="49" spans="1:15" ht="12.75" hidden="1">
      <c r="A49" s="78" t="s">
        <v>290</v>
      </c>
      <c r="B49" s="52"/>
      <c r="C49" s="52"/>
      <c r="D49" s="52"/>
      <c r="E49" s="52"/>
      <c r="F49" s="52"/>
      <c r="G49" s="52"/>
      <c r="H49" s="55">
        <f>H48/25</f>
        <v>0.914956852514827</v>
      </c>
      <c r="O49" s="58"/>
    </row>
    <row r="50" spans="1:8" ht="12.75" hidden="1">
      <c r="A50" s="78" t="s">
        <v>291</v>
      </c>
      <c r="B50" s="52"/>
      <c r="C50" s="52"/>
      <c r="D50" s="52"/>
      <c r="E50" s="52"/>
      <c r="F50" s="52"/>
      <c r="G50" s="52"/>
      <c r="H50" s="55">
        <f>H49*2</f>
        <v>1.829913705029654</v>
      </c>
    </row>
    <row r="51" spans="1:8" ht="12.75">
      <c r="A51" s="52"/>
      <c r="B51" s="52"/>
      <c r="C51" s="52"/>
      <c r="D51" s="52"/>
      <c r="E51" s="52"/>
      <c r="F51" s="52"/>
      <c r="G51" s="52"/>
      <c r="H51" s="52"/>
    </row>
    <row r="52" spans="1:8" ht="12.75">
      <c r="A52" s="78" t="s">
        <v>292</v>
      </c>
      <c r="B52" s="52"/>
      <c r="C52" s="52"/>
      <c r="D52" s="52"/>
      <c r="E52" s="52"/>
      <c r="F52" s="52"/>
      <c r="G52" s="52"/>
      <c r="H52" s="96">
        <v>24</v>
      </c>
    </row>
    <row r="53" spans="1:8" ht="12.75">
      <c r="A53" s="94" t="s">
        <v>256</v>
      </c>
      <c r="B53" s="52"/>
      <c r="C53" s="52"/>
      <c r="D53" s="52"/>
      <c r="E53" s="52"/>
      <c r="F53" s="52"/>
      <c r="G53" s="52"/>
      <c r="H53" s="59">
        <f>(C39+D39+E39+F39+H39+N39+O39)*H52/1000</f>
        <v>92.42471836326699</v>
      </c>
    </row>
    <row r="54" spans="1:8" ht="12.75">
      <c r="A54" s="51" t="s">
        <v>255</v>
      </c>
      <c r="H54" s="99">
        <f>H47*H52</f>
        <v>122.09075585922257</v>
      </c>
    </row>
    <row r="55" spans="1:8" ht="12.75">
      <c r="A55" s="66" t="s">
        <v>254</v>
      </c>
      <c r="H55" s="58">
        <f>H48*H52</f>
        <v>548.9741115088962</v>
      </c>
    </row>
    <row r="56" spans="1:8" ht="12.75" hidden="1">
      <c r="A56" s="66" t="s">
        <v>253</v>
      </c>
      <c r="H56" s="64">
        <f>H48*H52/25</f>
        <v>21.958964460355848</v>
      </c>
    </row>
    <row r="57" spans="1:8" ht="12.75">
      <c r="A57" s="66" t="s">
        <v>252</v>
      </c>
      <c r="H57" s="58">
        <f>H55/144</f>
        <v>3.812320218811779</v>
      </c>
    </row>
    <row r="60" spans="8:15" ht="12.75">
      <c r="H60" s="52"/>
      <c r="O60" s="58"/>
    </row>
    <row r="61" spans="8:14" ht="12.75">
      <c r="H61" s="52"/>
      <c r="J61" s="52"/>
      <c r="K61" s="52"/>
      <c r="L61" s="52"/>
      <c r="M61" s="52"/>
      <c r="N61" s="52"/>
    </row>
    <row r="65" ht="12.75" customHeight="1"/>
    <row r="67" ht="12.75">
      <c r="N67" s="65"/>
    </row>
  </sheetData>
  <mergeCells count="12">
    <mergeCell ref="N29:O29"/>
    <mergeCell ref="L29:M29"/>
    <mergeCell ref="N23:O23"/>
    <mergeCell ref="L23:M23"/>
    <mergeCell ref="N24:O24"/>
    <mergeCell ref="L24:M24"/>
    <mergeCell ref="N20:O20"/>
    <mergeCell ref="N8:O8"/>
    <mergeCell ref="L21:M21"/>
    <mergeCell ref="N21:O21"/>
    <mergeCell ref="L8:M8"/>
    <mergeCell ref="L20:M20"/>
  </mergeCells>
  <printOptions/>
  <pageMargins left="0.75" right="0.75" top="1" bottom="1" header="0.5" footer="0.5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J80"/>
  <sheetViews>
    <sheetView zoomScale="75" zoomScaleNormal="75" workbookViewId="0" topLeftCell="AA1">
      <selection activeCell="I8" sqref="I8"/>
    </sheetView>
  </sheetViews>
  <sheetFormatPr defaultColWidth="9.00390625" defaultRowHeight="12.75"/>
  <cols>
    <col min="1" max="1" width="18.00390625" style="0" bestFit="1" customWidth="1"/>
    <col min="2" max="3" width="9.625" style="0" customWidth="1"/>
    <col min="4" max="4" width="6.00390625" style="0" customWidth="1"/>
    <col min="5" max="5" width="9.75390625" style="0" customWidth="1"/>
    <col min="6" max="6" width="11.25390625" style="0" customWidth="1"/>
    <col min="7" max="7" width="12.375" style="0" customWidth="1"/>
    <col min="10" max="12" width="11.125" style="0" customWidth="1"/>
    <col min="13" max="13" width="10.00390625" style="0" customWidth="1"/>
    <col min="14" max="14" width="17.625" style="0" bestFit="1" customWidth="1"/>
    <col min="15" max="15" width="9.625" style="0" bestFit="1" customWidth="1"/>
    <col min="16" max="16" width="14.625" style="0" customWidth="1"/>
    <col min="17" max="17" width="11.375" style="0" customWidth="1"/>
    <col min="18" max="18" width="9.875" style="0" customWidth="1"/>
    <col min="19" max="19" width="9.375" style="0" customWidth="1"/>
    <col min="21" max="21" width="6.125" style="0" customWidth="1"/>
    <col min="22" max="24" width="11.375" style="0" customWidth="1"/>
    <col min="25" max="27" width="13.125" style="0" customWidth="1"/>
    <col min="28" max="28" width="12.875" style="0" customWidth="1"/>
    <col min="29" max="29" width="10.875" style="0" customWidth="1"/>
    <col min="30" max="30" width="12.25390625" style="0" customWidth="1"/>
    <col min="31" max="31" width="13.875" style="0" customWidth="1"/>
    <col min="32" max="32" width="12.75390625" style="0" bestFit="1" customWidth="1"/>
    <col min="33" max="33" width="9.625" style="0" customWidth="1"/>
    <col min="34" max="34" width="13.25390625" style="0" bestFit="1" customWidth="1"/>
    <col min="35" max="35" width="6.375" style="0" customWidth="1"/>
    <col min="36" max="36" width="11.375" style="5" customWidth="1"/>
    <col min="37" max="16384" width="11.375" style="0" customWidth="1"/>
  </cols>
  <sheetData>
    <row r="3" spans="4:10" ht="12.75">
      <c r="D3" t="s">
        <v>120</v>
      </c>
      <c r="I3" s="21">
        <v>70</v>
      </c>
      <c r="J3" t="s">
        <v>89</v>
      </c>
    </row>
    <row r="4" spans="4:10" ht="12.75">
      <c r="D4" t="s">
        <v>121</v>
      </c>
      <c r="I4" s="21">
        <v>8</v>
      </c>
      <c r="J4" s="3" t="s">
        <v>70</v>
      </c>
    </row>
    <row r="5" spans="16:32" ht="18">
      <c r="P5" s="14" t="s">
        <v>119</v>
      </c>
      <c r="AF5" t="s">
        <v>0</v>
      </c>
    </row>
    <row r="6" spans="16:32" ht="18">
      <c r="P6" s="14" t="s">
        <v>93</v>
      </c>
      <c r="AF6" s="13">
        <v>36527</v>
      </c>
    </row>
    <row r="7" spans="6:10" ht="12.75">
      <c r="F7" t="s">
        <v>91</v>
      </c>
      <c r="I7" s="21">
        <v>20</v>
      </c>
      <c r="J7" t="s">
        <v>89</v>
      </c>
    </row>
    <row r="8" spans="6:32" ht="12.75">
      <c r="F8" t="s">
        <v>59</v>
      </c>
      <c r="H8" t="s">
        <v>60</v>
      </c>
      <c r="I8" s="17">
        <v>40</v>
      </c>
      <c r="J8" t="s">
        <v>28</v>
      </c>
      <c r="L8" s="3"/>
      <c r="O8" s="22"/>
      <c r="P8" s="22"/>
      <c r="Q8" s="22"/>
      <c r="R8" s="22" t="s">
        <v>127</v>
      </c>
      <c r="S8" s="22"/>
      <c r="T8" s="22"/>
      <c r="U8" s="22"/>
      <c r="V8" s="22"/>
      <c r="W8" s="22"/>
      <c r="X8" s="22"/>
      <c r="AF8" t="s">
        <v>27</v>
      </c>
    </row>
    <row r="9" spans="2:32" ht="12.75">
      <c r="B9" t="s">
        <v>64</v>
      </c>
      <c r="F9" t="s">
        <v>84</v>
      </c>
      <c r="H9" t="s">
        <v>85</v>
      </c>
      <c r="I9" s="17">
        <v>21.35</v>
      </c>
      <c r="J9" t="s">
        <v>86</v>
      </c>
      <c r="AF9" t="s">
        <v>58</v>
      </c>
    </row>
    <row r="10" spans="2:35" ht="12.75">
      <c r="B10" t="s">
        <v>65</v>
      </c>
      <c r="F10" t="s">
        <v>61</v>
      </c>
      <c r="H10" t="s">
        <v>62</v>
      </c>
      <c r="I10" s="21">
        <v>20000</v>
      </c>
      <c r="J10" t="s">
        <v>63</v>
      </c>
      <c r="O10" t="s">
        <v>30</v>
      </c>
      <c r="R10" t="s">
        <v>122</v>
      </c>
      <c r="X10" s="16" t="s">
        <v>122</v>
      </c>
      <c r="Y10" s="16"/>
      <c r="Z10" s="16"/>
      <c r="AA10" s="2" t="s">
        <v>122</v>
      </c>
      <c r="AC10" s="16" t="s">
        <v>54</v>
      </c>
      <c r="AD10" s="19" t="s">
        <v>79</v>
      </c>
      <c r="AF10" t="s">
        <v>129</v>
      </c>
      <c r="AH10" s="5"/>
      <c r="AI10" s="5"/>
    </row>
    <row r="11" spans="2:36" s="2" customFormat="1" ht="12.75">
      <c r="B11" t="s">
        <v>29</v>
      </c>
      <c r="C11"/>
      <c r="D11" s="2" t="s">
        <v>24</v>
      </c>
      <c r="H11"/>
      <c r="I11"/>
      <c r="J11"/>
      <c r="K11"/>
      <c r="M11" t="s">
        <v>30</v>
      </c>
      <c r="N11"/>
      <c r="O11" t="s">
        <v>38</v>
      </c>
      <c r="P11"/>
      <c r="Q11" s="2" t="s">
        <v>95</v>
      </c>
      <c r="R11" t="s">
        <v>98</v>
      </c>
      <c r="S11"/>
      <c r="T11" s="2" t="s">
        <v>4</v>
      </c>
      <c r="U11"/>
      <c r="V11"/>
      <c r="W11"/>
      <c r="X11" s="16" t="s">
        <v>73</v>
      </c>
      <c r="Y11"/>
      <c r="Z11"/>
      <c r="AA11" s="2" t="s">
        <v>100</v>
      </c>
      <c r="AB11" s="2" t="s">
        <v>7</v>
      </c>
      <c r="AC11" s="16" t="s">
        <v>55</v>
      </c>
      <c r="AD11" s="19" t="s">
        <v>80</v>
      </c>
      <c r="AE11" s="2" t="s">
        <v>8</v>
      </c>
      <c r="AF11" s="2" t="s">
        <v>9</v>
      </c>
      <c r="AG11" s="2" t="s">
        <v>10</v>
      </c>
      <c r="AH11" s="7" t="s">
        <v>11</v>
      </c>
      <c r="AI11" s="7" t="s">
        <v>71</v>
      </c>
      <c r="AJ11" s="7" t="s">
        <v>126</v>
      </c>
    </row>
    <row r="12" spans="2:36" s="2" customFormat="1" ht="12.75">
      <c r="B12" s="2" t="s">
        <v>51</v>
      </c>
      <c r="C12"/>
      <c r="D12" s="2" t="s">
        <v>25</v>
      </c>
      <c r="E12"/>
      <c r="F12" s="2" t="s">
        <v>48</v>
      </c>
      <c r="G12" s="16" t="s">
        <v>48</v>
      </c>
      <c r="I12" s="2" t="s">
        <v>34</v>
      </c>
      <c r="J12" s="2" t="s">
        <v>36</v>
      </c>
      <c r="K12"/>
      <c r="L12" t="s">
        <v>30</v>
      </c>
      <c r="M12" t="s">
        <v>31</v>
      </c>
      <c r="N12"/>
      <c r="O12" t="s">
        <v>50</v>
      </c>
      <c r="P12"/>
      <c r="Q12" s="2" t="s">
        <v>123</v>
      </c>
      <c r="R12" t="s">
        <v>99</v>
      </c>
      <c r="S12"/>
      <c r="T12" s="2" t="s">
        <v>15</v>
      </c>
      <c r="U12"/>
      <c r="V12"/>
      <c r="W12"/>
      <c r="X12" s="2" t="s">
        <v>16</v>
      </c>
      <c r="Y12"/>
      <c r="Z12"/>
      <c r="AA12" s="2" t="s">
        <v>17</v>
      </c>
      <c r="AB12" s="2" t="s">
        <v>18</v>
      </c>
      <c r="AC12" s="16" t="s">
        <v>56</v>
      </c>
      <c r="AD12" s="7" t="s">
        <v>19</v>
      </c>
      <c r="AG12" s="2" t="s">
        <v>18</v>
      </c>
      <c r="AH12" s="7" t="s">
        <v>20</v>
      </c>
      <c r="AI12" s="7" t="s">
        <v>72</v>
      </c>
      <c r="AJ12" s="7" t="s">
        <v>99</v>
      </c>
    </row>
    <row r="13" spans="3:36" s="2" customFormat="1" ht="13.5" thickBot="1">
      <c r="C13"/>
      <c r="D13" t="s">
        <v>26</v>
      </c>
      <c r="E13" s="2" t="s">
        <v>23</v>
      </c>
      <c r="F13" s="2" t="s">
        <v>33</v>
      </c>
      <c r="G13" s="16" t="s">
        <v>32</v>
      </c>
      <c r="I13" s="2" t="s">
        <v>33</v>
      </c>
      <c r="J13" s="2" t="s">
        <v>37</v>
      </c>
      <c r="K13"/>
      <c r="L13" t="s">
        <v>33</v>
      </c>
      <c r="M13" s="2" t="s">
        <v>37</v>
      </c>
      <c r="N13"/>
      <c r="O13" s="2" t="s">
        <v>51</v>
      </c>
      <c r="P13"/>
      <c r="R13"/>
      <c r="S13"/>
      <c r="U13"/>
      <c r="V13"/>
      <c r="W13"/>
      <c r="Y13"/>
      <c r="Z13"/>
      <c r="AD13" s="7"/>
      <c r="AH13" s="7"/>
      <c r="AI13" s="7"/>
      <c r="AJ13" s="7"/>
    </row>
    <row r="14" spans="1:36" ht="13.5" thickBot="1">
      <c r="A14" s="20" t="s">
        <v>47</v>
      </c>
      <c r="B14" s="15"/>
      <c r="D14">
        <v>0</v>
      </c>
      <c r="E14" s="4">
        <v>0</v>
      </c>
      <c r="F14" s="15">
        <v>0</v>
      </c>
      <c r="G14" s="15">
        <v>0</v>
      </c>
      <c r="I14" s="15"/>
      <c r="L14">
        <v>0</v>
      </c>
      <c r="M14" s="15">
        <v>0</v>
      </c>
      <c r="O14" s="15"/>
      <c r="Q14">
        <f>4.1467-0.056512*I3+0.0003773*I3^2</f>
        <v>2.0396300000000003</v>
      </c>
      <c r="R14" s="4">
        <f>I3</f>
        <v>70</v>
      </c>
      <c r="T14" s="4">
        <f>O77/(Q14*I7)</f>
        <v>19611.40010688213</v>
      </c>
      <c r="X14" s="3">
        <f>1.201-0.0050417*I3</f>
        <v>0.8480810000000001</v>
      </c>
      <c r="AA14" s="1">
        <f>(11519-199.92*I3+0.92201*I3^2)*0.0000001</f>
        <v>0.00020424490000000005</v>
      </c>
      <c r="AB14" s="27">
        <f>I9</f>
        <v>21.35</v>
      </c>
      <c r="AC14" s="9">
        <v>1</v>
      </c>
      <c r="AD14" s="8">
        <f aca="true" t="shared" si="0" ref="AD14:AD45">4*T14/(X14*3.14159*AB14^2*AC14)</f>
        <v>64.59307996128699</v>
      </c>
      <c r="AE14" s="4">
        <f aca="true" t="shared" si="1" ref="AE14:AE45">X14*AD14*AB14/AA14/10</f>
        <v>572624.5786925106</v>
      </c>
      <c r="AF14" s="5">
        <f>4*(0.0791/AE14^0.25)*1.3</f>
        <v>0.014952449035449514</v>
      </c>
      <c r="AG14" s="4">
        <v>0</v>
      </c>
      <c r="AH14" s="10">
        <f>AF14*AG14/(AB14)*(V14*AD14^2/2)*0.1</f>
        <v>0</v>
      </c>
      <c r="AI14" s="10">
        <f>I4</f>
        <v>8</v>
      </c>
      <c r="AJ14" s="8">
        <f>74.18+30.267*LOG(AI14)</f>
        <v>101.51382463628516</v>
      </c>
    </row>
    <row r="15" spans="1:36" ht="12.75">
      <c r="A15" s="108" t="s">
        <v>42</v>
      </c>
      <c r="B15" s="113">
        <f>O15</f>
        <v>200000.00000000003</v>
      </c>
      <c r="D15">
        <f>I10/60</f>
        <v>333.3333333333333</v>
      </c>
      <c r="E15" s="4">
        <f aca="true" t="shared" si="2" ref="E15:E46">E14+D15</f>
        <v>333.3333333333333</v>
      </c>
      <c r="F15" s="15">
        <f>I8</f>
        <v>40</v>
      </c>
      <c r="G15" s="15">
        <f aca="true" t="shared" si="3" ref="G15:G46">F15*D15</f>
        <v>13333.333333333332</v>
      </c>
      <c r="I15" s="15">
        <v>0</v>
      </c>
      <c r="J15" s="15">
        <f aca="true" t="shared" si="4" ref="J15:J46">I15*D15</f>
        <v>0</v>
      </c>
      <c r="K15" s="15"/>
      <c r="L15" s="15">
        <f aca="true" t="shared" si="5" ref="L15:L46">I15+F15</f>
        <v>40</v>
      </c>
      <c r="M15" s="15">
        <f aca="true" t="shared" si="6" ref="M15:M46">L15*D15</f>
        <v>13333.333333333332</v>
      </c>
      <c r="O15" s="101">
        <f>SUM(M15:M29)</f>
        <v>200000.00000000003</v>
      </c>
      <c r="Q15" s="3">
        <f>4.1467-0.056512*R14+0.0003773*R14^2</f>
        <v>2.0396300000000003</v>
      </c>
      <c r="R15" s="4">
        <f aca="true" t="shared" si="7" ref="R15:R46">R14+M15/(T15*Q15)</f>
        <v>70.33333333333333</v>
      </c>
      <c r="T15" s="4">
        <f aca="true" t="shared" si="8" ref="T15:T46">T14</f>
        <v>19611.40010688213</v>
      </c>
      <c r="X15" s="3">
        <f>1.201-0.0050417*R14</f>
        <v>0.8480810000000001</v>
      </c>
      <c r="AA15" s="1">
        <f>(11519-199.92*R14+0.92201*R14^2)*0.0000001</f>
        <v>0.00020424490000000005</v>
      </c>
      <c r="AB15">
        <f aca="true" t="shared" si="9" ref="AB15:AB46">AB14</f>
        <v>21.35</v>
      </c>
      <c r="AC15">
        <f aca="true" t="shared" si="10" ref="AC15:AC46">AC14</f>
        <v>1</v>
      </c>
      <c r="AD15" s="8">
        <f t="shared" si="0"/>
        <v>64.59307996128699</v>
      </c>
      <c r="AE15" s="4">
        <f t="shared" si="1"/>
        <v>572624.5786925106</v>
      </c>
      <c r="AF15" s="5">
        <f aca="true" t="shared" si="11" ref="AF15:AF74">4*(0.0791/AE15^0.25)*1.3</f>
        <v>0.014952449035449514</v>
      </c>
      <c r="AG15" s="4">
        <f aca="true" t="shared" si="12" ref="AG15:AG46">100*(E15-E14)</f>
        <v>33333.33333333333</v>
      </c>
      <c r="AH15" s="8">
        <f aca="true" t="shared" si="13" ref="AH15:AH46">AF15*AG15/(AB15)*(X15*AD15^2/2)*0.1</f>
        <v>4130.213684168774</v>
      </c>
      <c r="AI15" s="10">
        <f aca="true" t="shared" si="14" ref="AI15:AI46">AI14-AH15/100000</f>
        <v>7.958697863158312</v>
      </c>
      <c r="AJ15" s="8">
        <f aca="true" t="shared" si="15" ref="AJ15:AJ75">74.18+30.267*LOG(AI15)</f>
        <v>101.44578535427058</v>
      </c>
    </row>
    <row r="16" spans="1:36" ht="12.75">
      <c r="A16" s="111"/>
      <c r="B16" s="114"/>
      <c r="D16">
        <f aca="true" t="shared" si="16" ref="D16:D47">D15</f>
        <v>333.3333333333333</v>
      </c>
      <c r="E16" s="4">
        <f t="shared" si="2"/>
        <v>666.6666666666666</v>
      </c>
      <c r="F16" s="15">
        <f aca="true" t="shared" si="17" ref="F16:F47">F15</f>
        <v>40</v>
      </c>
      <c r="G16" s="15">
        <f t="shared" si="3"/>
        <v>13333.333333333332</v>
      </c>
      <c r="I16" s="15">
        <f aca="true" t="shared" si="18" ref="I16:I47">I15</f>
        <v>0</v>
      </c>
      <c r="J16" s="15">
        <f t="shared" si="4"/>
        <v>0</v>
      </c>
      <c r="K16" s="15"/>
      <c r="L16" s="15">
        <f t="shared" si="5"/>
        <v>40</v>
      </c>
      <c r="M16" s="15">
        <f t="shared" si="6"/>
        <v>13333.333333333332</v>
      </c>
      <c r="O16" s="121"/>
      <c r="Q16" s="3">
        <f aca="true" t="shared" si="19" ref="Q16:Q74">4.1467-0.056512*R15+0.0003773*R15^2</f>
        <v>2.0384419222222223</v>
      </c>
      <c r="R16" s="4">
        <f t="shared" si="7"/>
        <v>70.66686094540555</v>
      </c>
      <c r="T16" s="4">
        <f t="shared" si="8"/>
        <v>19611.40010688213</v>
      </c>
      <c r="X16" s="3">
        <f aca="true" t="shared" si="20" ref="X16:X74">1.201-0.0050417*R15</f>
        <v>0.8464004333333335</v>
      </c>
      <c r="AA16" s="1">
        <f aca="true" t="shared" si="21" ref="AA16:AA74">(11519-199.92*R15+0.92201*R15^2)*0.0000001</f>
        <v>0.00020189385788888894</v>
      </c>
      <c r="AB16">
        <f t="shared" si="9"/>
        <v>21.35</v>
      </c>
      <c r="AC16">
        <f t="shared" si="10"/>
        <v>1</v>
      </c>
      <c r="AD16" s="8">
        <f t="shared" si="0"/>
        <v>64.72133246779005</v>
      </c>
      <c r="AE16" s="4">
        <f t="shared" si="1"/>
        <v>579292.7582619173</v>
      </c>
      <c r="AF16" s="5">
        <f t="shared" si="11"/>
        <v>0.014909233012699115</v>
      </c>
      <c r="AG16" s="4">
        <f t="shared" si="12"/>
        <v>33333.33333333333</v>
      </c>
      <c r="AH16" s="8">
        <f t="shared" si="13"/>
        <v>4126.453440688184</v>
      </c>
      <c r="AI16" s="10">
        <f t="shared" si="14"/>
        <v>7.91743332875143</v>
      </c>
      <c r="AJ16" s="8">
        <f t="shared" si="15"/>
        <v>101.37745448715432</v>
      </c>
    </row>
    <row r="17" spans="1:36" ht="12.75">
      <c r="A17" s="111"/>
      <c r="B17" s="114"/>
      <c r="D17">
        <f t="shared" si="16"/>
        <v>333.3333333333333</v>
      </c>
      <c r="E17" s="4">
        <f t="shared" si="2"/>
        <v>1000</v>
      </c>
      <c r="F17" s="15">
        <f t="shared" si="17"/>
        <v>40</v>
      </c>
      <c r="G17" s="15">
        <f t="shared" si="3"/>
        <v>13333.333333333332</v>
      </c>
      <c r="I17" s="15">
        <f t="shared" si="18"/>
        <v>0</v>
      </c>
      <c r="J17" s="15">
        <f t="shared" si="4"/>
        <v>0</v>
      </c>
      <c r="K17" s="15"/>
      <c r="L17" s="15">
        <f t="shared" si="5"/>
        <v>40</v>
      </c>
      <c r="M17" s="15">
        <f t="shared" si="6"/>
        <v>13333.333333333332</v>
      </c>
      <c r="O17" s="121"/>
      <c r="Q17" s="3">
        <f t="shared" si="19"/>
        <v>2.037337069749741</v>
      </c>
      <c r="R17" s="4">
        <f t="shared" si="7"/>
        <v>71.00056943025149</v>
      </c>
      <c r="T17" s="4">
        <f t="shared" si="8"/>
        <v>19611.40010688213</v>
      </c>
      <c r="X17" s="3">
        <f t="shared" si="20"/>
        <v>0.844718887171549</v>
      </c>
      <c r="AA17" s="1">
        <f t="shared" si="21"/>
        <v>0.00019956195253257382</v>
      </c>
      <c r="AB17">
        <f t="shared" si="9"/>
        <v>21.35</v>
      </c>
      <c r="AC17">
        <f t="shared" si="10"/>
        <v>1</v>
      </c>
      <c r="AD17" s="8">
        <f t="shared" si="0"/>
        <v>64.8501704869815</v>
      </c>
      <c r="AE17" s="4">
        <f t="shared" si="1"/>
        <v>586061.8636385796</v>
      </c>
      <c r="AF17" s="5">
        <f t="shared" si="11"/>
        <v>0.014865994291068135</v>
      </c>
      <c r="AG17" s="4">
        <f t="shared" si="12"/>
        <v>33333.333333333336</v>
      </c>
      <c r="AH17" s="8">
        <f t="shared" si="13"/>
        <v>4122.676720774674</v>
      </c>
      <c r="AI17" s="10">
        <f t="shared" si="14"/>
        <v>7.8762065615436825</v>
      </c>
      <c r="AJ17" s="8">
        <f t="shared" si="15"/>
        <v>101.30882958793843</v>
      </c>
    </row>
    <row r="18" spans="1:36" ht="12.75">
      <c r="A18" s="111"/>
      <c r="B18" s="114"/>
      <c r="D18">
        <f t="shared" si="16"/>
        <v>333.3333333333333</v>
      </c>
      <c r="E18" s="4">
        <f t="shared" si="2"/>
        <v>1333.3333333333333</v>
      </c>
      <c r="F18" s="15">
        <f t="shared" si="17"/>
        <v>40</v>
      </c>
      <c r="G18" s="15">
        <f t="shared" si="3"/>
        <v>13333.333333333332</v>
      </c>
      <c r="I18" s="15">
        <f t="shared" si="18"/>
        <v>0</v>
      </c>
      <c r="J18" s="15">
        <f t="shared" si="4"/>
        <v>0</v>
      </c>
      <c r="K18" s="15"/>
      <c r="L18" s="15">
        <f t="shared" si="5"/>
        <v>40</v>
      </c>
      <c r="M18" s="15">
        <f t="shared" si="6"/>
        <v>13333.333333333332</v>
      </c>
      <c r="O18" s="121"/>
      <c r="Q18" s="3">
        <f t="shared" si="19"/>
        <v>2.03631562861678</v>
      </c>
      <c r="R18" s="4">
        <f t="shared" si="7"/>
        <v>71.3344453074054</v>
      </c>
      <c r="T18" s="4">
        <f t="shared" si="8"/>
        <v>19611.40010688213</v>
      </c>
      <c r="X18" s="3">
        <f t="shared" si="20"/>
        <v>0.8430364291035012</v>
      </c>
      <c r="AA18" s="1">
        <f t="shared" si="21"/>
        <v>0.00019724931226979233</v>
      </c>
      <c r="AB18">
        <f t="shared" si="9"/>
        <v>21.35</v>
      </c>
      <c r="AC18">
        <f t="shared" si="10"/>
        <v>1</v>
      </c>
      <c r="AD18" s="8">
        <f t="shared" si="0"/>
        <v>64.97959276196684</v>
      </c>
      <c r="AE18" s="4">
        <f t="shared" si="1"/>
        <v>592933.1183300917</v>
      </c>
      <c r="AF18" s="5">
        <f t="shared" si="11"/>
        <v>0.01482273689770195</v>
      </c>
      <c r="AG18" s="4">
        <f t="shared" si="12"/>
        <v>33333.33333333333</v>
      </c>
      <c r="AH18" s="8">
        <f t="shared" si="13"/>
        <v>4118.884201494638</v>
      </c>
      <c r="AI18" s="10">
        <f t="shared" si="14"/>
        <v>7.835017719528736</v>
      </c>
      <c r="AJ18" s="8">
        <f t="shared" si="15"/>
        <v>101.23990816539904</v>
      </c>
    </row>
    <row r="19" spans="1:36" ht="12.75">
      <c r="A19" s="111"/>
      <c r="B19" s="114"/>
      <c r="D19">
        <f t="shared" si="16"/>
        <v>333.3333333333333</v>
      </c>
      <c r="E19" s="4">
        <f t="shared" si="2"/>
        <v>1666.6666666666665</v>
      </c>
      <c r="F19" s="15">
        <f t="shared" si="17"/>
        <v>40</v>
      </c>
      <c r="G19" s="15">
        <f t="shared" si="3"/>
        <v>13333.333333333332</v>
      </c>
      <c r="I19" s="15">
        <f t="shared" si="18"/>
        <v>0</v>
      </c>
      <c r="J19" s="15">
        <f t="shared" si="4"/>
        <v>0</v>
      </c>
      <c r="K19" s="15"/>
      <c r="L19" s="15">
        <f t="shared" si="5"/>
        <v>40</v>
      </c>
      <c r="M19" s="15">
        <f t="shared" si="6"/>
        <v>13333.333333333332</v>
      </c>
      <c r="O19" s="121"/>
      <c r="Q19" s="3">
        <f t="shared" si="19"/>
        <v>2.035377771631936</v>
      </c>
      <c r="R19" s="4">
        <f t="shared" si="7"/>
        <v>71.66847502716674</v>
      </c>
      <c r="T19" s="4">
        <f t="shared" si="8"/>
        <v>19611.40010688213</v>
      </c>
      <c r="X19" s="3">
        <f t="shared" si="20"/>
        <v>0.8413531270936543</v>
      </c>
      <c r="AA19" s="1">
        <f t="shared" si="21"/>
        <v>0.00019495606266790118</v>
      </c>
      <c r="AB19">
        <f t="shared" si="9"/>
        <v>21.35</v>
      </c>
      <c r="AC19">
        <f t="shared" si="10"/>
        <v>1</v>
      </c>
      <c r="AD19" s="8">
        <f t="shared" si="0"/>
        <v>65.10959795903919</v>
      </c>
      <c r="AE19" s="4">
        <f t="shared" si="1"/>
        <v>599907.7341432703</v>
      </c>
      <c r="AF19" s="5">
        <f t="shared" si="11"/>
        <v>0.014779464949364952</v>
      </c>
      <c r="AG19" s="4">
        <f t="shared" si="12"/>
        <v>33333.33333333333</v>
      </c>
      <c r="AH19" s="8">
        <f t="shared" si="13"/>
        <v>4115.076589557703</v>
      </c>
      <c r="AI19" s="10">
        <f t="shared" si="14"/>
        <v>7.793866953633159</v>
      </c>
      <c r="AJ19" s="8">
        <f t="shared" si="15"/>
        <v>101.17068768269</v>
      </c>
    </row>
    <row r="20" spans="1:36" ht="12.75">
      <c r="A20" s="111"/>
      <c r="B20" s="114"/>
      <c r="D20">
        <f t="shared" si="16"/>
        <v>333.3333333333333</v>
      </c>
      <c r="E20" s="4">
        <f t="shared" si="2"/>
        <v>1999.9999999999998</v>
      </c>
      <c r="F20" s="15">
        <f t="shared" si="17"/>
        <v>40</v>
      </c>
      <c r="G20" s="15">
        <f t="shared" si="3"/>
        <v>13333.333333333332</v>
      </c>
      <c r="I20" s="15">
        <f t="shared" si="18"/>
        <v>0</v>
      </c>
      <c r="J20" s="15">
        <f t="shared" si="4"/>
        <v>0</v>
      </c>
      <c r="K20" s="15"/>
      <c r="L20" s="15">
        <f t="shared" si="5"/>
        <v>40</v>
      </c>
      <c r="M20" s="15">
        <f t="shared" si="6"/>
        <v>13333.333333333332</v>
      </c>
      <c r="O20" s="121"/>
      <c r="Q20" s="3">
        <f t="shared" si="19"/>
        <v>2.034523658253867</v>
      </c>
      <c r="R20" s="4">
        <f t="shared" si="7"/>
        <v>72.0026449759449</v>
      </c>
      <c r="T20" s="4">
        <f t="shared" si="8"/>
        <v>19611.40010688213</v>
      </c>
      <c r="X20" s="3">
        <f t="shared" si="20"/>
        <v>0.8396690494555336</v>
      </c>
      <c r="AA20" s="1">
        <f t="shared" si="21"/>
        <v>0.00019268232645994456</v>
      </c>
      <c r="AB20">
        <f t="shared" si="9"/>
        <v>21.35</v>
      </c>
      <c r="AC20">
        <f t="shared" si="10"/>
        <v>1</v>
      </c>
      <c r="AD20" s="8">
        <f t="shared" si="0"/>
        <v>65.24018466819675</v>
      </c>
      <c r="AE20" s="4">
        <f t="shared" si="1"/>
        <v>606986.9092893017</v>
      </c>
      <c r="AF20" s="5">
        <f t="shared" si="11"/>
        <v>0.014736182653218514</v>
      </c>
      <c r="AG20" s="4">
        <f t="shared" si="12"/>
        <v>33333.33333333333</v>
      </c>
      <c r="AH20" s="8">
        <f t="shared" si="13"/>
        <v>4111.254621989099</v>
      </c>
      <c r="AI20" s="10">
        <f t="shared" si="14"/>
        <v>7.752754407413268</v>
      </c>
      <c r="AJ20" s="8">
        <f t="shared" si="15"/>
        <v>101.10116555589671</v>
      </c>
    </row>
    <row r="21" spans="1:36" ht="12.75">
      <c r="A21" s="111"/>
      <c r="B21" s="114"/>
      <c r="D21">
        <f t="shared" si="16"/>
        <v>333.3333333333333</v>
      </c>
      <c r="E21" s="4">
        <f t="shared" si="2"/>
        <v>2333.333333333333</v>
      </c>
      <c r="F21" s="15">
        <f t="shared" si="17"/>
        <v>40</v>
      </c>
      <c r="G21" s="15">
        <f t="shared" si="3"/>
        <v>13333.333333333332</v>
      </c>
      <c r="I21" s="15">
        <f t="shared" si="18"/>
        <v>0</v>
      </c>
      <c r="J21" s="15">
        <f t="shared" si="4"/>
        <v>0</v>
      </c>
      <c r="K21" s="15"/>
      <c r="L21" s="15">
        <f t="shared" si="5"/>
        <v>40</v>
      </c>
      <c r="M21" s="15">
        <f t="shared" si="6"/>
        <v>13333.333333333332</v>
      </c>
      <c r="O21" s="121"/>
      <c r="Q21" s="3">
        <f t="shared" si="19"/>
        <v>2.0337534344760115</v>
      </c>
      <c r="R21" s="4">
        <f t="shared" si="7"/>
        <v>72.33694148167734</v>
      </c>
      <c r="T21" s="4">
        <f t="shared" si="8"/>
        <v>19611.40010688213</v>
      </c>
      <c r="X21" s="3">
        <f t="shared" si="20"/>
        <v>0.8379842648247786</v>
      </c>
      <c r="AA21" s="1">
        <f t="shared" si="21"/>
        <v>0.00019042822348344025</v>
      </c>
      <c r="AB21">
        <f t="shared" si="9"/>
        <v>21.35</v>
      </c>
      <c r="AC21">
        <f t="shared" si="10"/>
        <v>1</v>
      </c>
      <c r="AD21" s="8">
        <f t="shared" si="0"/>
        <v>65.37135140371963</v>
      </c>
      <c r="AE21" s="4">
        <f t="shared" si="1"/>
        <v>614171.8263877232</v>
      </c>
      <c r="AF21" s="5">
        <f t="shared" si="11"/>
        <v>0.014692894307579295</v>
      </c>
      <c r="AG21" s="4">
        <f t="shared" si="12"/>
        <v>33333.33333333333</v>
      </c>
      <c r="AH21" s="8">
        <f t="shared" si="13"/>
        <v>4107.41906680525</v>
      </c>
      <c r="AI21" s="10">
        <f t="shared" si="14"/>
        <v>7.711680216745216</v>
      </c>
      <c r="AJ21" s="8">
        <f t="shared" si="15"/>
        <v>101.03133915253875</v>
      </c>
    </row>
    <row r="22" spans="1:36" ht="12.75">
      <c r="A22" s="111"/>
      <c r="B22" s="114"/>
      <c r="D22">
        <f t="shared" si="16"/>
        <v>333.3333333333333</v>
      </c>
      <c r="E22" s="4">
        <f t="shared" si="2"/>
        <v>2666.6666666666665</v>
      </c>
      <c r="F22" s="15">
        <f t="shared" si="17"/>
        <v>40</v>
      </c>
      <c r="G22" s="15">
        <f t="shared" si="3"/>
        <v>13333.333333333332</v>
      </c>
      <c r="I22" s="15">
        <f t="shared" si="18"/>
        <v>0</v>
      </c>
      <c r="J22" s="15">
        <f t="shared" si="4"/>
        <v>0</v>
      </c>
      <c r="K22" s="15"/>
      <c r="L22" s="15">
        <f t="shared" si="5"/>
        <v>40</v>
      </c>
      <c r="M22" s="15">
        <f t="shared" si="6"/>
        <v>13333.333333333332</v>
      </c>
      <c r="O22" s="121"/>
      <c r="Q22" s="3">
        <f t="shared" si="19"/>
        <v>2.033067232720529</v>
      </c>
      <c r="R22" s="4">
        <f t="shared" si="7"/>
        <v>72.67135081931488</v>
      </c>
      <c r="T22" s="4">
        <f t="shared" si="8"/>
        <v>19611.40010688213</v>
      </c>
      <c r="X22" s="3">
        <f t="shared" si="20"/>
        <v>0.8362988421318274</v>
      </c>
      <c r="AA22" s="1">
        <f t="shared" si="21"/>
        <v>0.00018819387062096675</v>
      </c>
      <c r="AB22">
        <f t="shared" si="9"/>
        <v>21.35</v>
      </c>
      <c r="AC22">
        <f t="shared" si="10"/>
        <v>1</v>
      </c>
      <c r="AD22" s="8">
        <f t="shared" si="0"/>
        <v>65.50309660480569</v>
      </c>
      <c r="AE22" s="4">
        <f t="shared" si="1"/>
        <v>621463.6503659004</v>
      </c>
      <c r="AF22" s="5">
        <f t="shared" si="11"/>
        <v>0.014649604302656613</v>
      </c>
      <c r="AG22" s="4">
        <f t="shared" si="12"/>
        <v>33333.33333333335</v>
      </c>
      <c r="AH22" s="8">
        <f t="shared" si="13"/>
        <v>4103.57072369202</v>
      </c>
      <c r="AI22" s="10">
        <f t="shared" si="14"/>
        <v>7.670644509508295</v>
      </c>
      <c r="AJ22" s="8">
        <f t="shared" si="15"/>
        <v>100.96120579001925</v>
      </c>
    </row>
    <row r="23" spans="1:36" ht="12.75">
      <c r="A23" s="111"/>
      <c r="B23" s="114"/>
      <c r="D23">
        <f t="shared" si="16"/>
        <v>333.3333333333333</v>
      </c>
      <c r="E23" s="4">
        <f t="shared" si="2"/>
        <v>3000</v>
      </c>
      <c r="F23" s="15">
        <f t="shared" si="17"/>
        <v>40</v>
      </c>
      <c r="G23" s="15">
        <f t="shared" si="3"/>
        <v>13333.333333333332</v>
      </c>
      <c r="I23" s="15">
        <f t="shared" si="18"/>
        <v>0</v>
      </c>
      <c r="J23" s="15">
        <f t="shared" si="4"/>
        <v>0</v>
      </c>
      <c r="K23" s="15"/>
      <c r="L23" s="15">
        <f t="shared" si="5"/>
        <v>40</v>
      </c>
      <c r="M23" s="15">
        <f t="shared" si="6"/>
        <v>13333.333333333332</v>
      </c>
      <c r="O23" s="121"/>
      <c r="Q23" s="3">
        <f t="shared" si="19"/>
        <v>2.0324651717416335</v>
      </c>
      <c r="R23" s="4">
        <f t="shared" si="7"/>
        <v>73.00585921636853</v>
      </c>
      <c r="T23" s="4">
        <f t="shared" si="8"/>
        <v>19611.40010688213</v>
      </c>
      <c r="X23" s="3">
        <f t="shared" si="20"/>
        <v>0.8346128505742603</v>
      </c>
      <c r="AA23" s="1">
        <f t="shared" si="21"/>
        <v>0.00018597938174262998</v>
      </c>
      <c r="AB23">
        <f t="shared" si="9"/>
        <v>21.35</v>
      </c>
      <c r="AC23">
        <f t="shared" si="10"/>
        <v>1</v>
      </c>
      <c r="AD23" s="8">
        <f t="shared" si="0"/>
        <v>65.63541863626521</v>
      </c>
      <c r="AE23" s="4">
        <f t="shared" si="1"/>
        <v>628863.5262506928</v>
      </c>
      <c r="AF23" s="5">
        <f t="shared" si="11"/>
        <v>0.014606317121267382</v>
      </c>
      <c r="AG23" s="4">
        <f t="shared" si="12"/>
        <v>33333.33333333335</v>
      </c>
      <c r="AH23" s="8">
        <f t="shared" si="13"/>
        <v>4099.710424684972</v>
      </c>
      <c r="AI23" s="10">
        <f t="shared" si="14"/>
        <v>7.629647405261446</v>
      </c>
      <c r="AJ23" s="8">
        <f t="shared" si="15"/>
        <v>100.89076273401966</v>
      </c>
    </row>
    <row r="24" spans="1:36" ht="12.75">
      <c r="A24" s="111"/>
      <c r="B24" s="114"/>
      <c r="D24">
        <f t="shared" si="16"/>
        <v>333.3333333333333</v>
      </c>
      <c r="E24" s="4">
        <f t="shared" si="2"/>
        <v>3333.3333333333335</v>
      </c>
      <c r="F24" s="15">
        <f t="shared" si="17"/>
        <v>40</v>
      </c>
      <c r="G24" s="15">
        <f t="shared" si="3"/>
        <v>13333.333333333332</v>
      </c>
      <c r="I24" s="15">
        <f t="shared" si="18"/>
        <v>0</v>
      </c>
      <c r="J24" s="15">
        <f t="shared" si="4"/>
        <v>0</v>
      </c>
      <c r="K24" s="15"/>
      <c r="L24" s="15">
        <f t="shared" si="5"/>
        <v>40</v>
      </c>
      <c r="M24" s="15">
        <f t="shared" si="6"/>
        <v>13333.333333333332</v>
      </c>
      <c r="O24" s="121"/>
      <c r="Q24" s="3">
        <f t="shared" si="19"/>
        <v>2.0319473565384816</v>
      </c>
      <c r="R24" s="4">
        <f t="shared" si="7"/>
        <v>73.34045285851134</v>
      </c>
      <c r="T24" s="4">
        <f t="shared" si="8"/>
        <v>19611.40010688213</v>
      </c>
      <c r="X24" s="3">
        <f t="shared" si="20"/>
        <v>0.8329263595888349</v>
      </c>
      <c r="AA24" s="1">
        <f t="shared" si="21"/>
        <v>0.00018378486765048492</v>
      </c>
      <c r="AB24">
        <f t="shared" si="9"/>
        <v>21.35</v>
      </c>
      <c r="AC24">
        <f t="shared" si="10"/>
        <v>1</v>
      </c>
      <c r="AD24" s="8">
        <f t="shared" si="0"/>
        <v>65.76831578927323</v>
      </c>
      <c r="AE24" s="4">
        <f t="shared" si="1"/>
        <v>636372.5768490137</v>
      </c>
      <c r="AF24" s="5">
        <f t="shared" si="11"/>
        <v>0.014563037339527062</v>
      </c>
      <c r="AG24" s="4">
        <f t="shared" si="12"/>
        <v>33333.33333333335</v>
      </c>
      <c r="AH24" s="8">
        <f t="shared" si="13"/>
        <v>4095.839034850977</v>
      </c>
      <c r="AI24" s="10">
        <f t="shared" si="14"/>
        <v>7.588689014912936</v>
      </c>
      <c r="AJ24" s="8">
        <f t="shared" si="15"/>
        <v>100.82000719683747</v>
      </c>
    </row>
    <row r="25" spans="1:36" ht="12.75">
      <c r="A25" s="111"/>
      <c r="B25" s="114"/>
      <c r="D25">
        <f t="shared" si="16"/>
        <v>333.3333333333333</v>
      </c>
      <c r="E25" s="4">
        <f t="shared" si="2"/>
        <v>3666.666666666667</v>
      </c>
      <c r="F25" s="15">
        <f t="shared" si="17"/>
        <v>40</v>
      </c>
      <c r="G25" s="15">
        <f t="shared" si="3"/>
        <v>13333.333333333332</v>
      </c>
      <c r="I25" s="15">
        <f t="shared" si="18"/>
        <v>0</v>
      </c>
      <c r="J25" s="15">
        <f t="shared" si="4"/>
        <v>0</v>
      </c>
      <c r="K25" s="15"/>
      <c r="L25" s="15">
        <f t="shared" si="5"/>
        <v>40</v>
      </c>
      <c r="M25" s="15">
        <f t="shared" si="6"/>
        <v>13333.333333333332</v>
      </c>
      <c r="O25" s="121"/>
      <c r="Q25" s="3">
        <f t="shared" si="19"/>
        <v>2.031513878277759</v>
      </c>
      <c r="R25" s="4">
        <f t="shared" si="7"/>
        <v>73.6751178952292</v>
      </c>
      <c r="T25" s="4">
        <f t="shared" si="8"/>
        <v>19611.40010688213</v>
      </c>
      <c r="X25" s="3">
        <f t="shared" si="20"/>
        <v>0.8312394388232435</v>
      </c>
      <c r="AA25" s="1">
        <f t="shared" si="21"/>
        <v>0.0001816104360249853</v>
      </c>
      <c r="AB25">
        <f t="shared" si="9"/>
        <v>21.35</v>
      </c>
      <c r="AC25">
        <f t="shared" si="10"/>
        <v>1</v>
      </c>
      <c r="AD25" s="8">
        <f t="shared" si="0"/>
        <v>65.90178628217953</v>
      </c>
      <c r="AE25" s="4">
        <f t="shared" si="1"/>
        <v>643991.9003140528</v>
      </c>
      <c r="AF25" s="5">
        <f t="shared" si="11"/>
        <v>0.014519769627515007</v>
      </c>
      <c r="AG25" s="4">
        <f t="shared" si="12"/>
        <v>33333.33333333335</v>
      </c>
      <c r="AH25" s="8">
        <f t="shared" si="13"/>
        <v>4091.9574529704496</v>
      </c>
      <c r="AI25" s="10">
        <f t="shared" si="14"/>
        <v>7.547769440383232</v>
      </c>
      <c r="AJ25" s="8">
        <f t="shared" si="15"/>
        <v>100.74893633566563</v>
      </c>
    </row>
    <row r="26" spans="1:36" ht="12.75">
      <c r="A26" s="111"/>
      <c r="B26" s="114"/>
      <c r="D26">
        <f t="shared" si="16"/>
        <v>333.3333333333333</v>
      </c>
      <c r="E26" s="4">
        <f t="shared" si="2"/>
        <v>4000.0000000000005</v>
      </c>
      <c r="F26" s="15">
        <f t="shared" si="17"/>
        <v>40</v>
      </c>
      <c r="G26" s="15">
        <f t="shared" si="3"/>
        <v>13333.333333333332</v>
      </c>
      <c r="I26" s="15">
        <f t="shared" si="18"/>
        <v>0</v>
      </c>
      <c r="J26" s="15">
        <f t="shared" si="4"/>
        <v>0</v>
      </c>
      <c r="K26" s="15"/>
      <c r="L26" s="15">
        <f t="shared" si="5"/>
        <v>40</v>
      </c>
      <c r="M26" s="15">
        <f t="shared" si="6"/>
        <v>13333.333333333332</v>
      </c>
      <c r="O26" s="121"/>
      <c r="Q26" s="3">
        <f t="shared" si="19"/>
        <v>2.0311648142260927</v>
      </c>
      <c r="R26" s="4">
        <f t="shared" si="7"/>
        <v>74.00984044551409</v>
      </c>
      <c r="T26" s="4">
        <f t="shared" si="8"/>
        <v>19611.40010688213</v>
      </c>
      <c r="X26" s="3">
        <f t="shared" si="20"/>
        <v>0.8295521581076231</v>
      </c>
      <c r="AA26" s="1">
        <f t="shared" si="21"/>
        <v>0.0001794561913735348</v>
      </c>
      <c r="AB26">
        <f t="shared" si="9"/>
        <v>21.35</v>
      </c>
      <c r="AC26">
        <f t="shared" si="10"/>
        <v>1</v>
      </c>
      <c r="AD26" s="8">
        <f t="shared" si="0"/>
        <v>66.0358282613753</v>
      </c>
      <c r="AE26" s="4">
        <f t="shared" si="1"/>
        <v>651722.5675939649</v>
      </c>
      <c r="AF26" s="5">
        <f t="shared" si="11"/>
        <v>0.014476518749912395</v>
      </c>
      <c r="AG26" s="4">
        <f t="shared" si="12"/>
        <v>33333.33333333335</v>
      </c>
      <c r="AH26" s="8">
        <f t="shared" si="13"/>
        <v>4088.066612219485</v>
      </c>
      <c r="AI26" s="10">
        <f t="shared" si="14"/>
        <v>7.506888774261037</v>
      </c>
      <c r="AJ26" s="8">
        <f t="shared" si="15"/>
        <v>100.67754725081119</v>
      </c>
    </row>
    <row r="27" spans="1:36" ht="12.75">
      <c r="A27" s="111"/>
      <c r="B27" s="114"/>
      <c r="D27">
        <f t="shared" si="16"/>
        <v>333.3333333333333</v>
      </c>
      <c r="E27" s="4">
        <f t="shared" si="2"/>
        <v>4333.333333333334</v>
      </c>
      <c r="F27" s="15">
        <f t="shared" si="17"/>
        <v>40</v>
      </c>
      <c r="G27" s="15">
        <f t="shared" si="3"/>
        <v>13333.333333333332</v>
      </c>
      <c r="I27" s="15">
        <f t="shared" si="18"/>
        <v>0</v>
      </c>
      <c r="J27" s="15">
        <f t="shared" si="4"/>
        <v>0</v>
      </c>
      <c r="K27" s="15"/>
      <c r="L27" s="15">
        <f t="shared" si="5"/>
        <v>40</v>
      </c>
      <c r="M27" s="15">
        <f t="shared" si="6"/>
        <v>13333.333333333332</v>
      </c>
      <c r="O27" s="121"/>
      <c r="Q27" s="3">
        <f t="shared" si="19"/>
        <v>2.0309002276923995</v>
      </c>
      <c r="R27" s="4">
        <f t="shared" si="7"/>
        <v>74.34460660359325</v>
      </c>
      <c r="T27" s="4">
        <f t="shared" si="8"/>
        <v>19611.40010688213</v>
      </c>
      <c r="X27" s="3">
        <f t="shared" si="20"/>
        <v>0.8278645874258517</v>
      </c>
      <c r="AA27" s="1">
        <f t="shared" si="21"/>
        <v>0.00017732223498120102</v>
      </c>
      <c r="AB27">
        <f t="shared" si="9"/>
        <v>21.35</v>
      </c>
      <c r="AC27">
        <f t="shared" si="10"/>
        <v>1</v>
      </c>
      <c r="AD27" s="8">
        <f t="shared" si="0"/>
        <v>66.17043980221544</v>
      </c>
      <c r="AE27" s="4">
        <f t="shared" si="1"/>
        <v>659565.6197599425</v>
      </c>
      <c r="AF27" s="5">
        <f t="shared" si="11"/>
        <v>0.014433289566610944</v>
      </c>
      <c r="AG27" s="4">
        <f t="shared" si="12"/>
        <v>33333.33333333335</v>
      </c>
      <c r="AH27" s="8">
        <f t="shared" si="13"/>
        <v>4084.167480851049</v>
      </c>
      <c r="AI27" s="10">
        <f t="shared" si="14"/>
        <v>7.466047099452526</v>
      </c>
      <c r="AJ27" s="8">
        <f t="shared" si="15"/>
        <v>100.60583698385138</v>
      </c>
    </row>
    <row r="28" spans="1:36" ht="12.75">
      <c r="A28" s="111"/>
      <c r="B28" s="114"/>
      <c r="D28">
        <f t="shared" si="16"/>
        <v>333.3333333333333</v>
      </c>
      <c r="E28" s="4">
        <f t="shared" si="2"/>
        <v>4666.666666666667</v>
      </c>
      <c r="F28" s="15">
        <f t="shared" si="17"/>
        <v>40</v>
      </c>
      <c r="G28" s="15">
        <f t="shared" si="3"/>
        <v>13333.333333333332</v>
      </c>
      <c r="I28" s="15">
        <f t="shared" si="18"/>
        <v>0</v>
      </c>
      <c r="J28" s="15">
        <f t="shared" si="4"/>
        <v>0</v>
      </c>
      <c r="K28" s="15"/>
      <c r="L28" s="15">
        <f t="shared" si="5"/>
        <v>40</v>
      </c>
      <c r="M28" s="15">
        <f t="shared" si="6"/>
        <v>13333.333333333332</v>
      </c>
      <c r="O28" s="121"/>
      <c r="Q28" s="3">
        <f t="shared" si="19"/>
        <v>2.0307201679802773</v>
      </c>
      <c r="R28" s="4">
        <f t="shared" si="7"/>
        <v>74.67940244468782</v>
      </c>
      <c r="T28" s="4">
        <f t="shared" si="8"/>
        <v>19611.40010688213</v>
      </c>
      <c r="X28" s="3">
        <f t="shared" si="20"/>
        <v>0.826176796886664</v>
      </c>
      <c r="AA28" s="1">
        <f t="shared" si="21"/>
        <v>0.0001752086648636633</v>
      </c>
      <c r="AB28">
        <f t="shared" si="9"/>
        <v>21.35</v>
      </c>
      <c r="AC28">
        <f t="shared" si="10"/>
        <v>1</v>
      </c>
      <c r="AD28" s="8">
        <f t="shared" si="0"/>
        <v>66.3056189099959</v>
      </c>
      <c r="AE28" s="4">
        <f t="shared" si="1"/>
        <v>667522.0652106545</v>
      </c>
      <c r="AF28" s="5">
        <f t="shared" si="11"/>
        <v>0.014390087033290283</v>
      </c>
      <c r="AG28" s="4">
        <f t="shared" si="12"/>
        <v>33333.3333333333</v>
      </c>
      <c r="AH28" s="8">
        <f t="shared" si="13"/>
        <v>4080.261062874377</v>
      </c>
      <c r="AI28" s="10">
        <f t="shared" si="14"/>
        <v>7.4252444888237825</v>
      </c>
      <c r="AJ28" s="8">
        <f t="shared" si="15"/>
        <v>100.5338025157251</v>
      </c>
    </row>
    <row r="29" spans="1:36" ht="13.5" thickBot="1">
      <c r="A29" s="112"/>
      <c r="B29" s="115"/>
      <c r="D29">
        <f t="shared" si="16"/>
        <v>333.3333333333333</v>
      </c>
      <c r="E29" s="4">
        <f t="shared" si="2"/>
        <v>5000</v>
      </c>
      <c r="F29" s="15">
        <f t="shared" si="17"/>
        <v>40</v>
      </c>
      <c r="G29" s="15">
        <f t="shared" si="3"/>
        <v>13333.333333333332</v>
      </c>
      <c r="I29" s="15">
        <f t="shared" si="18"/>
        <v>0</v>
      </c>
      <c r="J29" s="15">
        <f t="shared" si="4"/>
        <v>0</v>
      </c>
      <c r="K29" s="15"/>
      <c r="L29" s="15">
        <f t="shared" si="5"/>
        <v>40</v>
      </c>
      <c r="M29" s="15">
        <f t="shared" si="6"/>
        <v>13333.333333333332</v>
      </c>
      <c r="O29" s="122"/>
      <c r="Q29" s="3">
        <f t="shared" si="19"/>
        <v>2.0306246703505093</v>
      </c>
      <c r="R29" s="4">
        <f t="shared" si="7"/>
        <v>75.01421403079414</v>
      </c>
      <c r="T29" s="4">
        <f t="shared" si="8"/>
        <v>19611.40010688213</v>
      </c>
      <c r="X29" s="3">
        <f t="shared" si="20"/>
        <v>0.8244888566946175</v>
      </c>
      <c r="AA29" s="1">
        <f t="shared" si="21"/>
        <v>0.0001731155757224491</v>
      </c>
      <c r="AB29">
        <f t="shared" si="9"/>
        <v>21.35</v>
      </c>
      <c r="AC29">
        <f t="shared" si="10"/>
        <v>1</v>
      </c>
      <c r="AD29" s="8">
        <f t="shared" si="0"/>
        <v>66.44136352098484</v>
      </c>
      <c r="AE29" s="4">
        <f t="shared" si="1"/>
        <v>675592.8767501859</v>
      </c>
      <c r="AF29" s="5">
        <f t="shared" si="11"/>
        <v>0.014346916201962009</v>
      </c>
      <c r="AG29" s="4">
        <f t="shared" si="12"/>
        <v>33333.3333333333</v>
      </c>
      <c r="AH29" s="8">
        <f t="shared" si="13"/>
        <v>4076.3483987317227</v>
      </c>
      <c r="AI29" s="10">
        <f t="shared" si="14"/>
        <v>7.3844810048364655</v>
      </c>
      <c r="AJ29" s="8">
        <f t="shared" si="15"/>
        <v>100.46144076475747</v>
      </c>
    </row>
    <row r="30" spans="1:36" ht="12.75">
      <c r="A30" s="108" t="s">
        <v>43</v>
      </c>
      <c r="B30" s="113">
        <f>O30</f>
        <v>200000.00000000003</v>
      </c>
      <c r="D30">
        <f t="shared" si="16"/>
        <v>333.3333333333333</v>
      </c>
      <c r="E30" s="4">
        <f t="shared" si="2"/>
        <v>5333.333333333333</v>
      </c>
      <c r="F30" s="15">
        <f t="shared" si="17"/>
        <v>40</v>
      </c>
      <c r="G30" s="15">
        <f t="shared" si="3"/>
        <v>13333.333333333332</v>
      </c>
      <c r="I30" s="15">
        <f t="shared" si="18"/>
        <v>0</v>
      </c>
      <c r="J30" s="15">
        <f t="shared" si="4"/>
        <v>0</v>
      </c>
      <c r="K30" s="15"/>
      <c r="L30" s="15">
        <f t="shared" si="5"/>
        <v>40</v>
      </c>
      <c r="M30" s="15">
        <f t="shared" si="6"/>
        <v>13333.333333333332</v>
      </c>
      <c r="O30" s="116">
        <f>SUM(M30:M44)</f>
        <v>200000.00000000003</v>
      </c>
      <c r="Q30" s="3">
        <f t="shared" si="19"/>
        <v>2.0306137559937465</v>
      </c>
      <c r="R30" s="4">
        <f t="shared" si="7"/>
        <v>75.34902741648104</v>
      </c>
      <c r="T30" s="4">
        <f t="shared" si="8"/>
        <v>19611.40010688213</v>
      </c>
      <c r="X30" s="3">
        <f t="shared" si="20"/>
        <v>0.8228008371209453</v>
      </c>
      <c r="AA30" s="1">
        <f t="shared" si="21"/>
        <v>0.0001710430589025187</v>
      </c>
      <c r="AB30">
        <f t="shared" si="9"/>
        <v>21.35</v>
      </c>
      <c r="AC30">
        <f t="shared" si="10"/>
        <v>1</v>
      </c>
      <c r="AD30" s="8">
        <f t="shared" si="0"/>
        <v>66.57767150350624</v>
      </c>
      <c r="AE30" s="4">
        <f t="shared" si="1"/>
        <v>683778.9885367383</v>
      </c>
      <c r="AF30" s="5">
        <f t="shared" si="11"/>
        <v>0.014303782221477997</v>
      </c>
      <c r="AG30" s="4">
        <f t="shared" si="12"/>
        <v>33333.3333333333</v>
      </c>
      <c r="AH30" s="8">
        <f t="shared" si="13"/>
        <v>4072.4305659713204</v>
      </c>
      <c r="AI30" s="10">
        <f t="shared" si="14"/>
        <v>7.343756699176752</v>
      </c>
      <c r="AJ30" s="8">
        <f t="shared" si="15"/>
        <v>100.38874858461531</v>
      </c>
    </row>
    <row r="31" spans="1:36" ht="12.75">
      <c r="A31" s="111"/>
      <c r="B31" s="114"/>
      <c r="D31">
        <f t="shared" si="16"/>
        <v>333.3333333333333</v>
      </c>
      <c r="E31" s="4">
        <f t="shared" si="2"/>
        <v>5666.666666666666</v>
      </c>
      <c r="F31" s="15">
        <f t="shared" si="17"/>
        <v>40</v>
      </c>
      <c r="G31" s="15">
        <f t="shared" si="3"/>
        <v>13333.333333333332</v>
      </c>
      <c r="I31" s="15">
        <f t="shared" si="18"/>
        <v>0</v>
      </c>
      <c r="J31" s="15">
        <f t="shared" si="4"/>
        <v>0</v>
      </c>
      <c r="K31" s="15"/>
      <c r="L31" s="15">
        <f t="shared" si="5"/>
        <v>40</v>
      </c>
      <c r="M31" s="15">
        <f t="shared" si="6"/>
        <v>13333.333333333332</v>
      </c>
      <c r="O31" s="117"/>
      <c r="Q31" s="3">
        <f t="shared" si="19"/>
        <v>2.03068743201343</v>
      </c>
      <c r="R31" s="4">
        <f t="shared" si="7"/>
        <v>75.6838286546965</v>
      </c>
      <c r="T31" s="4">
        <f t="shared" si="8"/>
        <v>19611.40010688213</v>
      </c>
      <c r="X31" s="3">
        <f t="shared" si="20"/>
        <v>0.8211128084743277</v>
      </c>
      <c r="AA31" s="1">
        <f t="shared" si="21"/>
        <v>0.0001689912023522499</v>
      </c>
      <c r="AB31">
        <f t="shared" si="9"/>
        <v>21.35</v>
      </c>
      <c r="AC31">
        <f t="shared" si="10"/>
        <v>1</v>
      </c>
      <c r="AD31" s="8">
        <f t="shared" si="0"/>
        <v>66.71454065907554</v>
      </c>
      <c r="AE31" s="4">
        <f t="shared" si="1"/>
        <v>692081.2928995464</v>
      </c>
      <c r="AF31" s="5">
        <f t="shared" si="11"/>
        <v>0.014260690338000627</v>
      </c>
      <c r="AG31" s="4">
        <f t="shared" si="12"/>
        <v>33333.3333333333</v>
      </c>
      <c r="AH31" s="8">
        <f t="shared" si="13"/>
        <v>4068.508679915769</v>
      </c>
      <c r="AI31" s="10">
        <f t="shared" si="14"/>
        <v>7.303071612377594</v>
      </c>
      <c r="AJ31" s="8">
        <f t="shared" si="15"/>
        <v>100.31572276219151</v>
      </c>
    </row>
    <row r="32" spans="1:36" ht="12.75">
      <c r="A32" s="111"/>
      <c r="B32" s="114"/>
      <c r="D32">
        <f t="shared" si="16"/>
        <v>333.3333333333333</v>
      </c>
      <c r="E32" s="4">
        <f t="shared" si="2"/>
        <v>5999.999999999999</v>
      </c>
      <c r="F32" s="15">
        <f t="shared" si="17"/>
        <v>40</v>
      </c>
      <c r="G32" s="15">
        <f t="shared" si="3"/>
        <v>13333.333333333332</v>
      </c>
      <c r="I32" s="15">
        <f t="shared" si="18"/>
        <v>0</v>
      </c>
      <c r="J32" s="15">
        <f t="shared" si="4"/>
        <v>0</v>
      </c>
      <c r="K32" s="15"/>
      <c r="L32" s="15">
        <f t="shared" si="5"/>
        <v>40</v>
      </c>
      <c r="M32" s="15">
        <f t="shared" si="6"/>
        <v>13333.333333333332</v>
      </c>
      <c r="O32" s="117"/>
      <c r="Q32" s="3">
        <f t="shared" si="19"/>
        <v>2.0308456914189557</v>
      </c>
      <c r="R32" s="4">
        <f t="shared" si="7"/>
        <v>76.0186038025767</v>
      </c>
      <c r="T32" s="4">
        <f t="shared" si="8"/>
        <v>19611.40010688213</v>
      </c>
      <c r="X32" s="3">
        <f t="shared" si="20"/>
        <v>0.8194248410716167</v>
      </c>
      <c r="AA32" s="1">
        <f t="shared" si="21"/>
        <v>0.00016696009058587231</v>
      </c>
      <c r="AB32">
        <f t="shared" si="9"/>
        <v>21.35</v>
      </c>
      <c r="AC32">
        <f t="shared" si="10"/>
        <v>1</v>
      </c>
      <c r="AD32" s="8">
        <f t="shared" si="0"/>
        <v>66.85196872358489</v>
      </c>
      <c r="AE32" s="4">
        <f t="shared" si="1"/>
        <v>700500.6370216385</v>
      </c>
      <c r="AF32" s="5">
        <f t="shared" si="11"/>
        <v>0.01421764589543239</v>
      </c>
      <c r="AG32" s="4">
        <f t="shared" si="12"/>
        <v>33333.3333333333</v>
      </c>
      <c r="AH32" s="8">
        <f t="shared" si="13"/>
        <v>4064.5838943245467</v>
      </c>
      <c r="AI32" s="10">
        <f t="shared" si="14"/>
        <v>7.262425773434349</v>
      </c>
      <c r="AJ32" s="8">
        <f t="shared" si="15"/>
        <v>100.24236001541541</v>
      </c>
    </row>
    <row r="33" spans="1:36" ht="12.75">
      <c r="A33" s="111"/>
      <c r="B33" s="114"/>
      <c r="D33">
        <f t="shared" si="16"/>
        <v>333.3333333333333</v>
      </c>
      <c r="E33" s="4">
        <f t="shared" si="2"/>
        <v>6333.333333333332</v>
      </c>
      <c r="F33" s="15">
        <f t="shared" si="17"/>
        <v>40</v>
      </c>
      <c r="G33" s="15">
        <f t="shared" si="3"/>
        <v>13333.333333333332</v>
      </c>
      <c r="I33" s="15">
        <f t="shared" si="18"/>
        <v>0</v>
      </c>
      <c r="J33" s="15">
        <f t="shared" si="4"/>
        <v>0</v>
      </c>
      <c r="K33" s="15"/>
      <c r="L33" s="15">
        <f t="shared" si="5"/>
        <v>40</v>
      </c>
      <c r="M33" s="15">
        <f t="shared" si="6"/>
        <v>13333.333333333332</v>
      </c>
      <c r="O33" s="117"/>
      <c r="Q33" s="3">
        <f t="shared" si="19"/>
        <v>2.0310885131291228</v>
      </c>
      <c r="R33" s="4">
        <f t="shared" si="7"/>
        <v>76.35333892725093</v>
      </c>
      <c r="T33" s="4">
        <f t="shared" si="8"/>
        <v>19611.40010688213</v>
      </c>
      <c r="X33" s="3">
        <f t="shared" si="20"/>
        <v>0.8177370052085491</v>
      </c>
      <c r="AA33" s="1">
        <f t="shared" si="21"/>
        <v>0.00016494980464839718</v>
      </c>
      <c r="AB33">
        <f t="shared" si="9"/>
        <v>21.35</v>
      </c>
      <c r="AC33">
        <f t="shared" si="10"/>
        <v>1</v>
      </c>
      <c r="AD33" s="8">
        <f t="shared" si="0"/>
        <v>66.98995336853754</v>
      </c>
      <c r="AE33" s="4">
        <f t="shared" si="1"/>
        <v>709037.8194863201</v>
      </c>
      <c r="AF33" s="5">
        <f t="shared" si="11"/>
        <v>0.014174654335802058</v>
      </c>
      <c r="AG33" s="4">
        <f t="shared" si="12"/>
        <v>33333.3333333333</v>
      </c>
      <c r="AH33" s="8">
        <f t="shared" si="13"/>
        <v>4060.6574020495973</v>
      </c>
      <c r="AI33" s="10">
        <f t="shared" si="14"/>
        <v>7.2218191994138525</v>
      </c>
      <c r="AJ33" s="8">
        <f t="shared" si="15"/>
        <v>100.16865699098732</v>
      </c>
    </row>
    <row r="34" spans="1:36" ht="12.75">
      <c r="A34" s="111"/>
      <c r="B34" s="114"/>
      <c r="D34">
        <f t="shared" si="16"/>
        <v>333.3333333333333</v>
      </c>
      <c r="E34" s="4">
        <f t="shared" si="2"/>
        <v>6666.666666666665</v>
      </c>
      <c r="F34" s="15">
        <f t="shared" si="17"/>
        <v>40</v>
      </c>
      <c r="G34" s="15">
        <f t="shared" si="3"/>
        <v>13333.333333333332</v>
      </c>
      <c r="I34" s="15">
        <f t="shared" si="18"/>
        <v>0</v>
      </c>
      <c r="J34" s="15">
        <f t="shared" si="4"/>
        <v>0</v>
      </c>
      <c r="K34" s="15"/>
      <c r="L34" s="15">
        <f t="shared" si="5"/>
        <v>40</v>
      </c>
      <c r="M34" s="15">
        <f t="shared" si="6"/>
        <v>13333.333333333332</v>
      </c>
      <c r="O34" s="117"/>
      <c r="Q34" s="3">
        <f t="shared" si="19"/>
        <v>2.0314158619858462</v>
      </c>
      <c r="R34" s="4">
        <f t="shared" si="7"/>
        <v>76.68802011163532</v>
      </c>
      <c r="T34" s="4">
        <f t="shared" si="8"/>
        <v>19611.40010688213</v>
      </c>
      <c r="X34" s="3">
        <f t="shared" si="20"/>
        <v>0.816049371130479</v>
      </c>
      <c r="AA34" s="1">
        <f t="shared" si="21"/>
        <v>0.00016296042208308072</v>
      </c>
      <c r="AB34">
        <f t="shared" si="9"/>
        <v>21.35</v>
      </c>
      <c r="AC34">
        <f t="shared" si="10"/>
        <v>1</v>
      </c>
      <c r="AD34" s="8">
        <f t="shared" si="0"/>
        <v>67.12849220232948</v>
      </c>
      <c r="AE34" s="4">
        <f t="shared" si="1"/>
        <v>717693.5866855297</v>
      </c>
      <c r="AF34" s="5">
        <f t="shared" si="11"/>
        <v>0.014131721199604617</v>
      </c>
      <c r="AG34" s="4">
        <f t="shared" si="12"/>
        <v>33333.3333333333</v>
      </c>
      <c r="AH34" s="8">
        <f t="shared" si="13"/>
        <v>4056.730435682766</v>
      </c>
      <c r="AI34" s="10">
        <f t="shared" si="14"/>
        <v>7.1812518950570245</v>
      </c>
      <c r="AJ34" s="8">
        <f t="shared" si="15"/>
        <v>100.09461026203437</v>
      </c>
    </row>
    <row r="35" spans="1:36" ht="12.75">
      <c r="A35" s="111"/>
      <c r="B35" s="114"/>
      <c r="D35">
        <f t="shared" si="16"/>
        <v>333.3333333333333</v>
      </c>
      <c r="E35" s="4">
        <f t="shared" si="2"/>
        <v>6999.999999999998</v>
      </c>
      <c r="F35" s="15">
        <f t="shared" si="17"/>
        <v>40</v>
      </c>
      <c r="G35" s="15">
        <f t="shared" si="3"/>
        <v>13333.333333333332</v>
      </c>
      <c r="I35" s="15">
        <f t="shared" si="18"/>
        <v>0</v>
      </c>
      <c r="J35" s="15">
        <f t="shared" si="4"/>
        <v>0</v>
      </c>
      <c r="K35" s="15"/>
      <c r="L35" s="15">
        <f t="shared" si="5"/>
        <v>40</v>
      </c>
      <c r="M35" s="15">
        <f t="shared" si="6"/>
        <v>13333.333333333332</v>
      </c>
      <c r="O35" s="117"/>
      <c r="Q35" s="3">
        <f t="shared" si="19"/>
        <v>2.0318276887781113</v>
      </c>
      <c r="R35" s="4">
        <f t="shared" si="7"/>
        <v>77.02263346020895</v>
      </c>
      <c r="T35" s="4">
        <f t="shared" si="8"/>
        <v>19611.40010688213</v>
      </c>
      <c r="X35" s="3">
        <f t="shared" si="20"/>
        <v>0.8143620090031682</v>
      </c>
      <c r="AA35" s="1">
        <f t="shared" si="21"/>
        <v>0.00016099201690146164</v>
      </c>
      <c r="AB35">
        <f t="shared" si="9"/>
        <v>21.35</v>
      </c>
      <c r="AC35">
        <f t="shared" si="10"/>
        <v>1</v>
      </c>
      <c r="AD35" s="8">
        <f t="shared" si="0"/>
        <v>67.26758277157685</v>
      </c>
      <c r="AE35" s="4">
        <f t="shared" si="1"/>
        <v>726468.6290884784</v>
      </c>
      <c r="AF35" s="5">
        <f t="shared" si="11"/>
        <v>0.014088852126091856</v>
      </c>
      <c r="AG35" s="4">
        <f t="shared" si="12"/>
        <v>33333.3333333333</v>
      </c>
      <c r="AH35" s="8">
        <f t="shared" si="13"/>
        <v>4052.8042681937654</v>
      </c>
      <c r="AI35" s="10">
        <f t="shared" si="14"/>
        <v>7.140723852375087</v>
      </c>
      <c r="AJ35" s="8">
        <f t="shared" si="15"/>
        <v>100.02021632568514</v>
      </c>
    </row>
    <row r="36" spans="1:36" ht="12.75">
      <c r="A36" s="111"/>
      <c r="B36" s="114"/>
      <c r="D36">
        <f t="shared" si="16"/>
        <v>333.3333333333333</v>
      </c>
      <c r="E36" s="4">
        <f t="shared" si="2"/>
        <v>7333.333333333331</v>
      </c>
      <c r="F36" s="15">
        <f t="shared" si="17"/>
        <v>40</v>
      </c>
      <c r="G36" s="15">
        <f t="shared" si="3"/>
        <v>13333.333333333332</v>
      </c>
      <c r="I36" s="15">
        <f t="shared" si="18"/>
        <v>0</v>
      </c>
      <c r="J36" s="15">
        <f t="shared" si="4"/>
        <v>0</v>
      </c>
      <c r="K36" s="15"/>
      <c r="L36" s="15">
        <f t="shared" si="5"/>
        <v>40</v>
      </c>
      <c r="M36" s="15">
        <f t="shared" si="6"/>
        <v>13333.333333333332</v>
      </c>
      <c r="O36" s="117"/>
      <c r="Q36" s="3">
        <f t="shared" si="19"/>
        <v>2.0323239302761444</v>
      </c>
      <c r="R36" s="4">
        <f t="shared" si="7"/>
        <v>77.35716510476539</v>
      </c>
      <c r="T36" s="4">
        <f t="shared" si="8"/>
        <v>19611.40010688213</v>
      </c>
      <c r="X36" s="3">
        <f t="shared" si="20"/>
        <v>0.8126749888836646</v>
      </c>
      <c r="AA36" s="1">
        <f t="shared" si="21"/>
        <v>0.00015904465955600134</v>
      </c>
      <c r="AB36">
        <f t="shared" si="9"/>
        <v>21.35</v>
      </c>
      <c r="AC36">
        <f t="shared" si="10"/>
        <v>1</v>
      </c>
      <c r="AD36" s="8">
        <f t="shared" si="0"/>
        <v>67.40722256248749</v>
      </c>
      <c r="AE36" s="4">
        <f t="shared" si="1"/>
        <v>735363.5773693654</v>
      </c>
      <c r="AF36" s="5">
        <f t="shared" si="11"/>
        <v>0.014046052853510353</v>
      </c>
      <c r="AG36" s="4">
        <f t="shared" si="12"/>
        <v>33333.3333333333</v>
      </c>
      <c r="AH36" s="8">
        <f t="shared" si="13"/>
        <v>4048.880213557324</v>
      </c>
      <c r="AI36" s="10">
        <f t="shared" si="14"/>
        <v>7.100235050239514</v>
      </c>
      <c r="AJ36" s="8">
        <f t="shared" si="15"/>
        <v>99.94547160056064</v>
      </c>
    </row>
    <row r="37" spans="1:36" ht="12.75">
      <c r="A37" s="111"/>
      <c r="B37" s="114"/>
      <c r="D37">
        <f t="shared" si="16"/>
        <v>333.3333333333333</v>
      </c>
      <c r="E37" s="4">
        <f t="shared" si="2"/>
        <v>7666.666666666664</v>
      </c>
      <c r="F37" s="15">
        <f t="shared" si="17"/>
        <v>40</v>
      </c>
      <c r="G37" s="15">
        <f t="shared" si="3"/>
        <v>13333.333333333332</v>
      </c>
      <c r="I37" s="15">
        <f t="shared" si="18"/>
        <v>0</v>
      </c>
      <c r="J37" s="15">
        <f t="shared" si="4"/>
        <v>0</v>
      </c>
      <c r="K37" s="15"/>
      <c r="L37" s="15">
        <f t="shared" si="5"/>
        <v>40</v>
      </c>
      <c r="M37" s="15">
        <f t="shared" si="6"/>
        <v>13333.333333333332</v>
      </c>
      <c r="O37" s="117"/>
      <c r="Q37" s="3">
        <f t="shared" si="19"/>
        <v>2.032904509275728</v>
      </c>
      <c r="R37" s="4">
        <f t="shared" si="7"/>
        <v>77.69160121013311</v>
      </c>
      <c r="T37" s="4">
        <f t="shared" si="8"/>
        <v>19611.40010688213</v>
      </c>
      <c r="X37" s="3">
        <f t="shared" si="20"/>
        <v>0.8109883806913045</v>
      </c>
      <c r="AA37" s="1">
        <f t="shared" si="21"/>
        <v>0.00015711841691535837</v>
      </c>
      <c r="AB37">
        <f t="shared" si="9"/>
        <v>21.35</v>
      </c>
      <c r="AC37">
        <f t="shared" si="10"/>
        <v>1</v>
      </c>
      <c r="AD37" s="8">
        <f t="shared" si="0"/>
        <v>67.54740900227497</v>
      </c>
      <c r="AE37" s="4">
        <f t="shared" si="1"/>
        <v>744378.9983932909</v>
      </c>
      <c r="AF37" s="5">
        <f t="shared" si="11"/>
        <v>0.014003329219283534</v>
      </c>
      <c r="AG37" s="4">
        <f t="shared" si="12"/>
        <v>33333.3333333333</v>
      </c>
      <c r="AH37" s="8">
        <f t="shared" si="13"/>
        <v>4044.9596273681113</v>
      </c>
      <c r="AI37" s="10">
        <f t="shared" si="14"/>
        <v>7.059785453965834</v>
      </c>
      <c r="AJ37" s="8">
        <f t="shared" si="15"/>
        <v>99.87037242417847</v>
      </c>
    </row>
    <row r="38" spans="1:36" ht="12.75">
      <c r="A38" s="111"/>
      <c r="B38" s="114"/>
      <c r="D38">
        <f t="shared" si="16"/>
        <v>333.3333333333333</v>
      </c>
      <c r="E38" s="4">
        <f t="shared" si="2"/>
        <v>7999.999999999997</v>
      </c>
      <c r="F38" s="15">
        <f t="shared" si="17"/>
        <v>40</v>
      </c>
      <c r="G38" s="15">
        <f t="shared" si="3"/>
        <v>13333.333333333332</v>
      </c>
      <c r="I38" s="15">
        <f t="shared" si="18"/>
        <v>0</v>
      </c>
      <c r="J38" s="15">
        <f t="shared" si="4"/>
        <v>0</v>
      </c>
      <c r="K38" s="15"/>
      <c r="L38" s="15">
        <f t="shared" si="5"/>
        <v>40</v>
      </c>
      <c r="M38" s="15">
        <f t="shared" si="6"/>
        <v>13333.333333333332</v>
      </c>
      <c r="O38" s="117"/>
      <c r="Q38" s="3">
        <f t="shared" si="19"/>
        <v>2.0335693346526087</v>
      </c>
      <c r="R38" s="4">
        <f t="shared" si="7"/>
        <v>78.02592797985834</v>
      </c>
      <c r="T38" s="4">
        <f t="shared" si="8"/>
        <v>19611.40010688213</v>
      </c>
      <c r="X38" s="3">
        <f t="shared" si="20"/>
        <v>0.8093022541788719</v>
      </c>
      <c r="AA38" s="1">
        <f t="shared" si="21"/>
        <v>0.00015521335224231715</v>
      </c>
      <c r="AB38">
        <f t="shared" si="9"/>
        <v>21.35</v>
      </c>
      <c r="AC38">
        <f t="shared" si="10"/>
        <v>1</v>
      </c>
      <c r="AD38" s="8">
        <f t="shared" si="0"/>
        <v>67.68813946061334</v>
      </c>
      <c r="AE38" s="4">
        <f t="shared" si="1"/>
        <v>753515.3910599409</v>
      </c>
      <c r="AF38" s="5">
        <f t="shared" si="11"/>
        <v>0.013960687160134093</v>
      </c>
      <c r="AG38" s="4">
        <f t="shared" si="12"/>
        <v>33333.3333333333</v>
      </c>
      <c r="AH38" s="8">
        <f t="shared" si="13"/>
        <v>4041.0439074418864</v>
      </c>
      <c r="AI38" s="10">
        <f t="shared" si="14"/>
        <v>7.0193750148914145</v>
      </c>
      <c r="AJ38" s="8">
        <f t="shared" si="15"/>
        <v>99.79491505026796</v>
      </c>
    </row>
    <row r="39" spans="1:36" ht="12.75">
      <c r="A39" s="111"/>
      <c r="B39" s="114"/>
      <c r="D39">
        <f t="shared" si="16"/>
        <v>333.3333333333333</v>
      </c>
      <c r="E39" s="4">
        <f t="shared" si="2"/>
        <v>8333.33333333333</v>
      </c>
      <c r="F39" s="15">
        <f t="shared" si="17"/>
        <v>40</v>
      </c>
      <c r="G39" s="15">
        <f t="shared" si="3"/>
        <v>13333.333333333332</v>
      </c>
      <c r="I39" s="15">
        <f t="shared" si="18"/>
        <v>0</v>
      </c>
      <c r="J39" s="15">
        <f t="shared" si="4"/>
        <v>0</v>
      </c>
      <c r="K39" s="15"/>
      <c r="L39" s="15">
        <f t="shared" si="5"/>
        <v>40</v>
      </c>
      <c r="M39" s="15">
        <f t="shared" si="6"/>
        <v>13333.333333333332</v>
      </c>
      <c r="O39" s="117"/>
      <c r="Q39" s="3">
        <f t="shared" si="19"/>
        <v>2.0343183014268824</v>
      </c>
      <c r="R39" s="4">
        <f t="shared" si="7"/>
        <v>78.3601316618435</v>
      </c>
      <c r="T39" s="4">
        <f t="shared" si="8"/>
        <v>19611.40010688213</v>
      </c>
      <c r="X39" s="3">
        <f t="shared" si="20"/>
        <v>0.8076166789039483</v>
      </c>
      <c r="AA39" s="1">
        <f t="shared" si="21"/>
        <v>0.0001533295251743927</v>
      </c>
      <c r="AB39">
        <f t="shared" si="9"/>
        <v>21.35</v>
      </c>
      <c r="AC39">
        <f t="shared" si="10"/>
        <v>1</v>
      </c>
      <c r="AD39" s="8">
        <f t="shared" si="0"/>
        <v>67.82941125113065</v>
      </c>
      <c r="AE39" s="4">
        <f t="shared" si="1"/>
        <v>762773.182005044</v>
      </c>
      <c r="AF39" s="5">
        <f t="shared" si="11"/>
        <v>0.013918132712143053</v>
      </c>
      <c r="AG39" s="4">
        <f t="shared" si="12"/>
        <v>33333.3333333333</v>
      </c>
      <c r="AH39" s="8">
        <f t="shared" si="13"/>
        <v>4037.13449440133</v>
      </c>
      <c r="AI39" s="10">
        <f t="shared" si="14"/>
        <v>6.979003669947401</v>
      </c>
      <c r="AJ39" s="8">
        <f t="shared" si="15"/>
        <v>99.71909564599278</v>
      </c>
    </row>
    <row r="40" spans="1:36" ht="12.75">
      <c r="A40" s="111"/>
      <c r="B40" s="114"/>
      <c r="D40">
        <f t="shared" si="16"/>
        <v>333.3333333333333</v>
      </c>
      <c r="E40" s="4">
        <f t="shared" si="2"/>
        <v>8666.666666666664</v>
      </c>
      <c r="F40" s="15">
        <f t="shared" si="17"/>
        <v>40</v>
      </c>
      <c r="G40" s="15">
        <f t="shared" si="3"/>
        <v>13333.333333333332</v>
      </c>
      <c r="I40" s="15">
        <f t="shared" si="18"/>
        <v>0</v>
      </c>
      <c r="J40" s="15">
        <f t="shared" si="4"/>
        <v>0</v>
      </c>
      <c r="K40" s="15"/>
      <c r="L40" s="15">
        <f t="shared" si="5"/>
        <v>40</v>
      </c>
      <c r="M40" s="15">
        <f t="shared" si="6"/>
        <v>13333.333333333332</v>
      </c>
      <c r="O40" s="117"/>
      <c r="Q40" s="3">
        <f t="shared" si="19"/>
        <v>2.0351512908372844</v>
      </c>
      <c r="R40" s="4">
        <f t="shared" si="7"/>
        <v>78.69419855393532</v>
      </c>
      <c r="T40" s="4">
        <f t="shared" si="8"/>
        <v>19611.40010688213</v>
      </c>
      <c r="X40" s="3">
        <f t="shared" si="20"/>
        <v>0.8059317242004838</v>
      </c>
      <c r="AA40" s="1">
        <f t="shared" si="21"/>
        <v>0.00015146699170712444</v>
      </c>
      <c r="AB40">
        <f t="shared" si="9"/>
        <v>21.35</v>
      </c>
      <c r="AC40">
        <f t="shared" si="10"/>
        <v>1</v>
      </c>
      <c r="AD40" s="8">
        <f t="shared" si="0"/>
        <v>67.9712216329396</v>
      </c>
      <c r="AE40" s="4">
        <f t="shared" si="1"/>
        <v>772152.7211601235</v>
      </c>
      <c r="AF40" s="5">
        <f t="shared" si="11"/>
        <v>0.013875672010741425</v>
      </c>
      <c r="AG40" s="4">
        <f t="shared" si="12"/>
        <v>33333.333333333394</v>
      </c>
      <c r="AH40" s="8">
        <f t="shared" si="13"/>
        <v>4033.23287224487</v>
      </c>
      <c r="AI40" s="10">
        <f t="shared" si="14"/>
        <v>6.9386713412249525</v>
      </c>
      <c r="AJ40" s="8">
        <f t="shared" si="15"/>
        <v>99.64291028907853</v>
      </c>
    </row>
    <row r="41" spans="1:36" ht="12.75">
      <c r="A41" s="111"/>
      <c r="B41" s="114"/>
      <c r="D41">
        <f t="shared" si="16"/>
        <v>333.3333333333333</v>
      </c>
      <c r="E41" s="4">
        <f t="shared" si="2"/>
        <v>8999.999999999998</v>
      </c>
      <c r="F41" s="15">
        <f t="shared" si="17"/>
        <v>40</v>
      </c>
      <c r="G41" s="15">
        <f t="shared" si="3"/>
        <v>13333.333333333332</v>
      </c>
      <c r="I41" s="15">
        <f t="shared" si="18"/>
        <v>0</v>
      </c>
      <c r="J41" s="15">
        <f t="shared" si="4"/>
        <v>0</v>
      </c>
      <c r="K41" s="15"/>
      <c r="L41" s="15">
        <f t="shared" si="5"/>
        <v>40</v>
      </c>
      <c r="M41" s="15">
        <f t="shared" si="6"/>
        <v>13333.333333333332</v>
      </c>
      <c r="O41" s="117"/>
      <c r="Q41" s="3">
        <f t="shared" si="19"/>
        <v>2.036068170425237</v>
      </c>
      <c r="R41" s="4">
        <f t="shared" si="7"/>
        <v>79.0281150094559</v>
      </c>
      <c r="T41" s="4">
        <f t="shared" si="8"/>
        <v>19611.40010688213</v>
      </c>
      <c r="X41" s="3">
        <f t="shared" si="20"/>
        <v>0.8042474591506243</v>
      </c>
      <c r="AA41" s="1">
        <f t="shared" si="21"/>
        <v>0.00014962580418007045</v>
      </c>
      <c r="AB41">
        <f t="shared" si="9"/>
        <v>21.35</v>
      </c>
      <c r="AC41">
        <f t="shared" si="10"/>
        <v>1</v>
      </c>
      <c r="AD41" s="8">
        <f t="shared" si="0"/>
        <v>68.11356781220329</v>
      </c>
      <c r="AE41" s="4">
        <f t="shared" si="1"/>
        <v>781654.2771716112</v>
      </c>
      <c r="AF41" s="5">
        <f t="shared" si="11"/>
        <v>0.013833311290630318</v>
      </c>
      <c r="AG41" s="4">
        <f t="shared" si="12"/>
        <v>33333.333333333394</v>
      </c>
      <c r="AH41" s="8">
        <f t="shared" si="13"/>
        <v>4029.340568896734</v>
      </c>
      <c r="AI41" s="10">
        <f t="shared" si="14"/>
        <v>6.8983779355359856</v>
      </c>
      <c r="AJ41" s="8">
        <f t="shared" si="15"/>
        <v>99.56635496484185</v>
      </c>
    </row>
    <row r="42" spans="1:36" ht="12.75">
      <c r="A42" s="111"/>
      <c r="B42" s="114"/>
      <c r="D42">
        <f t="shared" si="16"/>
        <v>333.3333333333333</v>
      </c>
      <c r="E42" s="4">
        <f t="shared" si="2"/>
        <v>9333.333333333332</v>
      </c>
      <c r="F42" s="15">
        <f t="shared" si="17"/>
        <v>40</v>
      </c>
      <c r="G42" s="15">
        <f t="shared" si="3"/>
        <v>13333.333333333332</v>
      </c>
      <c r="I42" s="15">
        <f t="shared" si="18"/>
        <v>0</v>
      </c>
      <c r="J42" s="15">
        <f t="shared" si="4"/>
        <v>0</v>
      </c>
      <c r="K42" s="15"/>
      <c r="L42" s="15">
        <f t="shared" si="5"/>
        <v>40</v>
      </c>
      <c r="M42" s="15">
        <f t="shared" si="6"/>
        <v>13333.333333333332</v>
      </c>
      <c r="O42" s="117"/>
      <c r="Q42" s="3">
        <f t="shared" si="19"/>
        <v>2.037068794128529</v>
      </c>
      <c r="R42" s="4">
        <f t="shared" si="7"/>
        <v>79.36186744267087</v>
      </c>
      <c r="T42" s="4">
        <f t="shared" si="8"/>
        <v>19611.40010688213</v>
      </c>
      <c r="X42" s="3">
        <f t="shared" si="20"/>
        <v>0.8025639525568262</v>
      </c>
      <c r="AA42" s="1">
        <f t="shared" si="21"/>
        <v>0.00014780601126550573</v>
      </c>
      <c r="AB42">
        <f t="shared" si="9"/>
        <v>21.35</v>
      </c>
      <c r="AC42">
        <f t="shared" si="10"/>
        <v>1</v>
      </c>
      <c r="AD42" s="8">
        <f t="shared" si="0"/>
        <v>68.25644694373372</v>
      </c>
      <c r="AE42" s="4">
        <f t="shared" si="1"/>
        <v>791278.0326809925</v>
      </c>
      <c r="AF42" s="5">
        <f t="shared" si="11"/>
        <v>0.01379105688562509</v>
      </c>
      <c r="AG42" s="4">
        <f t="shared" si="12"/>
        <v>33333.333333333394</v>
      </c>
      <c r="AH42" s="8">
        <f t="shared" si="13"/>
        <v>4025.4591567365082</v>
      </c>
      <c r="AI42" s="10">
        <f t="shared" si="14"/>
        <v>6.858123343968621</v>
      </c>
      <c r="AJ42" s="8">
        <f t="shared" si="15"/>
        <v>99.48942556311822</v>
      </c>
    </row>
    <row r="43" spans="1:36" ht="12.75">
      <c r="A43" s="111"/>
      <c r="B43" s="114"/>
      <c r="D43">
        <f t="shared" si="16"/>
        <v>333.3333333333333</v>
      </c>
      <c r="E43" s="4">
        <f t="shared" si="2"/>
        <v>9666.666666666666</v>
      </c>
      <c r="F43" s="15">
        <f t="shared" si="17"/>
        <v>40</v>
      </c>
      <c r="G43" s="15">
        <f t="shared" si="3"/>
        <v>13333.333333333332</v>
      </c>
      <c r="I43" s="15">
        <f t="shared" si="18"/>
        <v>0</v>
      </c>
      <c r="J43" s="15">
        <f t="shared" si="4"/>
        <v>0</v>
      </c>
      <c r="K43" s="15"/>
      <c r="L43" s="15">
        <f t="shared" si="5"/>
        <v>40</v>
      </c>
      <c r="M43" s="15">
        <f t="shared" si="6"/>
        <v>13333.333333333332</v>
      </c>
      <c r="O43" s="117"/>
      <c r="Q43" s="3">
        <f t="shared" si="19"/>
        <v>2.03815300238448</v>
      </c>
      <c r="R43" s="4">
        <f t="shared" si="7"/>
        <v>79.69544233418847</v>
      </c>
      <c r="T43" s="4">
        <f t="shared" si="8"/>
        <v>19611.40010688213</v>
      </c>
      <c r="X43" s="3">
        <f t="shared" si="20"/>
        <v>0.8008812729142863</v>
      </c>
      <c r="AA43" s="1">
        <f t="shared" si="21"/>
        <v>0.00014600765795982744</v>
      </c>
      <c r="AB43">
        <f t="shared" si="9"/>
        <v>21.35</v>
      </c>
      <c r="AC43">
        <f t="shared" si="10"/>
        <v>1</v>
      </c>
      <c r="AD43" s="8">
        <f t="shared" si="0"/>
        <v>68.39985613262185</v>
      </c>
      <c r="AE43" s="4">
        <f t="shared" si="1"/>
        <v>801024.0794683058</v>
      </c>
      <c r="AF43" s="5">
        <f t="shared" si="11"/>
        <v>0.013748915228418923</v>
      </c>
      <c r="AG43" s="4">
        <f t="shared" si="12"/>
        <v>33333.333333333394</v>
      </c>
      <c r="AH43" s="8">
        <f t="shared" si="13"/>
        <v>4021.590253106128</v>
      </c>
      <c r="AI43" s="10">
        <f t="shared" si="14"/>
        <v>6.817907441437559</v>
      </c>
      <c r="AJ43" s="8">
        <f t="shared" si="15"/>
        <v>99.41211787508493</v>
      </c>
    </row>
    <row r="44" spans="1:36" ht="13.5" thickBot="1">
      <c r="A44" s="112"/>
      <c r="B44" s="115"/>
      <c r="D44">
        <f t="shared" si="16"/>
        <v>333.3333333333333</v>
      </c>
      <c r="E44" s="4">
        <f t="shared" si="2"/>
        <v>10000</v>
      </c>
      <c r="F44" s="15">
        <f t="shared" si="17"/>
        <v>40</v>
      </c>
      <c r="G44" s="15">
        <f t="shared" si="3"/>
        <v>13333.333333333332</v>
      </c>
      <c r="I44" s="15">
        <f t="shared" si="18"/>
        <v>0</v>
      </c>
      <c r="J44" s="15">
        <f t="shared" si="4"/>
        <v>0</v>
      </c>
      <c r="K44" s="15"/>
      <c r="L44" s="15">
        <f t="shared" si="5"/>
        <v>40</v>
      </c>
      <c r="M44" s="15">
        <f t="shared" si="6"/>
        <v>13333.333333333332</v>
      </c>
      <c r="O44" s="118"/>
      <c r="Q44" s="3">
        <f t="shared" si="19"/>
        <v>2.0393206222424127</v>
      </c>
      <c r="R44" s="4">
        <f t="shared" si="7"/>
        <v>80.0288262362838</v>
      </c>
      <c r="T44" s="4">
        <f t="shared" si="8"/>
        <v>19611.40010688213</v>
      </c>
      <c r="X44" s="3">
        <f t="shared" si="20"/>
        <v>0.7991994883837221</v>
      </c>
      <c r="AA44" s="1">
        <f t="shared" si="21"/>
        <v>0.00014423078557766183</v>
      </c>
      <c r="AB44">
        <f t="shared" si="9"/>
        <v>21.35</v>
      </c>
      <c r="AC44">
        <f t="shared" si="10"/>
        <v>1</v>
      </c>
      <c r="AD44" s="8">
        <f t="shared" si="0"/>
        <v>68.54379243589614</v>
      </c>
      <c r="AE44" s="4">
        <f t="shared" si="1"/>
        <v>810892.4134620248</v>
      </c>
      <c r="AF44" s="5">
        <f t="shared" si="11"/>
        <v>0.013706892850261072</v>
      </c>
      <c r="AG44" s="4">
        <f t="shared" si="12"/>
        <v>33333.333333333394</v>
      </c>
      <c r="AH44" s="8">
        <f t="shared" si="13"/>
        <v>4017.735520792431</v>
      </c>
      <c r="AI44" s="10">
        <f t="shared" si="14"/>
        <v>6.777730086229635</v>
      </c>
      <c r="AJ44" s="8">
        <f t="shared" si="15"/>
        <v>99.33442758997607</v>
      </c>
    </row>
    <row r="45" spans="1:36" ht="12.75">
      <c r="A45" s="108" t="s">
        <v>44</v>
      </c>
      <c r="B45" s="113">
        <f>O45</f>
        <v>200000.00000000003</v>
      </c>
      <c r="D45">
        <f t="shared" si="16"/>
        <v>333.3333333333333</v>
      </c>
      <c r="E45" s="4">
        <f t="shared" si="2"/>
        <v>10333.333333333334</v>
      </c>
      <c r="F45" s="15">
        <f t="shared" si="17"/>
        <v>40</v>
      </c>
      <c r="G45" s="15">
        <f t="shared" si="3"/>
        <v>13333.333333333332</v>
      </c>
      <c r="I45" s="15">
        <f t="shared" si="18"/>
        <v>0</v>
      </c>
      <c r="J45" s="15">
        <f t="shared" si="4"/>
        <v>0</v>
      </c>
      <c r="K45" s="15"/>
      <c r="L45" s="15">
        <f t="shared" si="5"/>
        <v>40</v>
      </c>
      <c r="M45" s="15">
        <f t="shared" si="6"/>
        <v>13333.333333333332</v>
      </c>
      <c r="O45" s="116">
        <f>SUM(M45:M59)</f>
        <v>200000.00000000003</v>
      </c>
      <c r="Q45" s="3">
        <f t="shared" si="19"/>
        <v>2.0405714674852615</v>
      </c>
      <c r="R45" s="4">
        <f t="shared" si="7"/>
        <v>80.3620057781425</v>
      </c>
      <c r="T45" s="4">
        <f t="shared" si="8"/>
        <v>19611.40010688213</v>
      </c>
      <c r="X45" s="3">
        <f t="shared" si="20"/>
        <v>0.797518666764528</v>
      </c>
      <c r="AA45" s="1">
        <f t="shared" si="21"/>
        <v>0.00014247543174866677</v>
      </c>
      <c r="AB45">
        <f t="shared" si="9"/>
        <v>21.35</v>
      </c>
      <c r="AC45">
        <f t="shared" si="10"/>
        <v>1</v>
      </c>
      <c r="AD45" s="8">
        <f t="shared" si="0"/>
        <v>68.68825286420838</v>
      </c>
      <c r="AE45" s="4">
        <f t="shared" si="1"/>
        <v>820882.929619116</v>
      </c>
      <c r="AF45" s="5">
        <f t="shared" si="11"/>
        <v>0.013664996380544707</v>
      </c>
      <c r="AG45" s="4">
        <f t="shared" si="12"/>
        <v>33333.333333333394</v>
      </c>
      <c r="AH45" s="8">
        <f t="shared" si="13"/>
        <v>4013.8966684831416</v>
      </c>
      <c r="AI45" s="10">
        <f t="shared" si="14"/>
        <v>6.7375911195448035</v>
      </c>
      <c r="AJ45" s="8">
        <f t="shared" si="15"/>
        <v>99.25635029168582</v>
      </c>
    </row>
    <row r="46" spans="1:36" ht="12.75">
      <c r="A46" s="111"/>
      <c r="B46" s="114"/>
      <c r="D46">
        <f t="shared" si="16"/>
        <v>333.3333333333333</v>
      </c>
      <c r="E46" s="4">
        <f t="shared" si="2"/>
        <v>10666.666666666668</v>
      </c>
      <c r="F46" s="15">
        <f t="shared" si="17"/>
        <v>40</v>
      </c>
      <c r="G46" s="15">
        <f t="shared" si="3"/>
        <v>13333.333333333332</v>
      </c>
      <c r="I46" s="15">
        <f t="shared" si="18"/>
        <v>0</v>
      </c>
      <c r="J46" s="15">
        <f t="shared" si="4"/>
        <v>0</v>
      </c>
      <c r="K46" s="15"/>
      <c r="L46" s="15">
        <f t="shared" si="5"/>
        <v>40</v>
      </c>
      <c r="M46" s="15">
        <f t="shared" si="6"/>
        <v>13333.333333333332</v>
      </c>
      <c r="O46" s="117"/>
      <c r="Q46" s="3">
        <f t="shared" si="19"/>
        <v>2.041905338760118</v>
      </c>
      <c r="R46" s="4">
        <f t="shared" si="7"/>
        <v>80.69496767101825</v>
      </c>
      <c r="T46" s="4">
        <f t="shared" si="8"/>
        <v>19611.40010688213</v>
      </c>
      <c r="X46" s="3">
        <f t="shared" si="20"/>
        <v>0.795838875468339</v>
      </c>
      <c r="AA46" s="1">
        <f t="shared" si="21"/>
        <v>0.0001407416304170163</v>
      </c>
      <c r="AB46">
        <f t="shared" si="9"/>
        <v>21.35</v>
      </c>
      <c r="AC46">
        <f t="shared" si="10"/>
        <v>1</v>
      </c>
      <c r="AD46" s="8">
        <f aca="true" t="shared" si="22" ref="AD46:AD74">4*T46/(X46*3.14159*AB46^2*AC46)</f>
        <v>68.83323438354398</v>
      </c>
      <c r="AE46" s="4">
        <f aca="true" t="shared" si="23" ref="AE46:AE74">X46*AD46*AB46/AA46/10</f>
        <v>830995.4166798791</v>
      </c>
      <c r="AF46" s="5">
        <f t="shared" si="11"/>
        <v>0.013623232546299264</v>
      </c>
      <c r="AG46" s="4">
        <f t="shared" si="12"/>
        <v>33333.333333333394</v>
      </c>
      <c r="AH46" s="8">
        <f t="shared" si="13"/>
        <v>4010.075451194117</v>
      </c>
      <c r="AI46" s="10">
        <f t="shared" si="14"/>
        <v>6.697490365032863</v>
      </c>
      <c r="AJ46" s="8">
        <f t="shared" si="15"/>
        <v>99.1778814552568</v>
      </c>
    </row>
    <row r="47" spans="1:36" ht="12.75">
      <c r="A47" s="111"/>
      <c r="B47" s="114"/>
      <c r="D47">
        <f t="shared" si="16"/>
        <v>333.3333333333333</v>
      </c>
      <c r="E47" s="4">
        <f aca="true" t="shared" si="24" ref="E47:E74">E46+D47</f>
        <v>11000.000000000002</v>
      </c>
      <c r="F47" s="15">
        <f t="shared" si="17"/>
        <v>40</v>
      </c>
      <c r="G47" s="15">
        <f aca="true" t="shared" si="25" ref="G47:G74">F47*D47</f>
        <v>13333.333333333332</v>
      </c>
      <c r="I47" s="15">
        <f t="shared" si="18"/>
        <v>0</v>
      </c>
      <c r="J47" s="15">
        <f aca="true" t="shared" si="26" ref="J47:J74">I47*D47</f>
        <v>0</v>
      </c>
      <c r="K47" s="15"/>
      <c r="L47" s="15">
        <f aca="true" t="shared" si="27" ref="L47:L74">I47+F47</f>
        <v>40</v>
      </c>
      <c r="M47" s="15">
        <f aca="true" t="shared" si="28" ref="M47:M74">L47*D47</f>
        <v>13333.333333333332</v>
      </c>
      <c r="O47" s="117"/>
      <c r="Q47" s="3">
        <f t="shared" si="19"/>
        <v>2.043322023717503</v>
      </c>
      <c r="R47" s="4">
        <f aca="true" t="shared" si="29" ref="R47:R74">R46+M47/(T47*Q47)</f>
        <v>81.02769871329896</v>
      </c>
      <c r="T47" s="4">
        <f aca="true" t="shared" si="30" ref="T47:T74">T46</f>
        <v>19611.40010688213</v>
      </c>
      <c r="X47" s="3">
        <f t="shared" si="20"/>
        <v>0.7941601814930275</v>
      </c>
      <c r="AA47" s="1">
        <f t="shared" si="21"/>
        <v>0.00013902941184355057</v>
      </c>
      <c r="AB47">
        <f aca="true" t="shared" si="31" ref="AB47:AB74">AB46</f>
        <v>21.35</v>
      </c>
      <c r="AC47">
        <f aca="true" t="shared" si="32" ref="AC47:AC74">AC46</f>
        <v>1</v>
      </c>
      <c r="AD47" s="8">
        <f t="shared" si="22"/>
        <v>68.97873391695501</v>
      </c>
      <c r="AE47" s="4">
        <f t="shared" si="23"/>
        <v>841229.5518030666</v>
      </c>
      <c r="AF47" s="5">
        <f t="shared" si="11"/>
        <v>0.0135816081715817</v>
      </c>
      <c r="AG47" s="4">
        <f aca="true" t="shared" si="33" ref="AG47:AG74">100*(E47-E46)</f>
        <v>33333.333333333394</v>
      </c>
      <c r="AH47" s="8">
        <f aca="true" t="shared" si="34" ref="AH47:AH74">AF47*AG47/(AB47)*(X47*AD47^2/2)*0.1</f>
        <v>4006.2736706655896</v>
      </c>
      <c r="AI47" s="10">
        <f aca="true" t="shared" si="35" ref="AI47:AI75">AI46-AH47/100000</f>
        <v>6.657427628326207</v>
      </c>
      <c r="AJ47" s="8">
        <f t="shared" si="15"/>
        <v>99.09901644324951</v>
      </c>
    </row>
    <row r="48" spans="1:36" ht="12.75">
      <c r="A48" s="111"/>
      <c r="B48" s="114"/>
      <c r="D48">
        <f aca="true" t="shared" si="36" ref="D48:D74">D47</f>
        <v>333.3333333333333</v>
      </c>
      <c r="E48" s="4">
        <f t="shared" si="24"/>
        <v>11333.333333333336</v>
      </c>
      <c r="F48" s="15">
        <f aca="true" t="shared" si="37" ref="F48:F74">F47</f>
        <v>40</v>
      </c>
      <c r="G48" s="15">
        <f t="shared" si="25"/>
        <v>13333.333333333332</v>
      </c>
      <c r="I48" s="15">
        <f aca="true" t="shared" si="38" ref="I48:I74">I47</f>
        <v>0</v>
      </c>
      <c r="J48" s="15">
        <f t="shared" si="26"/>
        <v>0</v>
      </c>
      <c r="K48" s="15"/>
      <c r="L48" s="15">
        <f t="shared" si="27"/>
        <v>40</v>
      </c>
      <c r="M48" s="15">
        <f t="shared" si="28"/>
        <v>13333.333333333332</v>
      </c>
      <c r="O48" s="117"/>
      <c r="Q48" s="3">
        <f t="shared" si="19"/>
        <v>2.0448212971591584</v>
      </c>
      <c r="R48" s="4">
        <f t="shared" si="29"/>
        <v>81.36018579547637</v>
      </c>
      <c r="T48" s="4">
        <f t="shared" si="30"/>
        <v>19611.40010688213</v>
      </c>
      <c r="X48" s="3">
        <f t="shared" si="20"/>
        <v>0.7924826513971608</v>
      </c>
      <c r="AA48" s="1">
        <f t="shared" si="21"/>
        <v>0.00013733880261057057</v>
      </c>
      <c r="AB48">
        <f t="shared" si="31"/>
        <v>21.35</v>
      </c>
      <c r="AC48">
        <f t="shared" si="32"/>
        <v>1</v>
      </c>
      <c r="AD48" s="8">
        <f t="shared" si="22"/>
        <v>69.12474834631377</v>
      </c>
      <c r="AE48" s="4">
        <f t="shared" si="23"/>
        <v>851584.8950877066</v>
      </c>
      <c r="AF48" s="5">
        <f t="shared" si="11"/>
        <v>0.013540130176761282</v>
      </c>
      <c r="AG48" s="4">
        <f t="shared" si="33"/>
        <v>33333.333333333394</v>
      </c>
      <c r="AH48" s="8">
        <f t="shared" si="34"/>
        <v>4002.493175725114</v>
      </c>
      <c r="AI48" s="10">
        <f t="shared" si="35"/>
        <v>6.6174026965689565</v>
      </c>
      <c r="AJ48" s="8">
        <f t="shared" si="15"/>
        <v>99.01975050198935</v>
      </c>
    </row>
    <row r="49" spans="1:36" ht="12.75">
      <c r="A49" s="111"/>
      <c r="B49" s="114"/>
      <c r="D49">
        <f t="shared" si="36"/>
        <v>333.3333333333333</v>
      </c>
      <c r="E49" s="4">
        <f t="shared" si="24"/>
        <v>11666.66666666667</v>
      </c>
      <c r="F49" s="15">
        <f t="shared" si="37"/>
        <v>40</v>
      </c>
      <c r="G49" s="15">
        <f t="shared" si="25"/>
        <v>13333.333333333332</v>
      </c>
      <c r="I49" s="15">
        <f t="shared" si="38"/>
        <v>0</v>
      </c>
      <c r="J49" s="15">
        <f t="shared" si="26"/>
        <v>0</v>
      </c>
      <c r="K49" s="15"/>
      <c r="L49" s="15">
        <f t="shared" si="27"/>
        <v>40</v>
      </c>
      <c r="M49" s="15">
        <f t="shared" si="28"/>
        <v>13333.333333333332</v>
      </c>
      <c r="O49" s="117"/>
      <c r="Q49" s="3">
        <f t="shared" si="19"/>
        <v>2.046402921194104</v>
      </c>
      <c r="R49" s="4">
        <f t="shared" si="29"/>
        <v>81.6924159050141</v>
      </c>
      <c r="T49" s="4">
        <f t="shared" si="30"/>
        <v>19611.40010688213</v>
      </c>
      <c r="X49" s="3">
        <f t="shared" si="20"/>
        <v>0.7908063512749468</v>
      </c>
      <c r="AA49" s="1">
        <f t="shared" si="21"/>
        <v>0.00013566982562925213</v>
      </c>
      <c r="AB49">
        <f t="shared" si="31"/>
        <v>21.35</v>
      </c>
      <c r="AC49">
        <f t="shared" si="32"/>
        <v>1</v>
      </c>
      <c r="AD49" s="8">
        <f t="shared" si="22"/>
        <v>69.27127451408433</v>
      </c>
      <c r="AE49" s="4">
        <f t="shared" si="23"/>
        <v>862060.8839890547</v>
      </c>
      <c r="AF49" s="5">
        <f t="shared" si="11"/>
        <v>0.01349880557769189</v>
      </c>
      <c r="AG49" s="4">
        <f t="shared" si="33"/>
        <v>33333.333333333394</v>
      </c>
      <c r="AH49" s="8">
        <f t="shared" si="34"/>
        <v>3998.7358626146824</v>
      </c>
      <c r="AI49" s="10">
        <f t="shared" si="35"/>
        <v>6.57741533794281</v>
      </c>
      <c r="AJ49" s="8">
        <f t="shared" si="15"/>
        <v>98.94007875768698</v>
      </c>
    </row>
    <row r="50" spans="1:36" ht="12.75">
      <c r="A50" s="111"/>
      <c r="B50" s="114"/>
      <c r="D50">
        <f t="shared" si="36"/>
        <v>333.3333333333333</v>
      </c>
      <c r="E50" s="4">
        <f t="shared" si="24"/>
        <v>12000.000000000004</v>
      </c>
      <c r="F50" s="15">
        <f t="shared" si="37"/>
        <v>40</v>
      </c>
      <c r="G50" s="15">
        <f t="shared" si="25"/>
        <v>13333.333333333332</v>
      </c>
      <c r="I50" s="15">
        <f t="shared" si="38"/>
        <v>0</v>
      </c>
      <c r="J50" s="15">
        <f t="shared" si="26"/>
        <v>0</v>
      </c>
      <c r="K50" s="15"/>
      <c r="L50" s="15">
        <f t="shared" si="27"/>
        <v>40</v>
      </c>
      <c r="M50" s="15">
        <f t="shared" si="28"/>
        <v>13333.333333333332</v>
      </c>
      <c r="O50" s="117"/>
      <c r="Q50" s="3">
        <f t="shared" si="19"/>
        <v>2.0480666454027334</v>
      </c>
      <c r="R50" s="4">
        <f t="shared" si="29"/>
        <v>82.02437613110966</v>
      </c>
      <c r="T50" s="4">
        <f t="shared" si="30"/>
        <v>19611.40010688213</v>
      </c>
      <c r="X50" s="3">
        <f t="shared" si="20"/>
        <v>0.7891313467316905</v>
      </c>
      <c r="AA50" s="1">
        <f t="shared" si="21"/>
        <v>0.00013402250014965184</v>
      </c>
      <c r="AB50">
        <f t="shared" si="31"/>
        <v>21.35</v>
      </c>
      <c r="AC50">
        <f t="shared" si="32"/>
        <v>1</v>
      </c>
      <c r="AD50" s="8">
        <f t="shared" si="22"/>
        <v>69.4183092251103</v>
      </c>
      <c r="AE50" s="4">
        <f t="shared" si="23"/>
        <v>872656.8276371451</v>
      </c>
      <c r="AF50" s="5">
        <f t="shared" si="11"/>
        <v>0.013457641484766046</v>
      </c>
      <c r="AG50" s="4">
        <f t="shared" si="33"/>
        <v>33333.333333333394</v>
      </c>
      <c r="AH50" s="8">
        <f t="shared" si="34"/>
        <v>3995.0036752796145</v>
      </c>
      <c r="AI50" s="10">
        <f t="shared" si="35"/>
        <v>6.5374653011900135</v>
      </c>
      <c r="AJ50" s="8">
        <f t="shared" si="15"/>
        <v>98.85999621242836</v>
      </c>
    </row>
    <row r="51" spans="1:36" ht="12.75">
      <c r="A51" s="111"/>
      <c r="B51" s="114"/>
      <c r="D51">
        <f t="shared" si="36"/>
        <v>333.3333333333333</v>
      </c>
      <c r="E51" s="4">
        <f t="shared" si="24"/>
        <v>12333.333333333338</v>
      </c>
      <c r="F51" s="15">
        <f t="shared" si="37"/>
        <v>40</v>
      </c>
      <c r="G51" s="15">
        <f t="shared" si="25"/>
        <v>13333.333333333332</v>
      </c>
      <c r="I51" s="15">
        <f t="shared" si="38"/>
        <v>0</v>
      </c>
      <c r="J51" s="15">
        <f t="shared" si="26"/>
        <v>0</v>
      </c>
      <c r="K51" s="15"/>
      <c r="L51" s="15">
        <f t="shared" si="27"/>
        <v>40</v>
      </c>
      <c r="M51" s="15">
        <f t="shared" si="28"/>
        <v>13333.333333333332</v>
      </c>
      <c r="O51" s="117"/>
      <c r="Q51" s="3">
        <f t="shared" si="19"/>
        <v>2.049812207008693</v>
      </c>
      <c r="R51" s="4">
        <f t="shared" si="29"/>
        <v>82.35605366934563</v>
      </c>
      <c r="T51" s="4">
        <f t="shared" si="30"/>
        <v>19611.40010688213</v>
      </c>
      <c r="X51" s="3">
        <f t="shared" si="20"/>
        <v>0.7874577028597844</v>
      </c>
      <c r="AA51" s="1">
        <f t="shared" si="21"/>
        <v>0.00013239684177326842</v>
      </c>
      <c r="AB51">
        <f t="shared" si="31"/>
        <v>21.35</v>
      </c>
      <c r="AC51">
        <f t="shared" si="32"/>
        <v>1</v>
      </c>
      <c r="AD51" s="8">
        <f t="shared" si="22"/>
        <v>69.56584924841665</v>
      </c>
      <c r="AE51" s="4">
        <f t="shared" si="23"/>
        <v>883371.901067567</v>
      </c>
      <c r="AF51" s="5">
        <f t="shared" si="11"/>
        <v>0.013416645101844324</v>
      </c>
      <c r="AG51" s="4">
        <f t="shared" si="33"/>
        <v>33333.333333333394</v>
      </c>
      <c r="AH51" s="8">
        <f t="shared" si="34"/>
        <v>3991.2986056165364</v>
      </c>
      <c r="AI51" s="10">
        <f t="shared" si="35"/>
        <v>6.497552315133848</v>
      </c>
      <c r="AJ51" s="8">
        <f t="shared" si="15"/>
        <v>98.77949774003007</v>
      </c>
    </row>
    <row r="52" spans="1:36" ht="12.75">
      <c r="A52" s="111"/>
      <c r="B52" s="114"/>
      <c r="D52">
        <f t="shared" si="36"/>
        <v>333.3333333333333</v>
      </c>
      <c r="E52" s="4">
        <f t="shared" si="24"/>
        <v>12666.666666666672</v>
      </c>
      <c r="F52" s="15">
        <f t="shared" si="37"/>
        <v>40</v>
      </c>
      <c r="G52" s="15">
        <f t="shared" si="25"/>
        <v>13333.333333333332</v>
      </c>
      <c r="I52" s="15">
        <f t="shared" si="38"/>
        <v>0</v>
      </c>
      <c r="J52" s="15">
        <f t="shared" si="26"/>
        <v>0</v>
      </c>
      <c r="K52" s="15"/>
      <c r="L52" s="15">
        <f t="shared" si="27"/>
        <v>40</v>
      </c>
      <c r="M52" s="15">
        <f t="shared" si="28"/>
        <v>13333.333333333332</v>
      </c>
      <c r="O52" s="117"/>
      <c r="Q52" s="3">
        <f t="shared" si="19"/>
        <v>2.0516393310582637</v>
      </c>
      <c r="R52" s="4">
        <f t="shared" si="29"/>
        <v>82.687435826226</v>
      </c>
      <c r="T52" s="4">
        <f t="shared" si="30"/>
        <v>19611.40010688213</v>
      </c>
      <c r="X52" s="3">
        <f t="shared" si="20"/>
        <v>0.7857854842152603</v>
      </c>
      <c r="AA52" s="1">
        <f t="shared" si="21"/>
        <v>0.00013079286246812471</v>
      </c>
      <c r="AB52">
        <f t="shared" si="31"/>
        <v>21.35</v>
      </c>
      <c r="AC52">
        <f t="shared" si="32"/>
        <v>1</v>
      </c>
      <c r="AD52" s="8">
        <f t="shared" si="22"/>
        <v>69.71389131902265</v>
      </c>
      <c r="AE52" s="4">
        <f t="shared" si="23"/>
        <v>894205.1393752244</v>
      </c>
      <c r="AF52" s="5">
        <f t="shared" si="11"/>
        <v>0.01337582372505395</v>
      </c>
      <c r="AG52" s="4">
        <f t="shared" si="33"/>
        <v>33333.333333333394</v>
      </c>
      <c r="AH52" s="8">
        <f t="shared" si="34"/>
        <v>3987.6226936777634</v>
      </c>
      <c r="AI52" s="10">
        <f t="shared" si="35"/>
        <v>6.45767608819707</v>
      </c>
      <c r="AJ52" s="8">
        <f t="shared" si="15"/>
        <v>98.69857808175574</v>
      </c>
    </row>
    <row r="53" spans="1:36" ht="12.75">
      <c r="A53" s="111"/>
      <c r="B53" s="114"/>
      <c r="D53">
        <f t="shared" si="36"/>
        <v>333.3333333333333</v>
      </c>
      <c r="E53" s="4">
        <f t="shared" si="24"/>
        <v>13000.000000000005</v>
      </c>
      <c r="F53" s="15">
        <f t="shared" si="37"/>
        <v>40</v>
      </c>
      <c r="G53" s="15">
        <f t="shared" si="25"/>
        <v>13333.333333333332</v>
      </c>
      <c r="I53" s="15">
        <f t="shared" si="38"/>
        <v>0</v>
      </c>
      <c r="J53" s="15">
        <f t="shared" si="26"/>
        <v>0</v>
      </c>
      <c r="K53" s="15"/>
      <c r="L53" s="15">
        <f t="shared" si="27"/>
        <v>40</v>
      </c>
      <c r="M53" s="15">
        <f t="shared" si="28"/>
        <v>13333.333333333332</v>
      </c>
      <c r="O53" s="117"/>
      <c r="Q53" s="3">
        <f t="shared" si="19"/>
        <v>2.0535477306069945</v>
      </c>
      <c r="R53" s="4">
        <f t="shared" si="29"/>
        <v>83.01851002359355</v>
      </c>
      <c r="T53" s="4">
        <f t="shared" si="30"/>
        <v>19611.40010688213</v>
      </c>
      <c r="X53" s="3">
        <f t="shared" si="20"/>
        <v>0.7841147547949165</v>
      </c>
      <c r="AA53" s="1">
        <f t="shared" si="21"/>
        <v>0.00012921057058633113</v>
      </c>
      <c r="AB53">
        <f t="shared" si="31"/>
        <v>21.35</v>
      </c>
      <c r="AC53">
        <f t="shared" si="32"/>
        <v>1</v>
      </c>
      <c r="AD53" s="8">
        <f t="shared" si="22"/>
        <v>69.86243213976488</v>
      </c>
      <c r="AE53" s="4">
        <f t="shared" si="23"/>
        <v>905155.4318030884</v>
      </c>
      <c r="AF53" s="5">
        <f t="shared" si="11"/>
        <v>0.013335184741450127</v>
      </c>
      <c r="AG53" s="4">
        <f t="shared" si="33"/>
        <v>33333.333333333394</v>
      </c>
      <c r="AH53" s="8">
        <f t="shared" si="34"/>
        <v>3983.9780278294274</v>
      </c>
      <c r="AI53" s="10">
        <f t="shared" si="35"/>
        <v>6.417836307918776</v>
      </c>
      <c r="AJ53" s="8">
        <f t="shared" si="15"/>
        <v>98.61723184188912</v>
      </c>
    </row>
    <row r="54" spans="1:36" ht="12.75">
      <c r="A54" s="111"/>
      <c r="B54" s="114"/>
      <c r="D54">
        <f t="shared" si="36"/>
        <v>333.3333333333333</v>
      </c>
      <c r="E54" s="4">
        <f t="shared" si="24"/>
        <v>13333.33333333334</v>
      </c>
      <c r="F54" s="15">
        <f t="shared" si="37"/>
        <v>40</v>
      </c>
      <c r="G54" s="15">
        <f t="shared" si="25"/>
        <v>13333.333333333332</v>
      </c>
      <c r="I54" s="15">
        <f t="shared" si="38"/>
        <v>0</v>
      </c>
      <c r="J54" s="15">
        <f t="shared" si="26"/>
        <v>0</v>
      </c>
      <c r="K54" s="15"/>
      <c r="L54" s="15">
        <f t="shared" si="27"/>
        <v>40</v>
      </c>
      <c r="M54" s="15">
        <f t="shared" si="28"/>
        <v>13333.333333333332</v>
      </c>
      <c r="O54" s="117"/>
      <c r="Q54" s="3">
        <f t="shared" si="19"/>
        <v>2.055537106913281</v>
      </c>
      <c r="R54" s="4">
        <f t="shared" si="29"/>
        <v>83.34926380292454</v>
      </c>
      <c r="T54" s="4">
        <f t="shared" si="30"/>
        <v>19611.40010688213</v>
      </c>
      <c r="X54" s="3">
        <f t="shared" si="20"/>
        <v>0.7824455780140485</v>
      </c>
      <c r="AA54" s="1">
        <f t="shared" si="21"/>
        <v>0.00012764997088408208</v>
      </c>
      <c r="AB54">
        <f t="shared" si="31"/>
        <v>21.35</v>
      </c>
      <c r="AC54">
        <f t="shared" si="32"/>
        <v>1</v>
      </c>
      <c r="AD54" s="8">
        <f t="shared" si="22"/>
        <v>70.0114683831272</v>
      </c>
      <c r="AE54" s="4">
        <f t="shared" si="23"/>
        <v>916221.5157792749</v>
      </c>
      <c r="AF54" s="5">
        <f t="shared" si="11"/>
        <v>0.013294735627533272</v>
      </c>
      <c r="AG54" s="4">
        <f t="shared" si="33"/>
        <v>33333.333333333394</v>
      </c>
      <c r="AH54" s="8">
        <f t="shared" si="34"/>
        <v>3980.3667448603665</v>
      </c>
      <c r="AI54" s="10">
        <f t="shared" si="35"/>
        <v>6.378032640470172</v>
      </c>
      <c r="AJ54" s="8">
        <f t="shared" si="15"/>
        <v>98.53545348315927</v>
      </c>
    </row>
    <row r="55" spans="1:36" ht="12.75">
      <c r="A55" s="111"/>
      <c r="B55" s="114"/>
      <c r="D55">
        <f t="shared" si="36"/>
        <v>333.3333333333333</v>
      </c>
      <c r="E55" s="4">
        <f t="shared" si="24"/>
        <v>13666.666666666673</v>
      </c>
      <c r="F55" s="15">
        <f t="shared" si="37"/>
        <v>40</v>
      </c>
      <c r="G55" s="15">
        <f t="shared" si="25"/>
        <v>13333.333333333332</v>
      </c>
      <c r="I55" s="15">
        <f t="shared" si="38"/>
        <v>0</v>
      </c>
      <c r="J55" s="15">
        <f t="shared" si="26"/>
        <v>0</v>
      </c>
      <c r="K55" s="15"/>
      <c r="L55" s="15">
        <f t="shared" si="27"/>
        <v>40</v>
      </c>
      <c r="M55" s="15">
        <f t="shared" si="28"/>
        <v>13333.333333333332</v>
      </c>
      <c r="O55" s="117"/>
      <c r="Q55" s="3">
        <f t="shared" si="19"/>
        <v>2.0576071496386197</v>
      </c>
      <c r="R55" s="4">
        <f t="shared" si="29"/>
        <v>83.67968482949712</v>
      </c>
      <c r="T55" s="4">
        <f t="shared" si="30"/>
        <v>19611.40010688213</v>
      </c>
      <c r="X55" s="3">
        <f t="shared" si="20"/>
        <v>0.7807780166847955</v>
      </c>
      <c r="AA55" s="1">
        <f t="shared" si="21"/>
        <v>0.0001261110645440417</v>
      </c>
      <c r="AB55">
        <f t="shared" si="31"/>
        <v>21.35</v>
      </c>
      <c r="AC55">
        <f t="shared" si="32"/>
        <v>1</v>
      </c>
      <c r="AD55" s="8">
        <f t="shared" si="22"/>
        <v>70.16099669307582</v>
      </c>
      <c r="AE55" s="4">
        <f t="shared" si="23"/>
        <v>927401.9709170691</v>
      </c>
      <c r="AF55" s="5">
        <f t="shared" si="11"/>
        <v>0.013254483947615699</v>
      </c>
      <c r="AG55" s="4">
        <f t="shared" si="33"/>
        <v>33333.333333333394</v>
      </c>
      <c r="AH55" s="8">
        <f t="shared" si="34"/>
        <v>3976.7910300389653</v>
      </c>
      <c r="AI55" s="10">
        <f t="shared" si="35"/>
        <v>6.338264730169782</v>
      </c>
      <c r="AJ55" s="8">
        <f t="shared" si="15"/>
        <v>98.45323732201324</v>
      </c>
    </row>
    <row r="56" spans="1:36" ht="12.75">
      <c r="A56" s="111"/>
      <c r="B56" s="114"/>
      <c r="D56">
        <f t="shared" si="36"/>
        <v>333.3333333333333</v>
      </c>
      <c r="E56" s="4">
        <f t="shared" si="24"/>
        <v>14000.000000000007</v>
      </c>
      <c r="F56" s="15">
        <f t="shared" si="37"/>
        <v>40</v>
      </c>
      <c r="G56" s="15">
        <f t="shared" si="25"/>
        <v>13333.333333333332</v>
      </c>
      <c r="I56" s="15">
        <f t="shared" si="38"/>
        <v>0</v>
      </c>
      <c r="J56" s="15">
        <f t="shared" si="26"/>
        <v>0</v>
      </c>
      <c r="K56" s="15"/>
      <c r="L56" s="15">
        <f t="shared" si="27"/>
        <v>40</v>
      </c>
      <c r="M56" s="15">
        <f t="shared" si="28"/>
        <v>13333.333333333332</v>
      </c>
      <c r="O56" s="117"/>
      <c r="Q56" s="3">
        <f t="shared" si="19"/>
        <v>2.0597575370542254</v>
      </c>
      <c r="R56" s="4">
        <f t="shared" si="29"/>
        <v>84.00976089643022</v>
      </c>
      <c r="T56" s="4">
        <f t="shared" si="30"/>
        <v>19611.40010688213</v>
      </c>
      <c r="X56" s="3">
        <f t="shared" si="20"/>
        <v>0.7791121329951245</v>
      </c>
      <c r="AA56" s="1">
        <f t="shared" si="21"/>
        <v>0.00012459384920006497</v>
      </c>
      <c r="AB56">
        <f t="shared" si="31"/>
        <v>21.35</v>
      </c>
      <c r="AC56">
        <f t="shared" si="32"/>
        <v>1</v>
      </c>
      <c r="AD56" s="8">
        <f t="shared" si="22"/>
        <v>70.31101368689767</v>
      </c>
      <c r="AE56" s="4">
        <f t="shared" si="23"/>
        <v>938695.2129939735</v>
      </c>
      <c r="AF56" s="5">
        <f t="shared" si="11"/>
        <v>0.013214437352030687</v>
      </c>
      <c r="AG56" s="4">
        <f t="shared" si="33"/>
        <v>33333.333333333394</v>
      </c>
      <c r="AH56" s="8">
        <f t="shared" si="34"/>
        <v>3973.253117114972</v>
      </c>
      <c r="AI56" s="10">
        <f t="shared" si="35"/>
        <v>6.2985321989986325</v>
      </c>
      <c r="AJ56" s="8">
        <f t="shared" si="15"/>
        <v>98.37057752373111</v>
      </c>
    </row>
    <row r="57" spans="1:36" ht="12.75">
      <c r="A57" s="111"/>
      <c r="B57" s="114"/>
      <c r="D57">
        <f t="shared" si="36"/>
        <v>333.3333333333333</v>
      </c>
      <c r="E57" s="4">
        <f t="shared" si="24"/>
        <v>14333.333333333341</v>
      </c>
      <c r="F57" s="15">
        <f t="shared" si="37"/>
        <v>40</v>
      </c>
      <c r="G57" s="15">
        <f t="shared" si="25"/>
        <v>13333.333333333332</v>
      </c>
      <c r="I57" s="15">
        <f t="shared" si="38"/>
        <v>0</v>
      </c>
      <c r="J57" s="15">
        <f t="shared" si="26"/>
        <v>0</v>
      </c>
      <c r="K57" s="15"/>
      <c r="L57" s="15">
        <f t="shared" si="27"/>
        <v>40</v>
      </c>
      <c r="M57" s="15">
        <f t="shared" si="28"/>
        <v>13333.333333333332</v>
      </c>
      <c r="O57" s="117"/>
      <c r="Q57" s="3">
        <f t="shared" si="19"/>
        <v>2.0619879362537152</v>
      </c>
      <c r="R57" s="4">
        <f t="shared" si="29"/>
        <v>84.33947992858998</v>
      </c>
      <c r="T57" s="4">
        <f t="shared" si="30"/>
        <v>19611.40010688213</v>
      </c>
      <c r="X57" s="3">
        <f t="shared" si="20"/>
        <v>0.7774479884884679</v>
      </c>
      <c r="AA57" s="1">
        <f t="shared" si="21"/>
        <v>0.00012309831896420263</v>
      </c>
      <c r="AB57">
        <f t="shared" si="31"/>
        <v>21.35</v>
      </c>
      <c r="AC57">
        <f t="shared" si="32"/>
        <v>1</v>
      </c>
      <c r="AD57" s="8">
        <f t="shared" si="22"/>
        <v>70.46151595703925</v>
      </c>
      <c r="AE57" s="4">
        <f t="shared" si="23"/>
        <v>950099.4879272485</v>
      </c>
      <c r="AF57" s="5">
        <f t="shared" si="11"/>
        <v>0.013174603575177106</v>
      </c>
      <c r="AG57" s="4">
        <f t="shared" si="33"/>
        <v>33333.333333333394</v>
      </c>
      <c r="AH57" s="8">
        <f t="shared" si="34"/>
        <v>3969.7552882631917</v>
      </c>
      <c r="AI57" s="10">
        <f t="shared" si="35"/>
        <v>6.258834646116001</v>
      </c>
      <c r="AJ57" s="8">
        <f t="shared" si="15"/>
        <v>98.28746809737883</v>
      </c>
    </row>
    <row r="58" spans="1:36" ht="12.75">
      <c r="A58" s="111"/>
      <c r="B58" s="114"/>
      <c r="D58">
        <f t="shared" si="36"/>
        <v>333.3333333333333</v>
      </c>
      <c r="E58" s="4">
        <f t="shared" si="24"/>
        <v>14666.666666666675</v>
      </c>
      <c r="F58" s="15">
        <f t="shared" si="37"/>
        <v>40</v>
      </c>
      <c r="G58" s="15">
        <f t="shared" si="25"/>
        <v>13333.333333333332</v>
      </c>
      <c r="I58" s="15">
        <f t="shared" si="38"/>
        <v>0</v>
      </c>
      <c r="J58" s="15">
        <f t="shared" si="26"/>
        <v>0</v>
      </c>
      <c r="K58" s="15"/>
      <c r="L58" s="15">
        <f t="shared" si="27"/>
        <v>40</v>
      </c>
      <c r="M58" s="15">
        <f t="shared" si="28"/>
        <v>13333.333333333332</v>
      </c>
      <c r="O58" s="117"/>
      <c r="Q58" s="3">
        <f t="shared" si="19"/>
        <v>2.064298003371548</v>
      </c>
      <c r="R58" s="4">
        <f t="shared" si="29"/>
        <v>84.66882998636083</v>
      </c>
      <c r="T58" s="4">
        <f t="shared" si="30"/>
        <v>19611.40010688213</v>
      </c>
      <c r="X58" s="3">
        <f t="shared" si="20"/>
        <v>0.775785644044028</v>
      </c>
      <c r="AA58" s="1">
        <f t="shared" si="21"/>
        <v>0.00012162446445593176</v>
      </c>
      <c r="AB58">
        <f t="shared" si="31"/>
        <v>21.35</v>
      </c>
      <c r="AC58">
        <f t="shared" si="32"/>
        <v>1</v>
      </c>
      <c r="AD58" s="8">
        <f t="shared" si="22"/>
        <v>70.61250007294451</v>
      </c>
      <c r="AE58" s="4">
        <f t="shared" si="23"/>
        <v>961612.8657649348</v>
      </c>
      <c r="AF58" s="5">
        <f t="shared" si="11"/>
        <v>0.013134990433392642</v>
      </c>
      <c r="AG58" s="4">
        <f t="shared" si="33"/>
        <v>33333.333333333394</v>
      </c>
      <c r="AH58" s="8">
        <f t="shared" si="34"/>
        <v>3966.2998739660306</v>
      </c>
      <c r="AI58" s="10">
        <f t="shared" si="35"/>
        <v>6.21917164737634</v>
      </c>
      <c r="AJ58" s="8">
        <f t="shared" si="15"/>
        <v>98.2039028905931</v>
      </c>
    </row>
    <row r="59" spans="1:36" ht="13.5" thickBot="1">
      <c r="A59" s="112"/>
      <c r="B59" s="115"/>
      <c r="D59">
        <f t="shared" si="36"/>
        <v>333.3333333333333</v>
      </c>
      <c r="E59" s="4">
        <f t="shared" si="24"/>
        <v>15000.00000000001</v>
      </c>
      <c r="F59" s="15">
        <f t="shared" si="37"/>
        <v>40</v>
      </c>
      <c r="G59" s="15">
        <f t="shared" si="25"/>
        <v>13333.333333333332</v>
      </c>
      <c r="I59" s="15">
        <f t="shared" si="38"/>
        <v>0</v>
      </c>
      <c r="J59" s="15">
        <f t="shared" si="26"/>
        <v>0</v>
      </c>
      <c r="K59" s="15"/>
      <c r="L59" s="15">
        <f t="shared" si="27"/>
        <v>40</v>
      </c>
      <c r="M59" s="15">
        <f t="shared" si="28"/>
        <v>13333.333333333332</v>
      </c>
      <c r="O59" s="118"/>
      <c r="Q59" s="3">
        <f t="shared" si="19"/>
        <v>2.066687383806901</v>
      </c>
      <c r="R59" s="4">
        <f t="shared" si="29"/>
        <v>84.99779926927884</v>
      </c>
      <c r="T59" s="4">
        <f t="shared" si="30"/>
        <v>19611.40010688213</v>
      </c>
      <c r="X59" s="3">
        <f t="shared" si="20"/>
        <v>0.7741251598577648</v>
      </c>
      <c r="AA59" s="1">
        <f t="shared" si="21"/>
        <v>0.00012017227283355069</v>
      </c>
      <c r="AB59">
        <f t="shared" si="31"/>
        <v>21.35</v>
      </c>
      <c r="AC59">
        <f t="shared" si="32"/>
        <v>1</v>
      </c>
      <c r="AD59" s="8">
        <f t="shared" si="22"/>
        <v>70.76396258288952</v>
      </c>
      <c r="AE59" s="4">
        <f t="shared" si="23"/>
        <v>973233.2347128692</v>
      </c>
      <c r="AF59" s="5">
        <f t="shared" si="11"/>
        <v>0.013095605822648486</v>
      </c>
      <c r="AG59" s="4">
        <f t="shared" si="33"/>
        <v>33333.333333333394</v>
      </c>
      <c r="AH59" s="8">
        <f t="shared" si="34"/>
        <v>3962.889252831747</v>
      </c>
      <c r="AI59" s="10">
        <f t="shared" si="35"/>
        <v>6.179542754848023</v>
      </c>
      <c r="AJ59" s="8">
        <f t="shared" si="15"/>
        <v>98.11987558419347</v>
      </c>
    </row>
    <row r="60" spans="1:36" ht="12.75">
      <c r="A60" s="119" t="s">
        <v>45</v>
      </c>
      <c r="B60" s="113">
        <f>O60</f>
        <v>200000.00000000003</v>
      </c>
      <c r="D60">
        <f t="shared" si="36"/>
        <v>333.3333333333333</v>
      </c>
      <c r="E60" s="4">
        <f t="shared" si="24"/>
        <v>15333.333333333343</v>
      </c>
      <c r="F60" s="15">
        <f t="shared" si="37"/>
        <v>40</v>
      </c>
      <c r="G60" s="15">
        <f t="shared" si="25"/>
        <v>13333.333333333332</v>
      </c>
      <c r="I60" s="15">
        <f t="shared" si="38"/>
        <v>0</v>
      </c>
      <c r="J60" s="15">
        <f t="shared" si="26"/>
        <v>0</v>
      </c>
      <c r="K60" s="15"/>
      <c r="L60" s="15">
        <f t="shared" si="27"/>
        <v>40</v>
      </c>
      <c r="M60" s="15">
        <f t="shared" si="28"/>
        <v>13333.333333333332</v>
      </c>
      <c r="O60" s="116">
        <f>SUM(M60:M74)</f>
        <v>200000.00000000003</v>
      </c>
      <c r="Q60" s="3">
        <f t="shared" si="19"/>
        <v>2.069155712452673</v>
      </c>
      <c r="R60" s="4">
        <f t="shared" si="29"/>
        <v>85.32637611952507</v>
      </c>
      <c r="T60" s="4">
        <f t="shared" si="30"/>
        <v>19611.40010688213</v>
      </c>
      <c r="X60" s="3">
        <f t="shared" si="20"/>
        <v>0.772466595424077</v>
      </c>
      <c r="AA60" s="1">
        <f t="shared" si="21"/>
        <v>0.00011874172782767918</v>
      </c>
      <c r="AB60">
        <f t="shared" si="31"/>
        <v>21.35</v>
      </c>
      <c r="AC60">
        <f t="shared" si="32"/>
        <v>1</v>
      </c>
      <c r="AD60" s="8">
        <f t="shared" si="22"/>
        <v>70.91590001581162</v>
      </c>
      <c r="AE60" s="4">
        <f t="shared" si="23"/>
        <v>984958.2952197127</v>
      </c>
      <c r="AF60" s="5">
        <f t="shared" si="11"/>
        <v>0.013056457716058623</v>
      </c>
      <c r="AG60" s="4">
        <f t="shared" si="33"/>
        <v>33333.333333333394</v>
      </c>
      <c r="AH60" s="8">
        <f t="shared" si="34"/>
        <v>3959.5258513451986</v>
      </c>
      <c r="AI60" s="10">
        <f t="shared" si="35"/>
        <v>6.139947496334571</v>
      </c>
      <c r="AJ60" s="8">
        <f t="shared" si="15"/>
        <v>98.03537968661573</v>
      </c>
    </row>
    <row r="61" spans="1:36" ht="12.75">
      <c r="A61" s="120"/>
      <c r="B61" s="114"/>
      <c r="D61">
        <f t="shared" si="36"/>
        <v>333.3333333333333</v>
      </c>
      <c r="E61" s="4">
        <f t="shared" si="24"/>
        <v>15666.666666666677</v>
      </c>
      <c r="F61" s="15">
        <f t="shared" si="37"/>
        <v>40</v>
      </c>
      <c r="G61" s="15">
        <f t="shared" si="25"/>
        <v>13333.333333333332</v>
      </c>
      <c r="I61" s="15">
        <f t="shared" si="38"/>
        <v>0</v>
      </c>
      <c r="J61" s="15">
        <f t="shared" si="26"/>
        <v>0</v>
      </c>
      <c r="K61" s="15"/>
      <c r="L61" s="15">
        <f t="shared" si="27"/>
        <v>40</v>
      </c>
      <c r="M61" s="15">
        <f t="shared" si="28"/>
        <v>13333.333333333332</v>
      </c>
      <c r="O61" s="117"/>
      <c r="Q61" s="3">
        <f t="shared" si="19"/>
        <v>2.071702613929285</v>
      </c>
      <c r="R61" s="4">
        <f t="shared" si="29"/>
        <v>85.65454902527681</v>
      </c>
      <c r="T61" s="4">
        <f t="shared" si="30"/>
        <v>19611.40010688213</v>
      </c>
      <c r="X61" s="3">
        <f t="shared" si="20"/>
        <v>0.7708100095181906</v>
      </c>
      <c r="AA61" s="1">
        <f t="shared" si="21"/>
        <v>0.00011733280977679515</v>
      </c>
      <c r="AB61">
        <f t="shared" si="31"/>
        <v>21.35</v>
      </c>
      <c r="AC61">
        <f t="shared" si="32"/>
        <v>1</v>
      </c>
      <c r="AD61" s="8">
        <f t="shared" si="22"/>
        <v>71.06830888313142</v>
      </c>
      <c r="AE61" s="4">
        <f t="shared" si="23"/>
        <v>996785.554143648</v>
      </c>
      <c r="AF61" s="5">
        <f t="shared" si="11"/>
        <v>0.013017554161196595</v>
      </c>
      <c r="AG61" s="4">
        <f t="shared" si="33"/>
        <v>33333.333333333394</v>
      </c>
      <c r="AH61" s="8">
        <f t="shared" si="34"/>
        <v>3956.2121435479044</v>
      </c>
      <c r="AI61" s="10">
        <f t="shared" si="35"/>
        <v>6.100385374899092</v>
      </c>
      <c r="AJ61" s="8">
        <f t="shared" si="15"/>
        <v>97.95040852816093</v>
      </c>
    </row>
    <row r="62" spans="1:36" ht="12.75">
      <c r="A62" s="120"/>
      <c r="B62" s="114"/>
      <c r="D62">
        <f t="shared" si="36"/>
        <v>333.3333333333333</v>
      </c>
      <c r="E62" s="4">
        <f t="shared" si="24"/>
        <v>16000.000000000011</v>
      </c>
      <c r="F62" s="15">
        <f t="shared" si="37"/>
        <v>40</v>
      </c>
      <c r="G62" s="15">
        <f t="shared" si="25"/>
        <v>13333.333333333332</v>
      </c>
      <c r="I62" s="15">
        <f t="shared" si="38"/>
        <v>0</v>
      </c>
      <c r="J62" s="15">
        <f t="shared" si="26"/>
        <v>0</v>
      </c>
      <c r="K62" s="15"/>
      <c r="L62" s="15">
        <f t="shared" si="27"/>
        <v>40</v>
      </c>
      <c r="M62" s="15">
        <f t="shared" si="28"/>
        <v>13333.333333333332</v>
      </c>
      <c r="O62" s="117"/>
      <c r="Q62" s="3">
        <f t="shared" si="19"/>
        <v>2.0743277028229516</v>
      </c>
      <c r="R62" s="4">
        <f t="shared" si="29"/>
        <v>85.98230662391535</v>
      </c>
      <c r="T62" s="4">
        <f t="shared" si="30"/>
        <v>19611.40010688213</v>
      </c>
      <c r="X62" s="3">
        <f t="shared" si="20"/>
        <v>0.7691554601792621</v>
      </c>
      <c r="AA62" s="1">
        <f t="shared" si="21"/>
        <v>0.00011594549566474588</v>
      </c>
      <c r="AB62">
        <f t="shared" si="31"/>
        <v>21.35</v>
      </c>
      <c r="AC62">
        <f t="shared" si="32"/>
        <v>1</v>
      </c>
      <c r="AD62" s="8">
        <f t="shared" si="22"/>
        <v>71.22118568056578</v>
      </c>
      <c r="AE62" s="4">
        <f t="shared" si="23"/>
        <v>1008712.3190259065</v>
      </c>
      <c r="AF62" s="5">
        <f t="shared" si="11"/>
        <v>0.012978903277212947</v>
      </c>
      <c r="AG62" s="4">
        <f t="shared" si="33"/>
        <v>33333.333333333394</v>
      </c>
      <c r="AH62" s="8">
        <f t="shared" si="34"/>
        <v>3952.950650644263</v>
      </c>
      <c r="AI62" s="10">
        <f t="shared" si="35"/>
        <v>6.0608558683926494</v>
      </c>
      <c r="AJ62" s="8">
        <f t="shared" si="15"/>
        <v>97.86495525505421</v>
      </c>
    </row>
    <row r="63" spans="1:36" ht="12.75">
      <c r="A63" s="120"/>
      <c r="B63" s="114"/>
      <c r="D63">
        <f t="shared" si="36"/>
        <v>333.3333333333333</v>
      </c>
      <c r="E63" s="4">
        <f t="shared" si="24"/>
        <v>16333.333333333345</v>
      </c>
      <c r="F63" s="15">
        <f t="shared" si="37"/>
        <v>40</v>
      </c>
      <c r="G63" s="15">
        <f t="shared" si="25"/>
        <v>13333.333333333332</v>
      </c>
      <c r="I63" s="15">
        <f t="shared" si="38"/>
        <v>0</v>
      </c>
      <c r="J63" s="15">
        <f t="shared" si="26"/>
        <v>0</v>
      </c>
      <c r="K63" s="15"/>
      <c r="L63" s="15">
        <f t="shared" si="27"/>
        <v>40</v>
      </c>
      <c r="M63" s="15">
        <f t="shared" si="28"/>
        <v>13333.333333333332</v>
      </c>
      <c r="O63" s="117"/>
      <c r="Q63" s="3">
        <f t="shared" si="19"/>
        <v>2.077030583928119</v>
      </c>
      <c r="R63" s="4">
        <f t="shared" si="29"/>
        <v>86.30963770508839</v>
      </c>
      <c r="T63" s="4">
        <f t="shared" si="30"/>
        <v>19611.40010688213</v>
      </c>
      <c r="X63" s="3">
        <f t="shared" si="20"/>
        <v>0.7675030046942061</v>
      </c>
      <c r="AA63" s="1">
        <f t="shared" si="21"/>
        <v>0.00011457975916015847</v>
      </c>
      <c r="AB63">
        <f t="shared" si="31"/>
        <v>21.35</v>
      </c>
      <c r="AC63">
        <f t="shared" si="32"/>
        <v>1</v>
      </c>
      <c r="AD63" s="8">
        <f t="shared" si="22"/>
        <v>71.37452688992943</v>
      </c>
      <c r="AE63" s="4">
        <f t="shared" si="23"/>
        <v>1020735.6924979616</v>
      </c>
      <c r="AF63" s="5">
        <f t="shared" si="11"/>
        <v>0.012940513251746399</v>
      </c>
      <c r="AG63" s="4">
        <f t="shared" si="33"/>
        <v>33333.333333333394</v>
      </c>
      <c r="AH63" s="8">
        <f t="shared" si="34"/>
        <v>3949.743940530577</v>
      </c>
      <c r="AI63" s="10">
        <f t="shared" si="35"/>
        <v>6.021358428987344</v>
      </c>
      <c r="AJ63" s="8">
        <f t="shared" si="15"/>
        <v>97.77901282330706</v>
      </c>
    </row>
    <row r="64" spans="1:36" ht="12.75">
      <c r="A64" s="120"/>
      <c r="B64" s="114"/>
      <c r="D64">
        <f t="shared" si="36"/>
        <v>333.3333333333333</v>
      </c>
      <c r="E64" s="4">
        <f t="shared" si="24"/>
        <v>16666.66666666668</v>
      </c>
      <c r="F64" s="15">
        <f t="shared" si="37"/>
        <v>40</v>
      </c>
      <c r="G64" s="15">
        <f t="shared" si="25"/>
        <v>13333.333333333332</v>
      </c>
      <c r="I64" s="15">
        <f t="shared" si="38"/>
        <v>0</v>
      </c>
      <c r="J64" s="15">
        <f t="shared" si="26"/>
        <v>0</v>
      </c>
      <c r="K64" s="15"/>
      <c r="L64" s="15">
        <f t="shared" si="27"/>
        <v>40</v>
      </c>
      <c r="M64" s="15">
        <f t="shared" si="28"/>
        <v>13333.333333333332</v>
      </c>
      <c r="O64" s="117"/>
      <c r="Q64" s="3">
        <f t="shared" si="19"/>
        <v>2.0798108524937033</v>
      </c>
      <c r="R64" s="4">
        <f t="shared" si="29"/>
        <v>86.6365312136262</v>
      </c>
      <c r="T64" s="4">
        <f t="shared" si="30"/>
        <v>19611.40010688213</v>
      </c>
      <c r="X64" s="3">
        <f t="shared" si="20"/>
        <v>0.7658526995822559</v>
      </c>
      <c r="AA64" s="1">
        <f t="shared" si="21"/>
        <v>0.00011323557065768317</v>
      </c>
      <c r="AB64">
        <f t="shared" si="31"/>
        <v>21.35</v>
      </c>
      <c r="AC64">
        <f t="shared" si="32"/>
        <v>1</v>
      </c>
      <c r="AD64" s="8">
        <f t="shared" si="22"/>
        <v>71.52832898092385</v>
      </c>
      <c r="AE64" s="4">
        <f t="shared" si="23"/>
        <v>1032852.5668507187</v>
      </c>
      <c r="AF64" s="5">
        <f t="shared" si="11"/>
        <v>0.01290239233762217</v>
      </c>
      <c r="AG64" s="4">
        <f t="shared" si="33"/>
        <v>33333.333333333394</v>
      </c>
      <c r="AH64" s="8">
        <f t="shared" si="34"/>
        <v>3946.594627243801</v>
      </c>
      <c r="AI64" s="10">
        <f t="shared" si="35"/>
        <v>5.981892482714906</v>
      </c>
      <c r="AJ64" s="8">
        <f t="shared" si="15"/>
        <v>97.69257399237657</v>
      </c>
    </row>
    <row r="65" spans="1:36" ht="12.75">
      <c r="A65" s="120"/>
      <c r="B65" s="114"/>
      <c r="D65">
        <f t="shared" si="36"/>
        <v>333.3333333333333</v>
      </c>
      <c r="E65" s="4">
        <f t="shared" si="24"/>
        <v>17000.00000000001</v>
      </c>
      <c r="F65" s="15">
        <f t="shared" si="37"/>
        <v>40</v>
      </c>
      <c r="G65" s="15">
        <f t="shared" si="25"/>
        <v>13333.333333333332</v>
      </c>
      <c r="I65" s="15">
        <f t="shared" si="38"/>
        <v>0</v>
      </c>
      <c r="J65" s="15">
        <f t="shared" si="26"/>
        <v>0</v>
      </c>
      <c r="K65" s="15"/>
      <c r="L65" s="15">
        <f t="shared" si="27"/>
        <v>40</v>
      </c>
      <c r="M65" s="15">
        <f t="shared" si="28"/>
        <v>13333.333333333332</v>
      </c>
      <c r="O65" s="117"/>
      <c r="Q65" s="3">
        <f t="shared" si="19"/>
        <v>2.0826680944728446</v>
      </c>
      <c r="R65" s="4">
        <f t="shared" si="29"/>
        <v>86.96297625231045</v>
      </c>
      <c r="T65" s="4">
        <f t="shared" si="30"/>
        <v>19611.40010688213</v>
      </c>
      <c r="X65" s="3">
        <f t="shared" si="20"/>
        <v>0.764204600580261</v>
      </c>
      <c r="AA65" s="1">
        <f t="shared" si="21"/>
        <v>0.00011191289732099749</v>
      </c>
      <c r="AB65">
        <f t="shared" si="31"/>
        <v>21.35</v>
      </c>
      <c r="AC65">
        <f t="shared" si="32"/>
        <v>1</v>
      </c>
      <c r="AD65" s="8">
        <f t="shared" si="22"/>
        <v>71.68258841291146</v>
      </c>
      <c r="AE65" s="4">
        <f t="shared" si="23"/>
        <v>1045059.6187956112</v>
      </c>
      <c r="AF65" s="5">
        <f t="shared" si="11"/>
        <v>0.012864548849330897</v>
      </c>
      <c r="AG65" s="4">
        <f t="shared" si="33"/>
        <v>33333.33333333321</v>
      </c>
      <c r="AH65" s="8">
        <f t="shared" si="34"/>
        <v>3943.5053703266954</v>
      </c>
      <c r="AI65" s="10">
        <f t="shared" si="35"/>
        <v>5.942457429011639</v>
      </c>
      <c r="AJ65" s="8">
        <f t="shared" si="15"/>
        <v>97.60563131861537</v>
      </c>
    </row>
    <row r="66" spans="1:36" ht="12.75">
      <c r="A66" s="120"/>
      <c r="B66" s="114"/>
      <c r="D66">
        <f t="shared" si="36"/>
        <v>333.3333333333333</v>
      </c>
      <c r="E66" s="4">
        <f t="shared" si="24"/>
        <v>17333.333333333343</v>
      </c>
      <c r="F66" s="15">
        <f t="shared" si="37"/>
        <v>40</v>
      </c>
      <c r="G66" s="15">
        <f t="shared" si="25"/>
        <v>13333.333333333332</v>
      </c>
      <c r="I66" s="15">
        <f t="shared" si="38"/>
        <v>0</v>
      </c>
      <c r="J66" s="15">
        <f t="shared" si="26"/>
        <v>0</v>
      </c>
      <c r="K66" s="15"/>
      <c r="L66" s="15">
        <f t="shared" si="27"/>
        <v>40</v>
      </c>
      <c r="M66" s="15">
        <f t="shared" si="28"/>
        <v>13333.333333333332</v>
      </c>
      <c r="O66" s="117"/>
      <c r="Q66" s="3">
        <f t="shared" si="19"/>
        <v>2.0856018867758164</v>
      </c>
      <c r="R66" s="4">
        <f t="shared" si="29"/>
        <v>87.28896208449518</v>
      </c>
      <c r="T66" s="4">
        <f t="shared" si="30"/>
        <v>19611.40010688213</v>
      </c>
      <c r="X66" s="3">
        <f t="shared" si="20"/>
        <v>0.7625587626287265</v>
      </c>
      <c r="AA66" s="1">
        <f t="shared" si="21"/>
        <v>0.00011061170312749209</v>
      </c>
      <c r="AB66">
        <f t="shared" si="31"/>
        <v>21.35</v>
      </c>
      <c r="AC66">
        <f t="shared" si="32"/>
        <v>1</v>
      </c>
      <c r="AD66" s="8">
        <f t="shared" si="22"/>
        <v>71.83730163667339</v>
      </c>
      <c r="AE66" s="4">
        <f t="shared" si="23"/>
        <v>1057353.3044490765</v>
      </c>
      <c r="AF66" s="5">
        <f t="shared" si="11"/>
        <v>0.012826991159281976</v>
      </c>
      <c r="AG66" s="4">
        <f t="shared" si="33"/>
        <v>33333.33333333321</v>
      </c>
      <c r="AH66" s="8">
        <f t="shared" si="34"/>
        <v>3940.4788741064267</v>
      </c>
      <c r="AI66" s="10">
        <f t="shared" si="35"/>
        <v>5.903052640270574</v>
      </c>
      <c r="AJ66" s="8">
        <f t="shared" si="15"/>
        <v>97.51817714850469</v>
      </c>
    </row>
    <row r="67" spans="1:36" ht="12.75">
      <c r="A67" s="120"/>
      <c r="B67" s="114"/>
      <c r="D67">
        <f t="shared" si="36"/>
        <v>333.3333333333333</v>
      </c>
      <c r="E67" s="4">
        <f t="shared" si="24"/>
        <v>17666.666666666675</v>
      </c>
      <c r="F67" s="15">
        <f t="shared" si="37"/>
        <v>40</v>
      </c>
      <c r="G67" s="15">
        <f t="shared" si="25"/>
        <v>13333.333333333332</v>
      </c>
      <c r="I67" s="15">
        <f t="shared" si="38"/>
        <v>0</v>
      </c>
      <c r="J67" s="15">
        <f t="shared" si="26"/>
        <v>0</v>
      </c>
      <c r="K67" s="15"/>
      <c r="L67" s="15">
        <f t="shared" si="27"/>
        <v>40</v>
      </c>
      <c r="M67" s="15">
        <f t="shared" si="28"/>
        <v>13333.333333333332</v>
      </c>
      <c r="O67" s="117"/>
      <c r="Q67" s="3">
        <f t="shared" si="19"/>
        <v>2.088611797525786</v>
      </c>
      <c r="R67" s="4">
        <f t="shared" si="29"/>
        <v>87.61447813657918</v>
      </c>
      <c r="T67" s="4">
        <f t="shared" si="30"/>
        <v>19611.40010688213</v>
      </c>
      <c r="X67" s="3">
        <f t="shared" si="20"/>
        <v>0.7609152398586008</v>
      </c>
      <c r="AA67" s="1">
        <f t="shared" si="21"/>
        <v>0.00010933194891456814</v>
      </c>
      <c r="AB67">
        <f t="shared" si="31"/>
        <v>21.35</v>
      </c>
      <c r="AC67">
        <f t="shared" si="32"/>
        <v>1</v>
      </c>
      <c r="AD67" s="8">
        <f t="shared" si="22"/>
        <v>71.9924650961491</v>
      </c>
      <c r="AE67" s="4">
        <f t="shared" si="23"/>
        <v>1069729.8545732775</v>
      </c>
      <c r="AF67" s="5">
        <f t="shared" si="11"/>
        <v>0.012789727693825177</v>
      </c>
      <c r="AG67" s="4">
        <f t="shared" si="33"/>
        <v>33333.33333333321</v>
      </c>
      <c r="AH67" s="8">
        <f t="shared" si="34"/>
        <v>3937.5178868831204</v>
      </c>
      <c r="AI67" s="10">
        <f t="shared" si="35"/>
        <v>5.863677461401743</v>
      </c>
      <c r="AJ67" s="8">
        <f t="shared" si="15"/>
        <v>97.43020361166404</v>
      </c>
    </row>
    <row r="68" spans="1:36" ht="12.75">
      <c r="A68" s="120"/>
      <c r="B68" s="114"/>
      <c r="D68">
        <f t="shared" si="36"/>
        <v>333.3333333333333</v>
      </c>
      <c r="E68" s="4">
        <f t="shared" si="24"/>
        <v>18000.000000000007</v>
      </c>
      <c r="F68" s="15">
        <f t="shared" si="37"/>
        <v>40</v>
      </c>
      <c r="G68" s="15">
        <f t="shared" si="25"/>
        <v>13333.333333333332</v>
      </c>
      <c r="I68" s="15">
        <f t="shared" si="38"/>
        <v>0</v>
      </c>
      <c r="J68" s="15">
        <f t="shared" si="26"/>
        <v>0</v>
      </c>
      <c r="K68" s="15"/>
      <c r="L68" s="15">
        <f t="shared" si="27"/>
        <v>40</v>
      </c>
      <c r="M68" s="15">
        <f t="shared" si="28"/>
        <v>13333.333333333332</v>
      </c>
      <c r="O68" s="117"/>
      <c r="Q68" s="3">
        <f t="shared" si="19"/>
        <v>2.0916973863170876</v>
      </c>
      <c r="R68" s="4">
        <f t="shared" si="29"/>
        <v>87.93951400032988</v>
      </c>
      <c r="T68" s="4">
        <f t="shared" si="30"/>
        <v>19611.40010688213</v>
      </c>
      <c r="X68" s="3">
        <f t="shared" si="20"/>
        <v>0.7592740855788088</v>
      </c>
      <c r="AA68" s="1">
        <f t="shared" si="21"/>
        <v>0.00010807359242746743</v>
      </c>
      <c r="AB68">
        <f t="shared" si="31"/>
        <v>21.35</v>
      </c>
      <c r="AC68">
        <f t="shared" si="32"/>
        <v>1</v>
      </c>
      <c r="AD68" s="8">
        <f t="shared" si="22"/>
        <v>72.14807523015658</v>
      </c>
      <c r="AE68" s="4">
        <f t="shared" si="23"/>
        <v>1082185.2701073824</v>
      </c>
      <c r="AF68" s="5">
        <f t="shared" si="11"/>
        <v>0.012752766929035063</v>
      </c>
      <c r="AG68" s="4">
        <f t="shared" si="33"/>
        <v>33333.33333333321</v>
      </c>
      <c r="AH68" s="8">
        <f t="shared" si="34"/>
        <v>3934.6252000258205</v>
      </c>
      <c r="AI68" s="10">
        <f t="shared" si="35"/>
        <v>5.8243312094014845</v>
      </c>
      <c r="AJ68" s="8">
        <f t="shared" si="15"/>
        <v>97.34170261362935</v>
      </c>
    </row>
    <row r="69" spans="1:36" ht="12.75">
      <c r="A69" s="120"/>
      <c r="B69" s="114"/>
      <c r="D69">
        <f t="shared" si="36"/>
        <v>333.3333333333333</v>
      </c>
      <c r="E69" s="4">
        <f t="shared" si="24"/>
        <v>18333.33333333334</v>
      </c>
      <c r="F69" s="15">
        <f t="shared" si="37"/>
        <v>40</v>
      </c>
      <c r="G69" s="15">
        <f t="shared" si="25"/>
        <v>13333.333333333332</v>
      </c>
      <c r="I69" s="15">
        <f t="shared" si="38"/>
        <v>0</v>
      </c>
      <c r="J69" s="15">
        <f t="shared" si="26"/>
        <v>0</v>
      </c>
      <c r="K69" s="15"/>
      <c r="L69" s="15">
        <f t="shared" si="27"/>
        <v>40</v>
      </c>
      <c r="M69" s="15">
        <f t="shared" si="28"/>
        <v>13333.333333333332</v>
      </c>
      <c r="O69" s="117"/>
      <c r="Q69" s="3">
        <f t="shared" si="19"/>
        <v>2.094858204475701</v>
      </c>
      <c r="R69" s="4">
        <f t="shared" si="29"/>
        <v>88.26405943505864</v>
      </c>
      <c r="T69" s="4">
        <f t="shared" si="30"/>
        <v>19611.40010688213</v>
      </c>
      <c r="X69" s="3">
        <f t="shared" si="20"/>
        <v>0.7576353522645369</v>
      </c>
      <c r="AA69" s="1">
        <f t="shared" si="21"/>
        <v>0.00010683658836855856</v>
      </c>
      <c r="AB69">
        <f t="shared" si="31"/>
        <v>21.35</v>
      </c>
      <c r="AC69">
        <f t="shared" si="32"/>
        <v>1</v>
      </c>
      <c r="AD69" s="8">
        <f t="shared" si="22"/>
        <v>72.30412847409096</v>
      </c>
      <c r="AE69" s="4">
        <f t="shared" si="23"/>
        <v>1094715.318025013</v>
      </c>
      <c r="AF69" s="5">
        <f t="shared" si="11"/>
        <v>0.012716117386252916</v>
      </c>
      <c r="AG69" s="4">
        <f t="shared" si="33"/>
        <v>33333.33333333321</v>
      </c>
      <c r="AH69" s="8">
        <f t="shared" si="34"/>
        <v>3931.803646972553</v>
      </c>
      <c r="AI69" s="10">
        <f t="shared" si="35"/>
        <v>5.785013172931759</v>
      </c>
      <c r="AJ69" s="8">
        <f t="shared" si="15"/>
        <v>97.25266582839214</v>
      </c>
    </row>
    <row r="70" spans="1:36" ht="12.75">
      <c r="A70" s="120"/>
      <c r="B70" s="114"/>
      <c r="D70">
        <f t="shared" si="36"/>
        <v>333.3333333333333</v>
      </c>
      <c r="E70" s="4">
        <f t="shared" si="24"/>
        <v>18666.66666666667</v>
      </c>
      <c r="F70" s="15">
        <f t="shared" si="37"/>
        <v>40</v>
      </c>
      <c r="G70" s="15">
        <f t="shared" si="25"/>
        <v>13333.333333333332</v>
      </c>
      <c r="I70" s="15">
        <f t="shared" si="38"/>
        <v>0</v>
      </c>
      <c r="J70" s="15">
        <f t="shared" si="26"/>
        <v>0</v>
      </c>
      <c r="K70" s="15"/>
      <c r="L70" s="15">
        <f t="shared" si="27"/>
        <v>40</v>
      </c>
      <c r="M70" s="15">
        <f t="shared" si="28"/>
        <v>13333.333333333332</v>
      </c>
      <c r="O70" s="117"/>
      <c r="Q70" s="3">
        <f t="shared" si="19"/>
        <v>2.0980937953216006</v>
      </c>
      <c r="R70" s="4">
        <f t="shared" si="29"/>
        <v>88.58810436964768</v>
      </c>
      <c r="T70" s="4">
        <f t="shared" si="30"/>
        <v>19611.40010688213</v>
      </c>
      <c r="X70" s="3">
        <f t="shared" si="20"/>
        <v>0.7559990915462649</v>
      </c>
      <c r="AA70" s="1">
        <f t="shared" si="21"/>
        <v>0.00010562088844799891</v>
      </c>
      <c r="AB70">
        <f t="shared" si="31"/>
        <v>21.35</v>
      </c>
      <c r="AC70">
        <f t="shared" si="32"/>
        <v>1</v>
      </c>
      <c r="AD70" s="8">
        <f t="shared" si="22"/>
        <v>72.4606212616009</v>
      </c>
      <c r="AE70" s="4">
        <f t="shared" si="23"/>
        <v>1107315.5275547188</v>
      </c>
      <c r="AF70" s="5">
        <f t="shared" si="11"/>
        <v>0.012679787627381152</v>
      </c>
      <c r="AG70" s="4">
        <f t="shared" si="33"/>
        <v>33333.33333333321</v>
      </c>
      <c r="AH70" s="8">
        <f t="shared" si="34"/>
        <v>3929.056102131761</v>
      </c>
      <c r="AI70" s="10">
        <f t="shared" si="35"/>
        <v>5.745722611910441</v>
      </c>
      <c r="AJ70" s="8">
        <f t="shared" si="15"/>
        <v>97.1630846906914</v>
      </c>
    </row>
    <row r="71" spans="1:36" ht="12.75">
      <c r="A71" s="120"/>
      <c r="B71" s="114"/>
      <c r="D71">
        <f t="shared" si="36"/>
        <v>333.3333333333333</v>
      </c>
      <c r="E71" s="4">
        <f t="shared" si="24"/>
        <v>19000.000000000004</v>
      </c>
      <c r="F71" s="15">
        <f t="shared" si="37"/>
        <v>40</v>
      </c>
      <c r="G71" s="15">
        <f t="shared" si="25"/>
        <v>13333.333333333332</v>
      </c>
      <c r="I71" s="15">
        <f t="shared" si="38"/>
        <v>0</v>
      </c>
      <c r="J71" s="15">
        <f t="shared" si="26"/>
        <v>0</v>
      </c>
      <c r="K71" s="15"/>
      <c r="L71" s="15">
        <f t="shared" si="27"/>
        <v>40</v>
      </c>
      <c r="M71" s="15">
        <f t="shared" si="28"/>
        <v>13333.333333333332</v>
      </c>
      <c r="O71" s="117"/>
      <c r="Q71" s="3">
        <f t="shared" si="19"/>
        <v>2.1014036944326744</v>
      </c>
      <c r="R71" s="4">
        <f t="shared" si="29"/>
        <v>88.91163890442931</v>
      </c>
      <c r="T71" s="4">
        <f t="shared" si="30"/>
        <v>19611.40010688213</v>
      </c>
      <c r="X71" s="3">
        <f t="shared" si="20"/>
        <v>0.7543653541995474</v>
      </c>
      <c r="AA71" s="1">
        <f t="shared" si="21"/>
        <v>0.0001044264414356995</v>
      </c>
      <c r="AB71">
        <f t="shared" si="31"/>
        <v>21.35</v>
      </c>
      <c r="AC71">
        <f t="shared" si="32"/>
        <v>1</v>
      </c>
      <c r="AD71" s="8">
        <f t="shared" si="22"/>
        <v>72.61755002624047</v>
      </c>
      <c r="AE71" s="4">
        <f t="shared" si="23"/>
        <v>1119981.1868013272</v>
      </c>
      <c r="AF71" s="5">
        <f t="shared" si="11"/>
        <v>0.0126437862499263</v>
      </c>
      <c r="AG71" s="4">
        <f t="shared" si="33"/>
        <v>33333.33333333321</v>
      </c>
      <c r="AH71" s="8">
        <f t="shared" si="34"/>
        <v>3926.3854796824367</v>
      </c>
      <c r="AI71" s="10">
        <f t="shared" si="35"/>
        <v>5.706458757113617</v>
      </c>
      <c r="AJ71" s="8">
        <f t="shared" si="15"/>
        <v>97.0729503880497</v>
      </c>
    </row>
    <row r="72" spans="1:36" ht="12.75">
      <c r="A72" s="120"/>
      <c r="B72" s="114"/>
      <c r="D72">
        <f t="shared" si="36"/>
        <v>333.3333333333333</v>
      </c>
      <c r="E72" s="4">
        <f t="shared" si="24"/>
        <v>19333.333333333336</v>
      </c>
      <c r="F72" s="15">
        <f t="shared" si="37"/>
        <v>40</v>
      </c>
      <c r="G72" s="15">
        <f t="shared" si="25"/>
        <v>13333.333333333332</v>
      </c>
      <c r="I72" s="15">
        <f t="shared" si="38"/>
        <v>0</v>
      </c>
      <c r="J72" s="15">
        <f t="shared" si="26"/>
        <v>0</v>
      </c>
      <c r="K72" s="15"/>
      <c r="L72" s="15">
        <f t="shared" si="27"/>
        <v>40</v>
      </c>
      <c r="M72" s="15">
        <f t="shared" si="28"/>
        <v>13333.333333333332</v>
      </c>
      <c r="O72" s="117"/>
      <c r="Q72" s="3">
        <f t="shared" si="19"/>
        <v>2.104787429909896</v>
      </c>
      <c r="R72" s="4">
        <f t="shared" si="29"/>
        <v>89.23465331291794</v>
      </c>
      <c r="T72" s="4">
        <f t="shared" si="30"/>
        <v>19611.40010688213</v>
      </c>
      <c r="X72" s="3">
        <f t="shared" si="20"/>
        <v>0.7527341901355389</v>
      </c>
      <c r="AA72" s="1">
        <f t="shared" si="21"/>
        <v>0.00010325319321450606</v>
      </c>
      <c r="AB72">
        <f t="shared" si="31"/>
        <v>21.35</v>
      </c>
      <c r="AC72">
        <f t="shared" si="32"/>
        <v>1</v>
      </c>
      <c r="AD72" s="8">
        <f t="shared" si="22"/>
        <v>72.77491120309601</v>
      </c>
      <c r="AE72" s="4">
        <f t="shared" si="23"/>
        <v>1132707.3398071222</v>
      </c>
      <c r="AF72" s="5">
        <f t="shared" si="11"/>
        <v>0.012608121881786338</v>
      </c>
      <c r="AG72" s="4">
        <f t="shared" si="33"/>
        <v>33333.33333333321</v>
      </c>
      <c r="AH72" s="8">
        <f t="shared" si="34"/>
        <v>3923.794732270339</v>
      </c>
      <c r="AI72" s="10">
        <f t="shared" si="35"/>
        <v>5.667220809790913</v>
      </c>
      <c r="AJ72" s="8">
        <f t="shared" si="15"/>
        <v>96.98225385254436</v>
      </c>
    </row>
    <row r="73" spans="1:36" ht="12.75">
      <c r="A73" s="120"/>
      <c r="B73" s="114"/>
      <c r="D73">
        <f t="shared" si="36"/>
        <v>333.3333333333333</v>
      </c>
      <c r="E73" s="4">
        <f t="shared" si="24"/>
        <v>19666.666666666668</v>
      </c>
      <c r="F73" s="15">
        <f t="shared" si="37"/>
        <v>40</v>
      </c>
      <c r="G73" s="15">
        <f t="shared" si="25"/>
        <v>13333.333333333332</v>
      </c>
      <c r="I73" s="15">
        <f t="shared" si="38"/>
        <v>0</v>
      </c>
      <c r="J73" s="15">
        <f t="shared" si="26"/>
        <v>0</v>
      </c>
      <c r="K73" s="15"/>
      <c r="L73" s="15">
        <f t="shared" si="27"/>
        <v>40</v>
      </c>
      <c r="M73" s="15">
        <f t="shared" si="28"/>
        <v>13333.333333333332</v>
      </c>
      <c r="O73" s="117"/>
      <c r="Q73" s="3">
        <f t="shared" si="19"/>
        <v>2.108244522643444</v>
      </c>
      <c r="R73" s="4">
        <f t="shared" si="29"/>
        <v>89.55713804339608</v>
      </c>
      <c r="T73" s="4">
        <f t="shared" si="30"/>
        <v>19611.40010688213</v>
      </c>
      <c r="X73" s="3">
        <f t="shared" si="20"/>
        <v>0.7511056483922618</v>
      </c>
      <c r="AA73" s="1">
        <f t="shared" si="21"/>
        <v>0.00010210108683452444</v>
      </c>
      <c r="AB73">
        <f t="shared" si="31"/>
        <v>21.35</v>
      </c>
      <c r="AC73">
        <f t="shared" si="32"/>
        <v>1</v>
      </c>
      <c r="AD73" s="8">
        <f t="shared" si="22"/>
        <v>72.93270123038607</v>
      </c>
      <c r="AE73" s="4">
        <f t="shared" si="23"/>
        <v>1145488.7840924202</v>
      </c>
      <c r="AF73" s="5">
        <f t="shared" si="11"/>
        <v>0.012572803175779664</v>
      </c>
      <c r="AG73" s="4">
        <f t="shared" si="33"/>
        <v>33333.33333333321</v>
      </c>
      <c r="AH73" s="8">
        <f t="shared" si="34"/>
        <v>3921.286849597934</v>
      </c>
      <c r="AI73" s="10">
        <f t="shared" si="35"/>
        <v>5.628007941294934</v>
      </c>
      <c r="AJ73" s="8">
        <f t="shared" si="15"/>
        <v>96.89098575230463</v>
      </c>
    </row>
    <row r="74" spans="1:36" ht="13.5" thickBot="1">
      <c r="A74" s="100"/>
      <c r="B74" s="115"/>
      <c r="D74">
        <f t="shared" si="36"/>
        <v>333.3333333333333</v>
      </c>
      <c r="E74" s="4">
        <f t="shared" si="24"/>
        <v>20000</v>
      </c>
      <c r="F74" s="15">
        <f t="shared" si="37"/>
        <v>40</v>
      </c>
      <c r="G74" s="15">
        <f t="shared" si="25"/>
        <v>13333.333333333332</v>
      </c>
      <c r="I74" s="15">
        <f t="shared" si="38"/>
        <v>0</v>
      </c>
      <c r="J74" s="15">
        <f t="shared" si="26"/>
        <v>0</v>
      </c>
      <c r="K74" s="15"/>
      <c r="L74" s="15">
        <f t="shared" si="27"/>
        <v>40</v>
      </c>
      <c r="M74" s="15">
        <f t="shared" si="28"/>
        <v>13333.333333333332</v>
      </c>
      <c r="O74" s="118"/>
      <c r="Q74" s="3">
        <f t="shared" si="19"/>
        <v>2.1117744865794688</v>
      </c>
      <c r="R74" s="4">
        <f t="shared" si="29"/>
        <v>89.87908372035513</v>
      </c>
      <c r="T74" s="4">
        <f t="shared" si="30"/>
        <v>19611.40010688213</v>
      </c>
      <c r="X74" s="3">
        <f t="shared" si="20"/>
        <v>0.7494797771266101</v>
      </c>
      <c r="AA74" s="1">
        <f t="shared" si="21"/>
        <v>0.00010097006256850381</v>
      </c>
      <c r="AB74">
        <f t="shared" si="31"/>
        <v>21.35</v>
      </c>
      <c r="AC74">
        <f t="shared" si="32"/>
        <v>1</v>
      </c>
      <c r="AD74" s="8">
        <f t="shared" si="22"/>
        <v>73.09091655103349</v>
      </c>
      <c r="AE74" s="4">
        <f t="shared" si="23"/>
        <v>1158320.0687158597</v>
      </c>
      <c r="AF74" s="5">
        <f t="shared" si="11"/>
        <v>0.012537838803912876</v>
      </c>
      <c r="AG74" s="4">
        <f t="shared" si="33"/>
        <v>33333.33333333321</v>
      </c>
      <c r="AH74" s="8">
        <f t="shared" si="34"/>
        <v>3918.8648569058264</v>
      </c>
      <c r="AI74" s="10">
        <f t="shared" si="35"/>
        <v>5.5888192927258755</v>
      </c>
      <c r="AJ74" s="8">
        <f t="shared" si="15"/>
        <v>96.79913648272486</v>
      </c>
    </row>
    <row r="75" spans="1:36" ht="13.5" thickBot="1">
      <c r="A75" s="20" t="s">
        <v>46</v>
      </c>
      <c r="AB75" t="s">
        <v>40</v>
      </c>
      <c r="AH75" s="3">
        <f>0.1*(X74*AD74^2)/2</f>
        <v>200.19661921836538</v>
      </c>
      <c r="AI75" s="10">
        <f t="shared" si="35"/>
        <v>5.586817326533692</v>
      </c>
      <c r="AJ75" s="8">
        <f t="shared" si="15"/>
        <v>96.79442705479138</v>
      </c>
    </row>
    <row r="77" spans="1:34" ht="12.75">
      <c r="A77" t="s">
        <v>53</v>
      </c>
      <c r="B77" s="15">
        <f>B60+B45+B30+B15</f>
        <v>800000.0000000001</v>
      </c>
      <c r="C77" t="s">
        <v>35</v>
      </c>
      <c r="N77" t="s">
        <v>39</v>
      </c>
      <c r="O77" s="15">
        <f>O60+O45+O30+O15</f>
        <v>800000.0000000001</v>
      </c>
      <c r="P77" t="s">
        <v>35</v>
      </c>
      <c r="AG77" s="6" t="s">
        <v>66</v>
      </c>
      <c r="AH77" s="11">
        <f>SUM(AH15:AH75)</f>
        <v>241318.26734663063</v>
      </c>
    </row>
    <row r="78" spans="33:34" ht="12.75">
      <c r="AG78" s="25" t="s">
        <v>67</v>
      </c>
      <c r="AH78" s="26">
        <f>AH77/100000</f>
        <v>2.413182673466306</v>
      </c>
    </row>
    <row r="79" spans="33:34" ht="12.75">
      <c r="AG79" s="6"/>
      <c r="AH79" s="11"/>
    </row>
    <row r="80" spans="29:36" ht="12.75">
      <c r="AC80" s="12"/>
      <c r="AD80" s="12"/>
      <c r="AE80" s="12"/>
      <c r="AF80" s="12"/>
      <c r="AG80" s="23"/>
      <c r="AH80" s="12"/>
      <c r="AI80" s="23"/>
      <c r="AJ80" s="24"/>
    </row>
  </sheetData>
  <mergeCells count="12">
    <mergeCell ref="B30:B44"/>
    <mergeCell ref="A30:A44"/>
    <mergeCell ref="O30:O44"/>
    <mergeCell ref="A15:A29"/>
    <mergeCell ref="B15:B29"/>
    <mergeCell ref="O15:O29"/>
    <mergeCell ref="O45:O59"/>
    <mergeCell ref="B60:B74"/>
    <mergeCell ref="A60:A74"/>
    <mergeCell ref="O60:O74"/>
    <mergeCell ref="A45:A59"/>
    <mergeCell ref="B45:B59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6:G24"/>
  <sheetViews>
    <sheetView workbookViewId="0" topLeftCell="A1">
      <selection activeCell="G24" sqref="C6:G24"/>
    </sheetView>
  </sheetViews>
  <sheetFormatPr defaultColWidth="9.00390625" defaultRowHeight="12.75"/>
  <cols>
    <col min="1" max="2" width="11.375" style="0" customWidth="1"/>
    <col min="3" max="3" width="22.125" style="0" bestFit="1" customWidth="1"/>
    <col min="4" max="4" width="13.00390625" style="0" bestFit="1" customWidth="1"/>
    <col min="5" max="5" width="11.625" style="0" bestFit="1" customWidth="1"/>
    <col min="7" max="7" width="12.875" style="0" bestFit="1" customWidth="1"/>
    <col min="8" max="16384" width="11.375" style="0" customWidth="1"/>
  </cols>
  <sheetData>
    <row r="6" spans="3:7" ht="12.75">
      <c r="C6" s="5"/>
      <c r="D6" s="24" t="s">
        <v>263</v>
      </c>
      <c r="E6" s="24" t="s">
        <v>259</v>
      </c>
      <c r="F6" s="24" t="s">
        <v>261</v>
      </c>
      <c r="G6" s="24" t="s">
        <v>265</v>
      </c>
    </row>
    <row r="7" spans="3:7" ht="12.75">
      <c r="C7" s="5"/>
      <c r="D7" s="24" t="s">
        <v>257</v>
      </c>
      <c r="E7" s="24" t="s">
        <v>260</v>
      </c>
      <c r="F7" s="24" t="s">
        <v>262</v>
      </c>
      <c r="G7" s="24" t="s">
        <v>266</v>
      </c>
    </row>
    <row r="8" spans="3:7" ht="12.75">
      <c r="C8" s="24" t="s">
        <v>258</v>
      </c>
      <c r="D8" s="24" t="s">
        <v>33</v>
      </c>
      <c r="E8" s="24" t="s">
        <v>180</v>
      </c>
      <c r="F8" s="24" t="s">
        <v>180</v>
      </c>
      <c r="G8" s="24" t="s">
        <v>267</v>
      </c>
    </row>
    <row r="9" spans="3:7" ht="12.75">
      <c r="C9" s="24"/>
      <c r="D9" s="5"/>
      <c r="E9" s="5"/>
      <c r="F9" s="5"/>
      <c r="G9" s="5"/>
    </row>
    <row r="10" spans="3:7" ht="12.75">
      <c r="C10" s="24" t="s">
        <v>282</v>
      </c>
      <c r="D10" s="79">
        <f>'Cryo Power'!C22+'Cryo Power'!D22+'Cryo Power'!F22</f>
        <v>6.5</v>
      </c>
      <c r="E10" s="79">
        <f>'Cryo Power'!C26+'Cryo Power'!D26+'Cryo Power'!F26</f>
        <v>78.8125</v>
      </c>
      <c r="F10" s="79">
        <f>E10*24</f>
        <v>1891.5</v>
      </c>
      <c r="G10" s="79">
        <f>('Cryo Power'!C42+'Cryo Power'!D42+'Cryo Power'!F42)*24/1000</f>
        <v>22.97777739154316</v>
      </c>
    </row>
    <row r="11" spans="3:7" ht="12.75">
      <c r="C11" s="24"/>
      <c r="D11" s="79"/>
      <c r="E11" s="79"/>
      <c r="F11" s="79"/>
      <c r="G11" s="79"/>
    </row>
    <row r="12" spans="3:7" ht="12.75">
      <c r="C12" s="24" t="s">
        <v>283</v>
      </c>
      <c r="D12" s="79">
        <f>'Cryo Power'!E22</f>
        <v>10</v>
      </c>
      <c r="E12" s="79">
        <f>'Cryo Power'!E26</f>
        <v>97.8</v>
      </c>
      <c r="F12" s="79">
        <f>E12*24</f>
        <v>2347.2</v>
      </c>
      <c r="G12" s="79">
        <f>'Cryo Power'!E42*24/1000</f>
        <v>27.957854350726826</v>
      </c>
    </row>
    <row r="13" spans="3:7" ht="12.75">
      <c r="C13" s="24"/>
      <c r="D13" s="79"/>
      <c r="E13" s="79"/>
      <c r="F13" s="79"/>
      <c r="G13" s="79"/>
    </row>
    <row r="14" spans="3:7" ht="12.75">
      <c r="C14" s="24" t="s">
        <v>264</v>
      </c>
      <c r="D14" s="79">
        <f>'Cryo Power'!H22</f>
        <v>0.83</v>
      </c>
      <c r="E14" s="79">
        <f>'Cryo Power'!H26</f>
        <v>10.063749999999999</v>
      </c>
      <c r="F14" s="79">
        <f>E14*24</f>
        <v>241.52999999999997</v>
      </c>
      <c r="G14" s="79">
        <f>'Cryo Power'!H42*24/1000</f>
        <v>67.31619973540529</v>
      </c>
    </row>
    <row r="15" spans="3:7" ht="12.75">
      <c r="C15" s="24"/>
      <c r="D15" s="79"/>
      <c r="E15" s="79"/>
      <c r="F15" s="79"/>
      <c r="G15" s="79"/>
    </row>
    <row r="16" spans="3:7" ht="12.75">
      <c r="C16" s="24" t="s">
        <v>284</v>
      </c>
      <c r="D16" s="79">
        <f>'Cryo Power'!L27/20000</f>
        <v>0.2225</v>
      </c>
      <c r="E16" s="79">
        <f>'Cryo Power'!L32/1000</f>
        <v>5.5625</v>
      </c>
      <c r="F16" s="79">
        <f>E16*24</f>
        <v>133.5</v>
      </c>
      <c r="G16" s="79">
        <f>'Cryo Power'!L42*24/1000</f>
        <v>1.6029816508410217</v>
      </c>
    </row>
    <row r="17" spans="3:7" ht="12.75">
      <c r="C17" s="24"/>
      <c r="D17" s="79"/>
      <c r="E17" s="79"/>
      <c r="F17" s="79"/>
      <c r="G17" s="79"/>
    </row>
    <row r="18" spans="3:7" ht="12.75">
      <c r="C18" s="24" t="s">
        <v>280</v>
      </c>
      <c r="D18" s="81">
        <f>'Cryo Power'!M27/20000</f>
        <v>0.002</v>
      </c>
      <c r="E18" s="79">
        <f>'Cryo Power'!M32/1000</f>
        <v>0.05</v>
      </c>
      <c r="F18" s="79">
        <f>E18*24</f>
        <v>1.2000000000000002</v>
      </c>
      <c r="G18" s="79">
        <f>'Cryo Power'!M42*24/1000</f>
        <v>0.33564033613445377</v>
      </c>
    </row>
    <row r="19" spans="3:7" ht="12.75">
      <c r="C19" s="24"/>
      <c r="D19" s="79"/>
      <c r="E19" s="79"/>
      <c r="F19" s="79"/>
      <c r="G19" s="79"/>
    </row>
    <row r="20" spans="3:7" ht="12.75">
      <c r="C20" s="24" t="s">
        <v>268</v>
      </c>
      <c r="D20" s="79"/>
      <c r="E20" s="79">
        <f>'Cryo Power'!O33</f>
        <v>1.125</v>
      </c>
      <c r="F20" s="79">
        <f>E20*24</f>
        <v>27</v>
      </c>
      <c r="G20" s="79">
        <f>'Cryo Power'!O42*24/1000</f>
        <v>0.9229882768424615</v>
      </c>
    </row>
    <row r="21" spans="3:7" ht="12.75">
      <c r="C21" s="24"/>
      <c r="D21" s="79"/>
      <c r="E21" s="79"/>
      <c r="F21" s="79"/>
      <c r="G21" s="79"/>
    </row>
    <row r="22" spans="3:7" ht="12.75">
      <c r="C22" s="24" t="s">
        <v>285</v>
      </c>
      <c r="D22" s="79"/>
      <c r="E22" s="79">
        <f>'Cryo Power'!N33</f>
        <v>7.406250000000001</v>
      </c>
      <c r="F22" s="79">
        <f>E22*24</f>
        <v>177.75000000000003</v>
      </c>
      <c r="G22" s="79">
        <f>'Cryo Power'!N42*24/1000</f>
        <v>0.9773141177293446</v>
      </c>
    </row>
    <row r="23" spans="3:7" ht="12.75">
      <c r="C23" s="5"/>
      <c r="D23" s="5"/>
      <c r="E23" s="5"/>
      <c r="F23" s="5"/>
      <c r="G23" s="5"/>
    </row>
    <row r="24" spans="3:7" ht="12.75">
      <c r="C24" s="24" t="s">
        <v>269</v>
      </c>
      <c r="D24" s="5"/>
      <c r="E24" s="5"/>
      <c r="F24" s="5"/>
      <c r="G24" s="79">
        <f>G10+G12+G14+G16+G18+G20+G22</f>
        <v>122.09075585922257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N34" sqref="J1:N34"/>
    </sheetView>
  </sheetViews>
  <sheetFormatPr defaultColWidth="9.00390625" defaultRowHeight="12.75"/>
  <cols>
    <col min="1" max="1" width="22.75390625" style="0" bestFit="1" customWidth="1"/>
    <col min="2" max="2" width="6.375" style="0" bestFit="1" customWidth="1"/>
    <col min="3" max="7" width="11.375" style="0" hidden="1" customWidth="1"/>
    <col min="8" max="8" width="16.25390625" style="0" bestFit="1" customWidth="1"/>
    <col min="9" max="16384" width="11.375" style="0" customWidth="1"/>
  </cols>
  <sheetData>
    <row r="1" spans="1:8" ht="12.75">
      <c r="A1" s="50"/>
      <c r="B1" s="45"/>
      <c r="C1" s="66" t="s">
        <v>208</v>
      </c>
      <c r="D1" s="66" t="s">
        <v>204</v>
      </c>
      <c r="E1" s="45" t="s">
        <v>160</v>
      </c>
      <c r="F1" s="66" t="s">
        <v>220</v>
      </c>
      <c r="G1" s="75" t="s">
        <v>245</v>
      </c>
      <c r="H1" s="45" t="s">
        <v>161</v>
      </c>
    </row>
    <row r="2" spans="1:8" ht="12.75">
      <c r="A2" s="51"/>
      <c r="B2" s="45"/>
      <c r="C2" s="66" t="s">
        <v>221</v>
      </c>
      <c r="D2" s="66" t="s">
        <v>213</v>
      </c>
      <c r="E2" s="45" t="s">
        <v>162</v>
      </c>
      <c r="F2" s="66" t="s">
        <v>205</v>
      </c>
      <c r="G2" s="75" t="s">
        <v>243</v>
      </c>
      <c r="H2" s="45"/>
    </row>
    <row r="3" spans="1:8" ht="12.75">
      <c r="A3" s="52" t="s">
        <v>163</v>
      </c>
      <c r="B3" s="52" t="s">
        <v>99</v>
      </c>
      <c r="C3" s="62">
        <v>77</v>
      </c>
      <c r="D3" s="62">
        <f>'Supply helium'!P180</f>
        <v>77.35056821906085</v>
      </c>
      <c r="E3" s="62">
        <f>'Thermal shield'!R166</f>
        <v>84.46357562313348</v>
      </c>
      <c r="F3" s="62">
        <f>'Return helium'!R106</f>
        <v>0</v>
      </c>
      <c r="G3" s="62">
        <f>C3</f>
        <v>77</v>
      </c>
      <c r="H3" s="55">
        <v>4.5</v>
      </c>
    </row>
    <row r="4" spans="1:8" ht="12.75">
      <c r="A4" s="52" t="s">
        <v>164</v>
      </c>
      <c r="B4" s="52" t="s">
        <v>72</v>
      </c>
      <c r="C4" s="55">
        <v>20</v>
      </c>
      <c r="D4" s="55">
        <f>'Supply helium'!AG182</f>
        <v>19.109729267061304</v>
      </c>
      <c r="E4" s="72">
        <f>'Thermal shield'!AI167</f>
        <v>19.03771986207223</v>
      </c>
      <c r="F4" s="55">
        <f>'Trace Tube Helium'!AI167</f>
        <v>17.49259910095652</v>
      </c>
      <c r="G4" s="55">
        <f>C4</f>
        <v>20</v>
      </c>
      <c r="H4" s="55">
        <v>4</v>
      </c>
    </row>
    <row r="5" spans="1:9" ht="12.75">
      <c r="A5" s="52" t="s">
        <v>166</v>
      </c>
      <c r="B5" s="52" t="s">
        <v>12</v>
      </c>
      <c r="C5" s="72">
        <f>15.1+5.217*C3</f>
        <v>416.80899999999997</v>
      </c>
      <c r="D5" s="72">
        <f>15.1+5.217*D3</f>
        <v>418.63791439884045</v>
      </c>
      <c r="E5" s="72">
        <f>15.1+5.217*E3</f>
        <v>455.7464740258874</v>
      </c>
      <c r="F5" s="72">
        <f>15.1+5.217*F3</f>
        <v>15.1</v>
      </c>
      <c r="G5" s="72">
        <f>15.1+5.217*G3</f>
        <v>416.80899999999997</v>
      </c>
      <c r="H5" s="55">
        <v>12.09</v>
      </c>
      <c r="I5" s="16" t="s">
        <v>310</v>
      </c>
    </row>
    <row r="6" spans="1:9" ht="12.75">
      <c r="A6" s="52" t="s">
        <v>167</v>
      </c>
      <c r="B6" s="52" t="s">
        <v>123</v>
      </c>
      <c r="C6" s="55">
        <f>2.0234-5.0309*LOG(C4)+(11.953+0.008775*C4)*LOG(C3)</f>
        <v>18.358350955068524</v>
      </c>
      <c r="D6" s="55">
        <f>2.0234-5.0309*LOG(D4)+(11.953+0.008775*D4)*LOG(D3)</f>
        <v>18.467013310427767</v>
      </c>
      <c r="E6" s="55">
        <f>2.0234-5.0309*LOG(E4)+(11.953+0.008775*E4)*LOG(E3)</f>
        <v>18.937127003342887</v>
      </c>
      <c r="F6" s="55" t="e">
        <f>2.0234-5.0309*LOG(F4)+(11.953+0.008775*F4)*LOG(F3)</f>
        <v>#NUM!</v>
      </c>
      <c r="G6" s="55">
        <f>2.0234-5.0309*LOG(G4)+(11.953+0.008775*G4)*LOG(G3)</f>
        <v>18.358350955068524</v>
      </c>
      <c r="H6" s="55">
        <v>3.522</v>
      </c>
      <c r="I6" s="16" t="s">
        <v>311</v>
      </c>
    </row>
    <row r="7" spans="1:8" ht="12.75">
      <c r="A7" s="52" t="s">
        <v>169</v>
      </c>
      <c r="B7" s="52" t="s">
        <v>99</v>
      </c>
      <c r="C7" s="62">
        <f>'Supply helium'!P180</f>
        <v>77.35056821906085</v>
      </c>
      <c r="D7" s="62">
        <f>'Thermal shield'!R166</f>
        <v>84.46357562313348</v>
      </c>
      <c r="E7" s="62">
        <f>'Trace Tube Helium'!R166</f>
        <v>101.99424228979991</v>
      </c>
      <c r="F7" s="62">
        <f>'Return helium'!S180</f>
        <v>106.44334155097178</v>
      </c>
      <c r="G7" s="62">
        <f>'Return helium'!S180</f>
        <v>106.44334155097178</v>
      </c>
      <c r="H7" s="55">
        <v>5.5</v>
      </c>
    </row>
    <row r="8" spans="1:8" ht="12.75">
      <c r="A8" s="52" t="s">
        <v>170</v>
      </c>
      <c r="B8" s="52" t="s">
        <v>72</v>
      </c>
      <c r="C8" s="55">
        <f>'Supply helium'!AG182</f>
        <v>19.109729267061304</v>
      </c>
      <c r="D8" s="55">
        <f>'Thermal shield'!AI167</f>
        <v>19.03771986207223</v>
      </c>
      <c r="E8" s="55">
        <f>'Trace Tube Helium'!AI167</f>
        <v>17.49259910095652</v>
      </c>
      <c r="F8" s="55">
        <f>'Return helium'!AJ182</f>
        <v>16.73022942168619</v>
      </c>
      <c r="G8" s="55">
        <f>'Return helium'!AJ182</f>
        <v>16.73022942168619</v>
      </c>
      <c r="H8" s="55">
        <v>1.8</v>
      </c>
    </row>
    <row r="9" spans="1:9" ht="12.75">
      <c r="A9" s="52" t="s">
        <v>171</v>
      </c>
      <c r="B9" s="52" t="s">
        <v>12</v>
      </c>
      <c r="C9" s="72">
        <f>15.1+5.217*C7</f>
        <v>418.63791439884045</v>
      </c>
      <c r="D9" s="72">
        <f>15.1+5.217*D7</f>
        <v>455.7464740258874</v>
      </c>
      <c r="E9" s="72">
        <f>15.1+5.217*E7</f>
        <v>547.2039620258861</v>
      </c>
      <c r="F9" s="72">
        <f>15.1+5.217*F7</f>
        <v>570.4149128714198</v>
      </c>
      <c r="G9" s="72">
        <f>15.1+5.217*G7</f>
        <v>570.4149128714198</v>
      </c>
      <c r="H9" s="55">
        <v>35.9</v>
      </c>
      <c r="I9" s="16" t="s">
        <v>312</v>
      </c>
    </row>
    <row r="10" spans="1:9" ht="12.75">
      <c r="A10" s="52" t="s">
        <v>173</v>
      </c>
      <c r="B10" s="52" t="s">
        <v>123</v>
      </c>
      <c r="C10" s="55">
        <f>2.0234-5.0309*LOG(C8)+(11.953+0.008775*C8)*LOG(C7)</f>
        <v>18.467013310427767</v>
      </c>
      <c r="D10" s="55">
        <f>2.0234-5.0309*LOG(D8)+(11.953+0.008775*D8)*LOG(D7)</f>
        <v>18.937127003342887</v>
      </c>
      <c r="E10" s="55">
        <f>2.0234-5.0309*LOG(E8)+(11.953+0.008775*E8)*LOG(E7)</f>
        <v>20.087540357872864</v>
      </c>
      <c r="F10" s="55">
        <f>2.0234-5.0309*LOG(F8)+(11.953+0.008775*F8)*LOG(F7)</f>
        <v>20.395828469714647</v>
      </c>
      <c r="G10" s="55">
        <f>2.0234-5.0309*LOG(G8)+(11.953+0.008775*G8)*LOG(G7)</f>
        <v>20.395828469714647</v>
      </c>
      <c r="H10" s="55">
        <v>8.706</v>
      </c>
      <c r="I10" s="16" t="s">
        <v>313</v>
      </c>
    </row>
    <row r="11" spans="1:8" ht="12.75" hidden="1">
      <c r="A11" s="52"/>
      <c r="B11" s="52"/>
      <c r="C11" s="55"/>
      <c r="D11" s="55"/>
      <c r="E11" s="52"/>
      <c r="F11" s="55"/>
      <c r="G11" s="55"/>
      <c r="H11" s="55"/>
    </row>
    <row r="12" spans="1:8" ht="12.75" hidden="1">
      <c r="A12" s="52"/>
      <c r="B12" s="52"/>
      <c r="C12" s="52"/>
      <c r="D12" s="52"/>
      <c r="E12" s="52"/>
      <c r="F12" s="52"/>
      <c r="G12" s="52"/>
      <c r="H12" s="52"/>
    </row>
    <row r="13" spans="1:8" ht="12.75">
      <c r="A13" s="52"/>
      <c r="B13" s="52"/>
      <c r="C13" s="52"/>
      <c r="D13" s="52"/>
      <c r="E13" s="52"/>
      <c r="F13" s="52"/>
      <c r="G13" s="52"/>
      <c r="H13" s="52"/>
    </row>
    <row r="14" spans="1:9" ht="12.75">
      <c r="A14" s="94" t="s">
        <v>177</v>
      </c>
      <c r="B14" s="94" t="s">
        <v>33</v>
      </c>
      <c r="C14" s="59">
        <v>0.1</v>
      </c>
      <c r="D14" s="59">
        <v>4.2</v>
      </c>
      <c r="E14" s="59">
        <v>10</v>
      </c>
      <c r="F14" s="59">
        <v>2.2</v>
      </c>
      <c r="G14" s="59">
        <f>C14+D14+E14+F14*(E17/C17)+L19/10000</f>
        <v>16.07451546391753</v>
      </c>
      <c r="H14" s="95">
        <v>0.83</v>
      </c>
      <c r="I14" s="16" t="s">
        <v>299</v>
      </c>
    </row>
    <row r="15" spans="1:9" ht="12.75">
      <c r="A15" s="53" t="s">
        <v>183</v>
      </c>
      <c r="B15" s="53"/>
      <c r="C15" s="63">
        <v>1.25</v>
      </c>
      <c r="D15" s="63">
        <v>1.25</v>
      </c>
      <c r="E15" s="63">
        <v>1.25</v>
      </c>
      <c r="F15" s="63">
        <v>1.25</v>
      </c>
      <c r="G15" s="63"/>
      <c r="H15" s="63">
        <v>1.25</v>
      </c>
      <c r="I15" s="16" t="s">
        <v>307</v>
      </c>
    </row>
    <row r="16" spans="1:9" ht="12.75">
      <c r="A16" s="94" t="s">
        <v>184</v>
      </c>
      <c r="B16" s="94" t="s">
        <v>33</v>
      </c>
      <c r="C16" s="95">
        <f>C15*C14</f>
        <v>0.125</v>
      </c>
      <c r="D16" s="95">
        <f>D15*D14</f>
        <v>5.25</v>
      </c>
      <c r="E16" s="95">
        <f>E15*E14</f>
        <v>12.5</v>
      </c>
      <c r="F16" s="95">
        <f>F15*F14</f>
        <v>2.75</v>
      </c>
      <c r="G16" s="95">
        <f>C16+D16+E16+F16+L24/20000</f>
        <v>20.625</v>
      </c>
      <c r="H16" s="95">
        <f>H15*H14</f>
        <v>1.0374999999999999</v>
      </c>
      <c r="I16" s="16" t="s">
        <v>300</v>
      </c>
    </row>
    <row r="17" spans="1:9" ht="12.75">
      <c r="A17" s="97" t="s">
        <v>179</v>
      </c>
      <c r="B17" s="97" t="s">
        <v>26</v>
      </c>
      <c r="C17" s="72">
        <v>9700</v>
      </c>
      <c r="D17" s="72">
        <f>C17</f>
        <v>9700</v>
      </c>
      <c r="E17" s="72">
        <v>7824</v>
      </c>
      <c r="F17" s="72">
        <f>C17</f>
        <v>9700</v>
      </c>
      <c r="G17" s="72">
        <f>F17</f>
        <v>9700</v>
      </c>
      <c r="H17" s="72">
        <f>C17</f>
        <v>9700</v>
      </c>
      <c r="I17" s="16" t="s">
        <v>297</v>
      </c>
    </row>
    <row r="18" spans="1:9" ht="12.75">
      <c r="A18" s="78" t="s">
        <v>246</v>
      </c>
      <c r="B18" s="52" t="s">
        <v>180</v>
      </c>
      <c r="C18" s="55">
        <f aca="true" t="shared" si="0" ref="C18:H18">C16*C17/1000</f>
        <v>1.2125</v>
      </c>
      <c r="D18" s="55">
        <f t="shared" si="0"/>
        <v>50.925</v>
      </c>
      <c r="E18" s="55">
        <f t="shared" si="0"/>
        <v>97.8</v>
      </c>
      <c r="F18" s="55">
        <f t="shared" si="0"/>
        <v>26.675</v>
      </c>
      <c r="G18" s="55">
        <f t="shared" si="0"/>
        <v>200.0625</v>
      </c>
      <c r="H18" s="55">
        <f t="shared" si="0"/>
        <v>10.063749999999999</v>
      </c>
      <c r="I18" s="16" t="s">
        <v>298</v>
      </c>
    </row>
    <row r="19" spans="1:9" ht="12.75">
      <c r="A19" s="78" t="s">
        <v>295</v>
      </c>
      <c r="B19" s="52" t="s">
        <v>14</v>
      </c>
      <c r="C19" s="55">
        <f aca="true" t="shared" si="1" ref="C19:H19">C18*1000/(C9-C5)</f>
        <v>662.9615911869446</v>
      </c>
      <c r="D19" s="55">
        <f t="shared" si="1"/>
        <v>1372.3248897777974</v>
      </c>
      <c r="E19" s="55">
        <f t="shared" si="1"/>
        <v>1069.3492915528293</v>
      </c>
      <c r="F19" s="55">
        <f t="shared" si="1"/>
        <v>48.03580703797244</v>
      </c>
      <c r="G19" s="55">
        <f t="shared" si="1"/>
        <v>1302.4400966092235</v>
      </c>
      <c r="H19" s="55">
        <f t="shared" si="1"/>
        <v>422.66904661906756</v>
      </c>
      <c r="I19" s="16" t="s">
        <v>301</v>
      </c>
    </row>
    <row r="20" spans="1:9" ht="12.75" hidden="1">
      <c r="A20" s="78" t="s">
        <v>295</v>
      </c>
      <c r="B20" s="78" t="s">
        <v>14</v>
      </c>
      <c r="C20" s="55">
        <f>'Supply helium'!R106</f>
        <v>0</v>
      </c>
      <c r="D20" s="55">
        <f>E20*2</f>
        <v>18.45119559811247</v>
      </c>
      <c r="E20" s="55">
        <f>E19/((E17/E21)*2)</f>
        <v>9.225597799056235</v>
      </c>
      <c r="F20" s="55">
        <f>'Return helium'!U180</f>
        <v>1212.991836527735</v>
      </c>
      <c r="G20" s="55"/>
      <c r="H20" s="55">
        <f>H19</f>
        <v>422.66904661906756</v>
      </c>
      <c r="I20" s="16" t="s">
        <v>301</v>
      </c>
    </row>
    <row r="21" spans="1:8" ht="12.75" hidden="1">
      <c r="A21" s="78" t="s">
        <v>214</v>
      </c>
      <c r="B21" s="78" t="s">
        <v>26</v>
      </c>
      <c r="C21" s="52"/>
      <c r="D21" s="62">
        <v>135</v>
      </c>
      <c r="E21" s="62">
        <v>135</v>
      </c>
      <c r="F21" s="52"/>
      <c r="G21" s="52"/>
      <c r="H21" s="52"/>
    </row>
    <row r="22" spans="1:8" ht="12.75" hidden="1">
      <c r="A22" s="78" t="s">
        <v>215</v>
      </c>
      <c r="B22" s="78" t="s">
        <v>216</v>
      </c>
      <c r="C22" s="52"/>
      <c r="D22" s="62">
        <f>D16*D21</f>
        <v>708.75</v>
      </c>
      <c r="E22" s="62">
        <f>E16*E21</f>
        <v>1687.5</v>
      </c>
      <c r="F22" s="52"/>
      <c r="G22" s="52"/>
      <c r="H22" s="52"/>
    </row>
    <row r="23" spans="1:8" ht="12.75" hidden="1">
      <c r="A23" s="78" t="s">
        <v>217</v>
      </c>
      <c r="B23" s="78" t="s">
        <v>14</v>
      </c>
      <c r="C23" s="52"/>
      <c r="D23" s="62">
        <f>D22/(D9-D5)</f>
        <v>19.099367022680685</v>
      </c>
      <c r="E23" s="62">
        <f>E22/(E9-E5)</f>
        <v>18.45119559811247</v>
      </c>
      <c r="F23" s="52"/>
      <c r="G23" s="52"/>
      <c r="H23" s="52"/>
    </row>
    <row r="24" spans="1:8" ht="12.75" hidden="1">
      <c r="A24" s="78" t="s">
        <v>218</v>
      </c>
      <c r="B24" s="52"/>
      <c r="C24" s="52"/>
      <c r="D24" s="96">
        <f>D17/D21</f>
        <v>71.85185185185185</v>
      </c>
      <c r="E24" s="96">
        <f>E17/E21</f>
        <v>57.955555555555556</v>
      </c>
      <c r="F24" s="52"/>
      <c r="G24" s="52"/>
      <c r="H24" s="52"/>
    </row>
    <row r="25" spans="1:8" ht="12.75">
      <c r="A25" s="78"/>
      <c r="B25" s="52"/>
      <c r="C25" s="52"/>
      <c r="D25" s="52"/>
      <c r="E25" s="52"/>
      <c r="F25" s="52"/>
      <c r="G25" s="52"/>
      <c r="H25" s="52"/>
    </row>
    <row r="26" spans="1:9" ht="12.75">
      <c r="A26" s="52" t="s">
        <v>186</v>
      </c>
      <c r="B26" s="52" t="s">
        <v>180</v>
      </c>
      <c r="C26" s="55">
        <f aca="true" t="shared" si="2" ref="C26:H26">C19*(300*(C10-C6)-(C9-C5))/1000</f>
        <v>20.399190403325523</v>
      </c>
      <c r="D26" s="55">
        <f t="shared" si="2"/>
        <v>142.61961654383276</v>
      </c>
      <c r="E26" s="55">
        <f t="shared" si="2"/>
        <v>271.25811169786357</v>
      </c>
      <c r="F26" s="55" t="e">
        <f t="shared" si="2"/>
        <v>#NUM!</v>
      </c>
      <c r="G26" s="55">
        <f t="shared" si="2"/>
        <v>596.0452233044455</v>
      </c>
      <c r="H26" s="55">
        <f t="shared" si="2"/>
        <v>647.2711513019739</v>
      </c>
      <c r="I26" s="16" t="s">
        <v>302</v>
      </c>
    </row>
    <row r="27" spans="1:9" ht="12.75">
      <c r="A27" s="52" t="s">
        <v>187</v>
      </c>
      <c r="B27" s="52" t="s">
        <v>180</v>
      </c>
      <c r="C27" s="55">
        <f aca="true" t="shared" si="3" ref="C27:H27">C26/65.66</f>
        <v>0.3106791106202486</v>
      </c>
      <c r="D27" s="55">
        <f t="shared" si="3"/>
        <v>2.1720928501954426</v>
      </c>
      <c r="E27" s="55">
        <f t="shared" si="3"/>
        <v>4.131253604901974</v>
      </c>
      <c r="F27" s="55" t="e">
        <f t="shared" si="3"/>
        <v>#NUM!</v>
      </c>
      <c r="G27" s="55">
        <f t="shared" si="3"/>
        <v>9.077752410972366</v>
      </c>
      <c r="H27" s="55">
        <f t="shared" si="3"/>
        <v>9.85792189006966</v>
      </c>
      <c r="I27" s="16" t="s">
        <v>303</v>
      </c>
    </row>
    <row r="28" spans="1:8" ht="12.75">
      <c r="A28" s="52"/>
      <c r="B28" s="52"/>
      <c r="C28" s="55"/>
      <c r="D28" s="55"/>
      <c r="E28" s="55"/>
      <c r="F28" s="55"/>
      <c r="G28" s="55"/>
      <c r="H28" s="55"/>
    </row>
    <row r="29" spans="1:9" ht="12.75">
      <c r="A29" s="53" t="s">
        <v>189</v>
      </c>
      <c r="B29" s="53"/>
      <c r="C29" s="63">
        <v>0.3</v>
      </c>
      <c r="D29" s="63">
        <v>0.3</v>
      </c>
      <c r="E29" s="63">
        <v>0.3</v>
      </c>
      <c r="F29" s="63">
        <v>0.3</v>
      </c>
      <c r="G29" s="63">
        <v>0.3</v>
      </c>
      <c r="H29" s="63">
        <v>0.3</v>
      </c>
      <c r="I29" s="16" t="s">
        <v>304</v>
      </c>
    </row>
    <row r="30" spans="1:9" ht="12.75">
      <c r="A30" s="52" t="s">
        <v>190</v>
      </c>
      <c r="B30" s="52" t="s">
        <v>191</v>
      </c>
      <c r="C30" s="55">
        <f aca="true" t="shared" si="4" ref="C30:H30">(C26/C18)/C29</f>
        <v>56.0802485314791</v>
      </c>
      <c r="D30" s="55">
        <f t="shared" si="4"/>
        <v>9.335271905994619</v>
      </c>
      <c r="E30" s="55">
        <f t="shared" si="4"/>
        <v>9.245334413696781</v>
      </c>
      <c r="F30" s="55" t="e">
        <f t="shared" si="4"/>
        <v>#NUM!</v>
      </c>
      <c r="G30" s="55">
        <f t="shared" si="4"/>
        <v>9.930983622692</v>
      </c>
      <c r="H30" s="55">
        <f t="shared" si="4"/>
        <v>214.39031219375613</v>
      </c>
      <c r="I30" s="16" t="s">
        <v>305</v>
      </c>
    </row>
    <row r="31" spans="1:9" ht="12.75">
      <c r="A31" s="52" t="s">
        <v>192</v>
      </c>
      <c r="B31" s="52" t="s">
        <v>180</v>
      </c>
      <c r="C31" s="55">
        <f aca="true" t="shared" si="5" ref="C31:H31">C26/C29</f>
        <v>67.99730134441842</v>
      </c>
      <c r="D31" s="55">
        <f t="shared" si="5"/>
        <v>475.3987218127759</v>
      </c>
      <c r="E31" s="55">
        <f t="shared" si="5"/>
        <v>904.1937056595452</v>
      </c>
      <c r="F31" s="55" t="e">
        <f t="shared" si="5"/>
        <v>#NUM!</v>
      </c>
      <c r="G31" s="55">
        <f t="shared" si="5"/>
        <v>1986.8174110148184</v>
      </c>
      <c r="H31" s="55">
        <f t="shared" si="5"/>
        <v>2157.570504339913</v>
      </c>
      <c r="I31" s="16" t="s">
        <v>306</v>
      </c>
    </row>
    <row r="32" spans="1:8" ht="12.75">
      <c r="A32" s="52"/>
      <c r="B32" s="52"/>
      <c r="C32" s="55"/>
      <c r="D32" s="55"/>
      <c r="E32" s="55"/>
      <c r="F32" s="55"/>
      <c r="G32" s="55"/>
      <c r="H32" s="55"/>
    </row>
    <row r="33" spans="1:9" ht="12.75">
      <c r="A33" s="53" t="s">
        <v>193</v>
      </c>
      <c r="B33" s="53"/>
      <c r="C33" s="63">
        <v>1.3</v>
      </c>
      <c r="D33" s="63">
        <v>1.3</v>
      </c>
      <c r="E33" s="63">
        <v>1.3</v>
      </c>
      <c r="F33" s="63">
        <v>1.3</v>
      </c>
      <c r="G33" s="63">
        <v>1.3</v>
      </c>
      <c r="H33" s="63">
        <v>1.3</v>
      </c>
      <c r="I33" s="16" t="s">
        <v>308</v>
      </c>
    </row>
    <row r="34" spans="1:9" ht="12.75">
      <c r="A34" s="52" t="s">
        <v>194</v>
      </c>
      <c r="B34" s="52" t="s">
        <v>180</v>
      </c>
      <c r="C34" s="55">
        <f aca="true" t="shared" si="6" ref="C34:H34">C31*C33</f>
        <v>88.39649174774395</v>
      </c>
      <c r="D34" s="55">
        <f t="shared" si="6"/>
        <v>618.0183383566086</v>
      </c>
      <c r="E34" s="55">
        <f t="shared" si="6"/>
        <v>1175.4518173574088</v>
      </c>
      <c r="F34" s="55" t="e">
        <f t="shared" si="6"/>
        <v>#NUM!</v>
      </c>
      <c r="G34" s="55">
        <f t="shared" si="6"/>
        <v>2582.862634319264</v>
      </c>
      <c r="H34" s="55">
        <f t="shared" si="6"/>
        <v>2804.841655641887</v>
      </c>
      <c r="I34" s="16" t="s">
        <v>309</v>
      </c>
    </row>
  </sheetData>
  <printOptions gridLines="1"/>
  <pageMargins left="0.75" right="0.75" top="1" bottom="1" header="0.5" footer="0.5"/>
  <pageSetup horizontalDpi="600" verticalDpi="600" orientation="portrait" scale="155" r:id="rId11"/>
  <headerFooter alignWithMargins="0">
    <oddHeader>&amp;C&amp;A</oddHeader>
    <oddFooter>&amp;CPage &amp;P</oddFooter>
  </headerFooter>
  <legacyDrawing r:id="rId10"/>
  <oleObjects>
    <oleObject progId="Equation.3" shapeId="43545794" r:id="rId1"/>
    <oleObject progId="Equation.3" shapeId="43551422" r:id="rId2"/>
    <oleObject progId="Equation.3" shapeId="43557042" r:id="rId3"/>
    <oleObject progId="Equation.3" shapeId="43595850" r:id="rId4"/>
    <oleObject progId="Equation.3" shapeId="43617413" r:id="rId5"/>
    <oleObject progId="Equation.3" shapeId="43632114" r:id="rId6"/>
    <oleObject progId="Equation.3" shapeId="43644783" r:id="rId7"/>
    <oleObject progId="Equation.3" shapeId="43677186" r:id="rId8"/>
    <oleObject progId="Equation.3" shapeId="43689171" r:id="rId9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M193"/>
  <sheetViews>
    <sheetView zoomScale="75" zoomScaleNormal="75" workbookViewId="0" topLeftCell="G105">
      <selection activeCell="R114" sqref="R114"/>
    </sheetView>
  </sheetViews>
  <sheetFormatPr defaultColWidth="9.00390625" defaultRowHeight="12.75"/>
  <cols>
    <col min="1" max="1" width="18.00390625" style="0" bestFit="1" customWidth="1"/>
    <col min="2" max="2" width="9.625" style="0" customWidth="1"/>
    <col min="3" max="3" width="6.00390625" style="0" customWidth="1"/>
    <col min="4" max="4" width="9.75390625" style="0" customWidth="1"/>
    <col min="5" max="5" width="11.25390625" style="0" customWidth="1"/>
    <col min="6" max="6" width="12.375" style="0" customWidth="1"/>
    <col min="9" max="9" width="11.125" style="0" customWidth="1"/>
    <col min="10" max="10" width="6.625" style="0" customWidth="1"/>
    <col min="11" max="11" width="11.125" style="0" customWidth="1"/>
    <col min="12" max="12" width="10.00390625" style="0" customWidth="1"/>
    <col min="13" max="13" width="17.625" style="0" bestFit="1" customWidth="1"/>
    <col min="14" max="14" width="14.625" style="0" customWidth="1"/>
    <col min="15" max="15" width="11.375" style="0" customWidth="1"/>
    <col min="16" max="16" width="9.875" style="0" customWidth="1"/>
    <col min="17" max="17" width="9.375" style="0" customWidth="1"/>
    <col min="19" max="19" width="6.125" style="0" customWidth="1"/>
    <col min="20" max="22" width="11.375" style="0" customWidth="1"/>
    <col min="23" max="25" width="13.125" style="0" customWidth="1"/>
    <col min="26" max="26" width="12.875" style="0" customWidth="1"/>
    <col min="27" max="27" width="10.875" style="0" customWidth="1"/>
    <col min="28" max="28" width="12.25390625" style="0" customWidth="1"/>
    <col min="29" max="29" width="13.875" style="0" customWidth="1"/>
    <col min="30" max="30" width="9.75390625" style="0" customWidth="1"/>
    <col min="31" max="31" width="9.625" style="0" customWidth="1"/>
    <col min="32" max="32" width="13.25390625" style="0" bestFit="1" customWidth="1"/>
    <col min="33" max="33" width="6.375" style="0" customWidth="1"/>
    <col min="34" max="34" width="11.375" style="5" customWidth="1"/>
    <col min="35" max="16384" width="11.375" style="0" customWidth="1"/>
  </cols>
  <sheetData>
    <row r="3" spans="3:9" ht="12.75">
      <c r="C3" t="s">
        <v>199</v>
      </c>
      <c r="H3" s="40">
        <f>'Cryo Power'!C11</f>
        <v>77</v>
      </c>
      <c r="I3" t="s">
        <v>89</v>
      </c>
    </row>
    <row r="4" spans="3:9" ht="12.75">
      <c r="C4" t="s">
        <v>149</v>
      </c>
      <c r="H4" s="40">
        <f>'Cryo Power'!C12</f>
        <v>20</v>
      </c>
      <c r="I4" s="3" t="s">
        <v>70</v>
      </c>
    </row>
    <row r="5" spans="3:30" ht="18">
      <c r="C5" t="s">
        <v>90</v>
      </c>
      <c r="N5" s="14" t="s">
        <v>92</v>
      </c>
      <c r="AD5" t="s">
        <v>0</v>
      </c>
    </row>
    <row r="6" spans="14:30" ht="18">
      <c r="N6" s="14" t="s">
        <v>93</v>
      </c>
      <c r="AD6" s="13">
        <v>36527</v>
      </c>
    </row>
    <row r="7" spans="5:39" ht="12.75">
      <c r="E7" t="s">
        <v>148</v>
      </c>
      <c r="H7" s="21">
        <v>2</v>
      </c>
      <c r="I7" t="s">
        <v>89</v>
      </c>
      <c r="AI7" t="s">
        <v>97</v>
      </c>
      <c r="AM7" t="s">
        <v>97</v>
      </c>
    </row>
    <row r="8" spans="1:39" ht="12.75">
      <c r="A8" t="s">
        <v>200</v>
      </c>
      <c r="E8" t="s">
        <v>210</v>
      </c>
      <c r="G8" t="s">
        <v>60</v>
      </c>
      <c r="H8" s="70">
        <f>'Cryo Power'!C22</f>
        <v>0.1</v>
      </c>
      <c r="I8" t="s">
        <v>198</v>
      </c>
      <c r="K8" s="3"/>
      <c r="N8" s="22"/>
      <c r="O8" s="22"/>
      <c r="P8" s="22" t="s">
        <v>94</v>
      </c>
      <c r="Q8" s="22"/>
      <c r="R8" s="22"/>
      <c r="S8" s="22"/>
      <c r="T8" s="22"/>
      <c r="U8" s="22"/>
      <c r="V8" s="22"/>
      <c r="AI8" s="73" t="s">
        <v>223</v>
      </c>
      <c r="AJ8" s="73" t="s">
        <v>228</v>
      </c>
      <c r="AK8" t="s">
        <v>228</v>
      </c>
      <c r="AM8" t="s">
        <v>232</v>
      </c>
    </row>
    <row r="9" spans="1:39" ht="12.75">
      <c r="A9" t="s">
        <v>201</v>
      </c>
      <c r="E9" t="s">
        <v>84</v>
      </c>
      <c r="G9" t="s">
        <v>85</v>
      </c>
      <c r="H9" s="17">
        <v>21.35</v>
      </c>
      <c r="I9" t="s">
        <v>86</v>
      </c>
      <c r="AD9" t="s">
        <v>27</v>
      </c>
      <c r="AI9" t="s">
        <v>226</v>
      </c>
      <c r="AJ9" t="s">
        <v>233</v>
      </c>
      <c r="AK9" t="s">
        <v>229</v>
      </c>
      <c r="AL9" t="s">
        <v>230</v>
      </c>
      <c r="AM9" t="s">
        <v>224</v>
      </c>
    </row>
    <row r="10" spans="5:39" ht="12.75">
      <c r="E10" t="s">
        <v>209</v>
      </c>
      <c r="G10" t="s">
        <v>62</v>
      </c>
      <c r="H10" s="40">
        <f>'Cryo Power'!C25</f>
        <v>9700</v>
      </c>
      <c r="I10" t="s">
        <v>63</v>
      </c>
      <c r="P10" t="s">
        <v>97</v>
      </c>
      <c r="V10" s="16" t="s">
        <v>96</v>
      </c>
      <c r="W10" s="16"/>
      <c r="X10" s="16"/>
      <c r="Y10" s="16" t="s">
        <v>96</v>
      </c>
      <c r="AA10" s="16" t="s">
        <v>54</v>
      </c>
      <c r="AB10" s="19" t="s">
        <v>79</v>
      </c>
      <c r="AD10" t="s">
        <v>58</v>
      </c>
      <c r="AF10" s="5"/>
      <c r="AG10" s="5"/>
      <c r="AI10" t="s">
        <v>227</v>
      </c>
      <c r="AJ10" t="s">
        <v>98</v>
      </c>
      <c r="AK10" t="s">
        <v>98</v>
      </c>
      <c r="AL10" t="s">
        <v>231</v>
      </c>
      <c r="AM10" t="s">
        <v>225</v>
      </c>
    </row>
    <row r="11" spans="2:34" s="2" customFormat="1" ht="12.75">
      <c r="B11"/>
      <c r="C11" s="2" t="s">
        <v>24</v>
      </c>
      <c r="G11"/>
      <c r="H11"/>
      <c r="I11"/>
      <c r="J11"/>
      <c r="L11" t="s">
        <v>30</v>
      </c>
      <c r="M11"/>
      <c r="N11"/>
      <c r="O11" s="2" t="s">
        <v>95</v>
      </c>
      <c r="P11" t="s">
        <v>98</v>
      </c>
      <c r="Q11"/>
      <c r="R11" s="2" t="s">
        <v>4</v>
      </c>
      <c r="S11"/>
      <c r="T11" t="s">
        <v>211</v>
      </c>
      <c r="U11"/>
      <c r="V11" s="16" t="s">
        <v>73</v>
      </c>
      <c r="W11"/>
      <c r="X11"/>
      <c r="Y11" s="2" t="s">
        <v>100</v>
      </c>
      <c r="Z11" s="2" t="s">
        <v>7</v>
      </c>
      <c r="AA11" s="16" t="s">
        <v>55</v>
      </c>
      <c r="AB11" s="19" t="s">
        <v>80</v>
      </c>
      <c r="AC11" s="2" t="s">
        <v>8</v>
      </c>
      <c r="AD11" s="2" t="s">
        <v>9</v>
      </c>
      <c r="AE11" s="2" t="s">
        <v>10</v>
      </c>
      <c r="AF11" s="7" t="s">
        <v>11</v>
      </c>
      <c r="AG11" s="7" t="s">
        <v>71</v>
      </c>
      <c r="AH11" s="7"/>
    </row>
    <row r="12" spans="2:39" s="2" customFormat="1" ht="12.75">
      <c r="B12"/>
      <c r="C12" s="2" t="s">
        <v>25</v>
      </c>
      <c r="D12"/>
      <c r="E12" s="2" t="s">
        <v>48</v>
      </c>
      <c r="F12" s="16" t="s">
        <v>48</v>
      </c>
      <c r="H12" s="2" t="s">
        <v>34</v>
      </c>
      <c r="I12" s="2" t="s">
        <v>36</v>
      </c>
      <c r="J12"/>
      <c r="K12" t="s">
        <v>30</v>
      </c>
      <c r="L12" t="s">
        <v>31</v>
      </c>
      <c r="M12"/>
      <c r="N12"/>
      <c r="O12" s="2" t="s">
        <v>123</v>
      </c>
      <c r="P12" t="s">
        <v>99</v>
      </c>
      <c r="Q12"/>
      <c r="R12" s="2" t="s">
        <v>15</v>
      </c>
      <c r="S12"/>
      <c r="T12" t="s">
        <v>14</v>
      </c>
      <c r="U12"/>
      <c r="V12" s="2" t="s">
        <v>16</v>
      </c>
      <c r="W12"/>
      <c r="X12"/>
      <c r="Y12" s="2" t="s">
        <v>17</v>
      </c>
      <c r="Z12" s="2" t="s">
        <v>18</v>
      </c>
      <c r="AA12" s="16" t="s">
        <v>56</v>
      </c>
      <c r="AB12" s="7" t="s">
        <v>19</v>
      </c>
      <c r="AE12" s="2" t="s">
        <v>18</v>
      </c>
      <c r="AF12" s="7" t="s">
        <v>20</v>
      </c>
      <c r="AG12" s="7" t="s">
        <v>72</v>
      </c>
      <c r="AH12" s="7"/>
      <c r="AI12" s="2" t="s">
        <v>99</v>
      </c>
      <c r="AJ12" s="2" t="s">
        <v>99</v>
      </c>
      <c r="AK12" s="2" t="s">
        <v>99</v>
      </c>
      <c r="AL12" s="2" t="s">
        <v>99</v>
      </c>
      <c r="AM12" s="2" t="s">
        <v>99</v>
      </c>
    </row>
    <row r="13" spans="2:34" s="2" customFormat="1" ht="13.5" thickBot="1">
      <c r="B13"/>
      <c r="C13" t="s">
        <v>26</v>
      </c>
      <c r="D13" s="2" t="s">
        <v>23</v>
      </c>
      <c r="E13" s="2" t="s">
        <v>33</v>
      </c>
      <c r="F13" s="16" t="s">
        <v>32</v>
      </c>
      <c r="H13" s="2" t="s">
        <v>33</v>
      </c>
      <c r="I13" s="2" t="s">
        <v>37</v>
      </c>
      <c r="J13"/>
      <c r="K13" t="s">
        <v>33</v>
      </c>
      <c r="L13" s="2" t="s">
        <v>37</v>
      </c>
      <c r="M13"/>
      <c r="N13"/>
      <c r="P13"/>
      <c r="Q13"/>
      <c r="S13"/>
      <c r="T13"/>
      <c r="U13"/>
      <c r="W13"/>
      <c r="X13"/>
      <c r="AB13" s="7"/>
      <c r="AF13" s="7"/>
      <c r="AG13" s="7"/>
      <c r="AH13" s="7"/>
    </row>
    <row r="14" spans="1:39" ht="13.5" thickBot="1">
      <c r="A14" s="20" t="s">
        <v>47</v>
      </c>
      <c r="C14">
        <v>0</v>
      </c>
      <c r="D14" s="4">
        <v>0</v>
      </c>
      <c r="E14" s="15">
        <v>0</v>
      </c>
      <c r="F14" s="15">
        <v>0</v>
      </c>
      <c r="H14" s="15"/>
      <c r="K14">
        <v>0</v>
      </c>
      <c r="L14" s="15">
        <v>0</v>
      </c>
      <c r="O14">
        <v>5.19</v>
      </c>
      <c r="P14" s="4">
        <f>H3</f>
        <v>77</v>
      </c>
      <c r="R14" s="4">
        <f>K91/(O14*H7)+(H10/'Trace Tube Helium'!I10)*2*T14</f>
        <v>1082.4754564638956</v>
      </c>
      <c r="T14" s="15">
        <f>'Trace Tube Helium'!T14</f>
        <v>6.193228736581338</v>
      </c>
      <c r="V14" s="3">
        <f>0.00096*(100/P14)*(AG14/2)</f>
        <v>0.012467532467532468</v>
      </c>
      <c r="Y14" s="1">
        <f aca="true" t="shared" si="0" ref="Y14:Y45">(3.5155+0.059464*P14)*10^-6</f>
        <v>8.094228E-06</v>
      </c>
      <c r="Z14" s="27">
        <f>H9</f>
        <v>21.35</v>
      </c>
      <c r="AA14" s="9">
        <v>1</v>
      </c>
      <c r="AB14" s="8">
        <f aca="true" t="shared" si="1" ref="AB14:AB45">4*R14/(V14*3.14159*Z14^2*AA14)</f>
        <v>242.52263435455686</v>
      </c>
      <c r="AC14" s="4">
        <f aca="true" t="shared" si="2" ref="AC14:AC45">V14*AB14*Z14/Y14/10</f>
        <v>797545.062515415</v>
      </c>
      <c r="AD14" s="5">
        <f aca="true" t="shared" si="3" ref="AD14:AD45">4*(0.0791/AC14^0.25)</f>
        <v>0.010587603458630624</v>
      </c>
      <c r="AE14" s="4">
        <v>0</v>
      </c>
      <c r="AF14" s="10">
        <f>AD14*AE14/(Z14)*(T14*AB14^2/2)*0.1</f>
        <v>0</v>
      </c>
      <c r="AG14" s="10">
        <f>H4</f>
        <v>20</v>
      </c>
      <c r="AI14" s="15">
        <f>P14</f>
        <v>77</v>
      </c>
      <c r="AJ14" s="15">
        <f>AI14</f>
        <v>77</v>
      </c>
      <c r="AK14" s="15">
        <f>AI88</f>
        <v>76.60445426989031</v>
      </c>
      <c r="AL14" s="15">
        <f>AK14-AI14</f>
        <v>-0.3955457301096885</v>
      </c>
      <c r="AM14" s="15">
        <f>AJ14+AL14</f>
        <v>76.60445426989031</v>
      </c>
    </row>
    <row r="15" spans="1:39" ht="12.75">
      <c r="A15" s="108"/>
      <c r="C15">
        <v>270</v>
      </c>
      <c r="D15" s="4">
        <f aca="true" t="shared" si="4" ref="D15:D46">D14+C15</f>
        <v>270</v>
      </c>
      <c r="E15" s="15">
        <f>H8</f>
        <v>0.1</v>
      </c>
      <c r="F15" s="15">
        <f aca="true" t="shared" si="5" ref="F15:F46">E15*C15</f>
        <v>27</v>
      </c>
      <c r="H15" s="15">
        <v>0</v>
      </c>
      <c r="I15" s="15">
        <f aca="true" t="shared" si="6" ref="I15:I46">H15*C15</f>
        <v>0</v>
      </c>
      <c r="J15" s="15"/>
      <c r="K15" s="15">
        <f aca="true" t="shared" si="7" ref="K15:K46">H15+E15</f>
        <v>0.1</v>
      </c>
      <c r="L15" s="15">
        <f aca="true" t="shared" si="8" ref="L15:L46">K15*C15</f>
        <v>27</v>
      </c>
      <c r="O15">
        <f aca="true" t="shared" si="9" ref="O15:O46">O14</f>
        <v>5.19</v>
      </c>
      <c r="P15" s="4">
        <f>P14+L15/(R15*O15)</f>
        <v>77.00491850206889</v>
      </c>
      <c r="R15" s="4">
        <f>R14-4*T15</f>
        <v>1057.7025415175704</v>
      </c>
      <c r="T15" s="15">
        <f>'Trace Tube Helium'!T14</f>
        <v>6.193228736581338</v>
      </c>
      <c r="V15" s="3">
        <f aca="true" t="shared" si="10" ref="V15:V46">0.00096*(100/P15)*(AG14/2)</f>
        <v>0.012466736134188723</v>
      </c>
      <c r="Y15" s="1">
        <f t="shared" si="0"/>
        <v>8.094520473807025E-06</v>
      </c>
      <c r="Z15">
        <f aca="true" t="shared" si="11" ref="Z15:Z46">Z14</f>
        <v>21.35</v>
      </c>
      <c r="AA15">
        <f aca="true" t="shared" si="12" ref="AA15:AA46">AA14</f>
        <v>1</v>
      </c>
      <c r="AB15" s="8">
        <f t="shared" si="1"/>
        <v>236.9875368857873</v>
      </c>
      <c r="AC15" s="4">
        <f t="shared" si="2"/>
        <v>779264.7441413465</v>
      </c>
      <c r="AD15" s="5">
        <f t="shared" si="3"/>
        <v>0.01064915670398838</v>
      </c>
      <c r="AE15" s="4">
        <f aca="true" t="shared" si="13" ref="AE15:AE46">100*(D15-D14)</f>
        <v>27000</v>
      </c>
      <c r="AF15" s="8">
        <f aca="true" t="shared" si="14" ref="AF15:AF46">AD15*AE15/(Z15)*(V15*AB15^2/2)*0.1</f>
        <v>471.47089593855435</v>
      </c>
      <c r="AG15" s="10">
        <f aca="true" t="shared" si="15" ref="AG15:AG46">AG14-AF15/100000</f>
        <v>19.995285291040613</v>
      </c>
      <c r="AI15" s="15">
        <f aca="true" t="shared" si="16" ref="AI15:AI78">P15</f>
        <v>77.00491850206889</v>
      </c>
      <c r="AJ15" s="15">
        <f>AJ14</f>
        <v>77</v>
      </c>
      <c r="AK15" s="15">
        <f>AK14</f>
        <v>76.60445426989031</v>
      </c>
      <c r="AL15" s="15">
        <f aca="true" t="shared" si="17" ref="AL15:AL78">AK15-AI15</f>
        <v>-0.4004642321785781</v>
      </c>
      <c r="AM15" s="15">
        <f aca="true" t="shared" si="18" ref="AM15:AM78">AJ15+AL15</f>
        <v>76.59953576782142</v>
      </c>
    </row>
    <row r="16" spans="1:39" ht="12.75">
      <c r="A16" s="109"/>
      <c r="C16">
        <f aca="true" t="shared" si="19" ref="C16:C47">C15</f>
        <v>270</v>
      </c>
      <c r="D16" s="4">
        <f t="shared" si="4"/>
        <v>540</v>
      </c>
      <c r="E16" s="15">
        <f aca="true" t="shared" si="20" ref="E16:E47">E15</f>
        <v>0.1</v>
      </c>
      <c r="F16" s="15">
        <f t="shared" si="5"/>
        <v>27</v>
      </c>
      <c r="H16" s="15">
        <f aca="true" t="shared" si="21" ref="H16:H47">H15</f>
        <v>0</v>
      </c>
      <c r="I16" s="15">
        <f t="shared" si="6"/>
        <v>0</v>
      </c>
      <c r="J16" s="15"/>
      <c r="K16" s="15">
        <f t="shared" si="7"/>
        <v>0.1</v>
      </c>
      <c r="L16" s="15">
        <f t="shared" si="8"/>
        <v>27</v>
      </c>
      <c r="O16">
        <f t="shared" si="9"/>
        <v>5.19</v>
      </c>
      <c r="P16" s="4">
        <f aca="true" t="shared" si="22" ref="P16:P79">P15+L16/(R16*O16)</f>
        <v>77.00995496535245</v>
      </c>
      <c r="R16" s="4">
        <f aca="true" t="shared" si="23" ref="R16:R79">R15-4*T16</f>
        <v>1032.929626571245</v>
      </c>
      <c r="T16" s="15">
        <f aca="true" t="shared" si="24" ref="T16:T79">T15</f>
        <v>6.193228736581338</v>
      </c>
      <c r="V16" s="3">
        <f t="shared" si="10"/>
        <v>0.01246298214823994</v>
      </c>
      <c r="Y16" s="1">
        <f t="shared" si="0"/>
        <v>8.094819962059718E-06</v>
      </c>
      <c r="Z16">
        <f t="shared" si="11"/>
        <v>21.35</v>
      </c>
      <c r="AA16">
        <f t="shared" si="12"/>
        <v>1</v>
      </c>
      <c r="AB16" s="8">
        <f t="shared" si="1"/>
        <v>231.506659212649</v>
      </c>
      <c r="AC16" s="4">
        <f t="shared" si="2"/>
        <v>760985.087319324</v>
      </c>
      <c r="AD16" s="5">
        <f t="shared" si="3"/>
        <v>0.01071253954899047</v>
      </c>
      <c r="AE16" s="4">
        <f t="shared" si="13"/>
        <v>27000</v>
      </c>
      <c r="AF16" s="8">
        <f t="shared" si="14"/>
        <v>452.4569630104288</v>
      </c>
      <c r="AG16" s="10">
        <f t="shared" si="15"/>
        <v>19.99076072141051</v>
      </c>
      <c r="AI16" s="15">
        <f t="shared" si="16"/>
        <v>77.00995496535245</v>
      </c>
      <c r="AJ16" s="15">
        <f aca="true" t="shared" si="25" ref="AJ16:AJ79">AJ15</f>
        <v>77</v>
      </c>
      <c r="AK16" s="15">
        <f aca="true" t="shared" si="26" ref="AK16:AK79">AK15</f>
        <v>76.60445426989031</v>
      </c>
      <c r="AL16" s="15">
        <f t="shared" si="17"/>
        <v>-0.40550069546213763</v>
      </c>
      <c r="AM16" s="15">
        <f t="shared" si="18"/>
        <v>76.59449930453786</v>
      </c>
    </row>
    <row r="17" spans="1:39" ht="12.75">
      <c r="A17" s="109"/>
      <c r="C17">
        <f t="shared" si="19"/>
        <v>270</v>
      </c>
      <c r="D17" s="4">
        <f t="shared" si="4"/>
        <v>810</v>
      </c>
      <c r="E17" s="15">
        <f t="shared" si="20"/>
        <v>0.1</v>
      </c>
      <c r="F17" s="15">
        <f t="shared" si="5"/>
        <v>27</v>
      </c>
      <c r="H17" s="15">
        <f t="shared" si="21"/>
        <v>0</v>
      </c>
      <c r="I17" s="15">
        <f t="shared" si="6"/>
        <v>0</v>
      </c>
      <c r="J17" s="15"/>
      <c r="K17" s="15">
        <f t="shared" si="7"/>
        <v>0.1</v>
      </c>
      <c r="L17" s="15">
        <f t="shared" si="8"/>
        <v>27</v>
      </c>
      <c r="O17">
        <f t="shared" si="9"/>
        <v>5.19</v>
      </c>
      <c r="P17" s="4">
        <f t="shared" si="22"/>
        <v>77.01511518705087</v>
      </c>
      <c r="R17" s="4">
        <f t="shared" si="23"/>
        <v>1008.1567116249197</v>
      </c>
      <c r="T17" s="15">
        <f t="shared" si="24"/>
        <v>6.193228736581338</v>
      </c>
      <c r="V17" s="3">
        <f t="shared" si="10"/>
        <v>0.012459327137240222</v>
      </c>
      <c r="Y17" s="1">
        <f t="shared" si="0"/>
        <v>8.095126809482792E-06</v>
      </c>
      <c r="Z17">
        <f t="shared" si="11"/>
        <v>21.35</v>
      </c>
      <c r="AA17">
        <f t="shared" si="12"/>
        <v>1</v>
      </c>
      <c r="AB17" s="8">
        <f t="shared" si="1"/>
        <v>226.02068325731142</v>
      </c>
      <c r="AC17" s="4">
        <f t="shared" si="2"/>
        <v>742706.1078664507</v>
      </c>
      <c r="AD17" s="5">
        <f t="shared" si="3"/>
        <v>0.010777852256290014</v>
      </c>
      <c r="AE17" s="4">
        <f t="shared" si="13"/>
        <v>27000</v>
      </c>
      <c r="AF17" s="8">
        <f t="shared" si="14"/>
        <v>433.76955908402374</v>
      </c>
      <c r="AG17" s="10">
        <f t="shared" si="15"/>
        <v>19.98642302581967</v>
      </c>
      <c r="AI17" s="15">
        <f t="shared" si="16"/>
        <v>77.01511518705087</v>
      </c>
      <c r="AJ17" s="15">
        <f t="shared" si="25"/>
        <v>77</v>
      </c>
      <c r="AK17" s="15">
        <f t="shared" si="26"/>
        <v>76.60445426989031</v>
      </c>
      <c r="AL17" s="15">
        <f t="shared" si="17"/>
        <v>-0.4106609171605555</v>
      </c>
      <c r="AM17" s="15">
        <f t="shared" si="18"/>
        <v>76.58933908283944</v>
      </c>
    </row>
    <row r="18" spans="1:39" ht="12.75">
      <c r="A18" s="109"/>
      <c r="C18">
        <f t="shared" si="19"/>
        <v>270</v>
      </c>
      <c r="D18" s="4">
        <f t="shared" si="4"/>
        <v>1080</v>
      </c>
      <c r="E18" s="15">
        <f t="shared" si="20"/>
        <v>0.1</v>
      </c>
      <c r="F18" s="15">
        <f t="shared" si="5"/>
        <v>27</v>
      </c>
      <c r="H18" s="15">
        <f t="shared" si="21"/>
        <v>0</v>
      </c>
      <c r="I18" s="15">
        <f t="shared" si="6"/>
        <v>0</v>
      </c>
      <c r="J18" s="15"/>
      <c r="K18" s="15">
        <f t="shared" si="7"/>
        <v>0.1</v>
      </c>
      <c r="L18" s="15">
        <f t="shared" si="8"/>
        <v>27</v>
      </c>
      <c r="O18">
        <f t="shared" si="9"/>
        <v>5.19</v>
      </c>
      <c r="P18" s="4">
        <f t="shared" si="22"/>
        <v>77.02040540248485</v>
      </c>
      <c r="R18" s="4">
        <f t="shared" si="23"/>
        <v>983.3837966785943</v>
      </c>
      <c r="T18" s="15">
        <f t="shared" si="24"/>
        <v>6.193228736581338</v>
      </c>
      <c r="V18" s="3">
        <f t="shared" si="10"/>
        <v>0.012455768055570289</v>
      </c>
      <c r="Y18" s="1">
        <f t="shared" si="0"/>
        <v>8.095441386853358E-06</v>
      </c>
      <c r="Z18">
        <f t="shared" si="11"/>
        <v>21.35</v>
      </c>
      <c r="AA18">
        <f t="shared" si="12"/>
        <v>1</v>
      </c>
      <c r="AB18" s="8">
        <f t="shared" si="1"/>
        <v>220.5297892309793</v>
      </c>
      <c r="AC18" s="4">
        <f t="shared" si="2"/>
        <v>724427.8223759626</v>
      </c>
      <c r="AD18" s="5">
        <f t="shared" si="3"/>
        <v>0.01084520322291121</v>
      </c>
      <c r="AE18" s="4">
        <f t="shared" si="13"/>
        <v>27000</v>
      </c>
      <c r="AF18" s="8">
        <f t="shared" si="14"/>
        <v>415.41160112102136</v>
      </c>
      <c r="AG18" s="10">
        <f t="shared" si="15"/>
        <v>19.982268909808457</v>
      </c>
      <c r="AI18" s="15">
        <f t="shared" si="16"/>
        <v>77.02040540248485</v>
      </c>
      <c r="AJ18" s="15">
        <f t="shared" si="25"/>
        <v>77</v>
      </c>
      <c r="AK18" s="15">
        <f t="shared" si="26"/>
        <v>76.60445426989031</v>
      </c>
      <c r="AL18" s="15">
        <f t="shared" si="17"/>
        <v>-0.4159511325945431</v>
      </c>
      <c r="AM18" s="15">
        <f t="shared" si="18"/>
        <v>76.58404886740546</v>
      </c>
    </row>
    <row r="19" spans="1:39" ht="12.75">
      <c r="A19" s="109"/>
      <c r="C19">
        <f t="shared" si="19"/>
        <v>270</v>
      </c>
      <c r="D19" s="4">
        <f t="shared" si="4"/>
        <v>1350</v>
      </c>
      <c r="E19" s="15">
        <f t="shared" si="20"/>
        <v>0.1</v>
      </c>
      <c r="F19" s="15">
        <f t="shared" si="5"/>
        <v>27</v>
      </c>
      <c r="H19" s="15">
        <f t="shared" si="21"/>
        <v>0</v>
      </c>
      <c r="I19" s="15">
        <f t="shared" si="6"/>
        <v>0</v>
      </c>
      <c r="J19" s="15"/>
      <c r="K19" s="15">
        <f t="shared" si="7"/>
        <v>0.1</v>
      </c>
      <c r="L19" s="15">
        <f t="shared" si="8"/>
        <v>27</v>
      </c>
      <c r="O19">
        <f t="shared" si="9"/>
        <v>5.19</v>
      </c>
      <c r="P19" s="4">
        <f t="shared" si="22"/>
        <v>77.02583233038425</v>
      </c>
      <c r="R19" s="4">
        <f t="shared" si="23"/>
        <v>958.6108817322689</v>
      </c>
      <c r="T19" s="15">
        <f t="shared" si="24"/>
        <v>6.193228736581338</v>
      </c>
      <c r="V19" s="3">
        <f t="shared" si="10"/>
        <v>0.012452301762306982</v>
      </c>
      <c r="Y19" s="1">
        <f t="shared" si="0"/>
        <v>8.095764093693968E-06</v>
      </c>
      <c r="Z19">
        <f t="shared" si="11"/>
        <v>21.35</v>
      </c>
      <c r="AA19">
        <f t="shared" si="12"/>
        <v>1</v>
      </c>
      <c r="AB19" s="8">
        <f t="shared" si="1"/>
        <v>215.03415405733674</v>
      </c>
      <c r="AC19" s="4">
        <f t="shared" si="2"/>
        <v>706150.2482758269</v>
      </c>
      <c r="AD19" s="5">
        <f t="shared" si="3"/>
        <v>0.010914709865360443</v>
      </c>
      <c r="AE19" s="4">
        <f t="shared" si="13"/>
        <v>27000</v>
      </c>
      <c r="AF19" s="8">
        <f t="shared" si="14"/>
        <v>397.3860441771542</v>
      </c>
      <c r="AG19" s="10">
        <f t="shared" si="15"/>
        <v>19.978295049366686</v>
      </c>
      <c r="AI19" s="15">
        <f t="shared" si="16"/>
        <v>77.02583233038425</v>
      </c>
      <c r="AJ19" s="15">
        <f t="shared" si="25"/>
        <v>77</v>
      </c>
      <c r="AK19" s="15">
        <f t="shared" si="26"/>
        <v>76.60445426989031</v>
      </c>
      <c r="AL19" s="15">
        <f t="shared" si="17"/>
        <v>-0.4213780604939359</v>
      </c>
      <c r="AM19" s="15">
        <f t="shared" si="18"/>
        <v>76.57862193950606</v>
      </c>
    </row>
    <row r="20" spans="1:39" ht="12.75">
      <c r="A20" s="109"/>
      <c r="C20">
        <f t="shared" si="19"/>
        <v>270</v>
      </c>
      <c r="D20" s="4">
        <f t="shared" si="4"/>
        <v>1620</v>
      </c>
      <c r="E20" s="15">
        <f t="shared" si="20"/>
        <v>0.1</v>
      </c>
      <c r="F20" s="15">
        <f t="shared" si="5"/>
        <v>27</v>
      </c>
      <c r="H20" s="15">
        <f t="shared" si="21"/>
        <v>0</v>
      </c>
      <c r="I20" s="15">
        <f t="shared" si="6"/>
        <v>0</v>
      </c>
      <c r="J20" s="15"/>
      <c r="K20" s="15">
        <f t="shared" si="7"/>
        <v>0.1</v>
      </c>
      <c r="L20" s="15">
        <f t="shared" si="8"/>
        <v>27</v>
      </c>
      <c r="O20">
        <f t="shared" si="9"/>
        <v>5.19</v>
      </c>
      <c r="P20" s="4">
        <f t="shared" si="22"/>
        <v>77.03140322418356</v>
      </c>
      <c r="R20" s="4">
        <f t="shared" si="23"/>
        <v>933.8379667859435</v>
      </c>
      <c r="T20" s="15">
        <f t="shared" si="24"/>
        <v>6.193228736581338</v>
      </c>
      <c r="V20" s="3">
        <f t="shared" si="10"/>
        <v>0.012448925012812717</v>
      </c>
      <c r="Y20" s="1">
        <f t="shared" si="0"/>
        <v>8.09609536132285E-06</v>
      </c>
      <c r="Z20">
        <f t="shared" si="11"/>
        <v>21.35</v>
      </c>
      <c r="AA20">
        <f t="shared" si="12"/>
        <v>1</v>
      </c>
      <c r="AB20" s="8">
        <f t="shared" si="1"/>
        <v>209.5339512736361</v>
      </c>
      <c r="AC20" s="4">
        <f t="shared" si="2"/>
        <v>687873.4038933881</v>
      </c>
      <c r="AD20" s="5">
        <f t="shared" si="3"/>
        <v>0.01098649962683767</v>
      </c>
      <c r="AE20" s="4">
        <f t="shared" si="13"/>
        <v>27000</v>
      </c>
      <c r="AF20" s="8">
        <f t="shared" si="14"/>
        <v>379.69588536940734</v>
      </c>
      <c r="AG20" s="10">
        <f t="shared" si="15"/>
        <v>19.97449809051299</v>
      </c>
      <c r="AI20" s="15">
        <f t="shared" si="16"/>
        <v>77.03140322418356</v>
      </c>
      <c r="AJ20" s="15">
        <f t="shared" si="25"/>
        <v>77</v>
      </c>
      <c r="AK20" s="15">
        <f t="shared" si="26"/>
        <v>76.60445426989031</v>
      </c>
      <c r="AL20" s="15">
        <f t="shared" si="17"/>
        <v>-0.42694895429325186</v>
      </c>
      <c r="AM20" s="15">
        <f t="shared" si="18"/>
        <v>76.57305104570675</v>
      </c>
    </row>
    <row r="21" spans="1:39" ht="12.75">
      <c r="A21" s="109"/>
      <c r="C21">
        <f t="shared" si="19"/>
        <v>270</v>
      </c>
      <c r="D21" s="4">
        <f t="shared" si="4"/>
        <v>1890</v>
      </c>
      <c r="E21" s="15">
        <f t="shared" si="20"/>
        <v>0.1</v>
      </c>
      <c r="F21" s="15">
        <f t="shared" si="5"/>
        <v>27</v>
      </c>
      <c r="H21" s="15">
        <f t="shared" si="21"/>
        <v>0</v>
      </c>
      <c r="I21" s="15">
        <f t="shared" si="6"/>
        <v>0</v>
      </c>
      <c r="J21" s="15"/>
      <c r="K21" s="15">
        <f t="shared" si="7"/>
        <v>0.1</v>
      </c>
      <c r="L21" s="15">
        <f t="shared" si="8"/>
        <v>27</v>
      </c>
      <c r="O21">
        <f t="shared" si="9"/>
        <v>5.19</v>
      </c>
      <c r="P21" s="4">
        <f t="shared" si="22"/>
        <v>77.03712593030696</v>
      </c>
      <c r="R21" s="4">
        <f t="shared" si="23"/>
        <v>909.0650518396181</v>
      </c>
      <c r="T21" s="15">
        <f t="shared" si="24"/>
        <v>6.193228736581338</v>
      </c>
      <c r="V21" s="3">
        <f t="shared" si="10"/>
        <v>0.012445634449187495</v>
      </c>
      <c r="Y21" s="1">
        <f t="shared" si="0"/>
        <v>8.096435656319773E-06</v>
      </c>
      <c r="Z21">
        <f t="shared" si="11"/>
        <v>21.35</v>
      </c>
      <c r="AA21">
        <f t="shared" si="12"/>
        <v>1</v>
      </c>
      <c r="AB21" s="8">
        <f t="shared" si="1"/>
        <v>204.02935092867915</v>
      </c>
      <c r="AC21" s="4">
        <f t="shared" si="2"/>
        <v>669597.3085268721</v>
      </c>
      <c r="AD21" s="5">
        <f t="shared" si="3"/>
        <v>0.011060711127141522</v>
      </c>
      <c r="AE21" s="4">
        <f t="shared" si="13"/>
        <v>27000</v>
      </c>
      <c r="AF21" s="8">
        <f t="shared" si="14"/>
        <v>362.34416818170985</v>
      </c>
      <c r="AG21" s="10">
        <f t="shared" si="15"/>
        <v>19.970874648831174</v>
      </c>
      <c r="AI21" s="15">
        <f t="shared" si="16"/>
        <v>77.03712593030696</v>
      </c>
      <c r="AJ21" s="15">
        <f t="shared" si="25"/>
        <v>77</v>
      </c>
      <c r="AK21" s="15">
        <f t="shared" si="26"/>
        <v>76.60445426989031</v>
      </c>
      <c r="AL21" s="15">
        <f t="shared" si="17"/>
        <v>-0.43267166041664495</v>
      </c>
      <c r="AM21" s="15">
        <f t="shared" si="18"/>
        <v>76.56732833958336</v>
      </c>
    </row>
    <row r="22" spans="1:39" ht="12.75">
      <c r="A22" s="109"/>
      <c r="C22">
        <f t="shared" si="19"/>
        <v>270</v>
      </c>
      <c r="D22" s="4">
        <f t="shared" si="4"/>
        <v>2160</v>
      </c>
      <c r="E22" s="15">
        <f t="shared" si="20"/>
        <v>0.1</v>
      </c>
      <c r="F22" s="15">
        <f t="shared" si="5"/>
        <v>27</v>
      </c>
      <c r="H22" s="15">
        <f t="shared" si="21"/>
        <v>0</v>
      </c>
      <c r="I22" s="15">
        <f t="shared" si="6"/>
        <v>0</v>
      </c>
      <c r="J22" s="15"/>
      <c r="K22" s="15">
        <f t="shared" si="7"/>
        <v>0.1</v>
      </c>
      <c r="L22" s="15">
        <f t="shared" si="8"/>
        <v>27</v>
      </c>
      <c r="O22">
        <f t="shared" si="9"/>
        <v>5.19</v>
      </c>
      <c r="P22" s="4">
        <f t="shared" si="22"/>
        <v>77.04300895461724</v>
      </c>
      <c r="R22" s="4">
        <f t="shared" si="23"/>
        <v>884.2921368932928</v>
      </c>
      <c r="T22" s="15">
        <f t="shared" si="24"/>
        <v>6.193228736581338</v>
      </c>
      <c r="V22" s="3">
        <f t="shared" si="10"/>
        <v>0.012442426589394607</v>
      </c>
      <c r="Y22" s="1">
        <f t="shared" si="0"/>
        <v>8.09678548447736E-06</v>
      </c>
      <c r="Z22">
        <f t="shared" si="11"/>
        <v>21.35</v>
      </c>
      <c r="AA22">
        <f t="shared" si="12"/>
        <v>1</v>
      </c>
      <c r="AB22" s="8">
        <f t="shared" si="1"/>
        <v>198.52051947714173</v>
      </c>
      <c r="AC22" s="4">
        <f t="shared" si="2"/>
        <v>651321.9825246765</v>
      </c>
      <c r="AD22" s="5">
        <f t="shared" si="3"/>
        <v>0.011137495480002934</v>
      </c>
      <c r="AE22" s="4">
        <f t="shared" si="13"/>
        <v>27000</v>
      </c>
      <c r="AF22" s="8">
        <f t="shared" si="14"/>
        <v>345.33398714628385</v>
      </c>
      <c r="AG22" s="10">
        <f t="shared" si="15"/>
        <v>19.96742130895971</v>
      </c>
      <c r="AI22" s="15">
        <f t="shared" si="16"/>
        <v>77.04300895461724</v>
      </c>
      <c r="AJ22" s="15">
        <f t="shared" si="25"/>
        <v>77</v>
      </c>
      <c r="AK22" s="15">
        <f t="shared" si="26"/>
        <v>76.60445426989031</v>
      </c>
      <c r="AL22" s="15">
        <f t="shared" si="17"/>
        <v>-0.43855468472692394</v>
      </c>
      <c r="AM22" s="15">
        <f t="shared" si="18"/>
        <v>76.56144531527308</v>
      </c>
    </row>
    <row r="23" spans="1:39" ht="12.75">
      <c r="A23" s="109"/>
      <c r="C23">
        <f t="shared" si="19"/>
        <v>270</v>
      </c>
      <c r="D23" s="4">
        <f t="shared" si="4"/>
        <v>2430</v>
      </c>
      <c r="E23" s="15">
        <f t="shared" si="20"/>
        <v>0.1</v>
      </c>
      <c r="F23" s="15">
        <f t="shared" si="5"/>
        <v>27</v>
      </c>
      <c r="H23" s="15">
        <f t="shared" si="21"/>
        <v>0</v>
      </c>
      <c r="I23" s="15">
        <f t="shared" si="6"/>
        <v>0</v>
      </c>
      <c r="J23" s="15"/>
      <c r="K23" s="15">
        <f t="shared" si="7"/>
        <v>0.1</v>
      </c>
      <c r="L23" s="15">
        <f t="shared" si="8"/>
        <v>27</v>
      </c>
      <c r="O23">
        <f t="shared" si="9"/>
        <v>5.19</v>
      </c>
      <c r="P23" s="4">
        <f t="shared" si="22"/>
        <v>77.04906153844071</v>
      </c>
      <c r="R23" s="4">
        <f t="shared" si="23"/>
        <v>859.5192219469674</v>
      </c>
      <c r="T23" s="15">
        <f t="shared" si="24"/>
        <v>6.193228736581338</v>
      </c>
      <c r="V23" s="3">
        <f t="shared" si="10"/>
        <v>0.012439297814833095</v>
      </c>
      <c r="Y23" s="1">
        <f t="shared" si="0"/>
        <v>8.097145395321839E-06</v>
      </c>
      <c r="Z23">
        <f t="shared" si="11"/>
        <v>21.35</v>
      </c>
      <c r="AA23">
        <f t="shared" si="12"/>
        <v>1</v>
      </c>
      <c r="AB23" s="8">
        <f t="shared" si="1"/>
        <v>193.00761966960883</v>
      </c>
      <c r="AC23" s="4">
        <f t="shared" si="2"/>
        <v>633047.4473735415</v>
      </c>
      <c r="AD23" s="5">
        <f t="shared" si="3"/>
        <v>0.011217017807697422</v>
      </c>
      <c r="AE23" s="4">
        <f t="shared" si="13"/>
        <v>27000</v>
      </c>
      <c r="AF23" s="8">
        <f t="shared" si="14"/>
        <v>328.668492943261</v>
      </c>
      <c r="AG23" s="10">
        <f t="shared" si="15"/>
        <v>19.96413462403028</v>
      </c>
      <c r="AI23" s="15">
        <f t="shared" si="16"/>
        <v>77.04906153844071</v>
      </c>
      <c r="AJ23" s="15">
        <f t="shared" si="25"/>
        <v>77</v>
      </c>
      <c r="AK23" s="15">
        <f t="shared" si="26"/>
        <v>76.60445426989031</v>
      </c>
      <c r="AL23" s="15">
        <f t="shared" si="17"/>
        <v>-0.4446072685503992</v>
      </c>
      <c r="AM23" s="15">
        <f t="shared" si="18"/>
        <v>76.5553927314496</v>
      </c>
    </row>
    <row r="24" spans="1:39" ht="13.5" thickBot="1">
      <c r="A24" s="110"/>
      <c r="C24">
        <f t="shared" si="19"/>
        <v>270</v>
      </c>
      <c r="D24" s="4">
        <f t="shared" si="4"/>
        <v>2700</v>
      </c>
      <c r="E24" s="15">
        <f t="shared" si="20"/>
        <v>0.1</v>
      </c>
      <c r="F24" s="15">
        <f t="shared" si="5"/>
        <v>27</v>
      </c>
      <c r="H24" s="15">
        <f t="shared" si="21"/>
        <v>0</v>
      </c>
      <c r="I24" s="15">
        <f t="shared" si="6"/>
        <v>0</v>
      </c>
      <c r="J24" s="15"/>
      <c r="K24" s="15">
        <f t="shared" si="7"/>
        <v>0.1</v>
      </c>
      <c r="L24" s="15">
        <f t="shared" si="8"/>
        <v>27</v>
      </c>
      <c r="O24">
        <f t="shared" si="9"/>
        <v>5.19</v>
      </c>
      <c r="P24" s="4">
        <f t="shared" si="22"/>
        <v>77.0552937458732</v>
      </c>
      <c r="R24" s="4">
        <f t="shared" si="23"/>
        <v>834.746307000642</v>
      </c>
      <c r="T24" s="15">
        <f t="shared" si="24"/>
        <v>6.193228736581338</v>
      </c>
      <c r="V24" s="3">
        <f t="shared" si="10"/>
        <v>0.012436244356083263</v>
      </c>
      <c r="Y24" s="1">
        <f t="shared" si="0"/>
        <v>8.097515987304603E-06</v>
      </c>
      <c r="Z24">
        <f t="shared" si="11"/>
        <v>21.35</v>
      </c>
      <c r="AA24">
        <f t="shared" si="12"/>
        <v>1</v>
      </c>
      <c r="AB24" s="8">
        <f t="shared" si="1"/>
        <v>187.49081043757644</v>
      </c>
      <c r="AC24" s="4">
        <f t="shared" si="2"/>
        <v>614773.7257968754</v>
      </c>
      <c r="AD24" s="5">
        <f t="shared" si="3"/>
        <v>0.01129945898914142</v>
      </c>
      <c r="AE24" s="4">
        <f t="shared" si="13"/>
        <v>27000</v>
      </c>
      <c r="AF24" s="8">
        <f t="shared" si="14"/>
        <v>312.350897967581</v>
      </c>
      <c r="AG24" s="10">
        <f t="shared" si="15"/>
        <v>19.961011115050603</v>
      </c>
      <c r="AI24" s="15">
        <f t="shared" si="16"/>
        <v>77.0552937458732</v>
      </c>
      <c r="AJ24" s="15">
        <f t="shared" si="25"/>
        <v>77</v>
      </c>
      <c r="AK24" s="15">
        <f t="shared" si="26"/>
        <v>76.60445426989031</v>
      </c>
      <c r="AL24" s="15">
        <f t="shared" si="17"/>
        <v>-0.45083947598288887</v>
      </c>
      <c r="AM24" s="15">
        <f t="shared" si="18"/>
        <v>76.54916052401711</v>
      </c>
    </row>
    <row r="25" spans="1:39" ht="12.75">
      <c r="A25" s="108"/>
      <c r="C25">
        <f t="shared" si="19"/>
        <v>270</v>
      </c>
      <c r="D25" s="4">
        <f t="shared" si="4"/>
        <v>2970</v>
      </c>
      <c r="E25" s="15">
        <f t="shared" si="20"/>
        <v>0.1</v>
      </c>
      <c r="F25" s="15">
        <f t="shared" si="5"/>
        <v>27</v>
      </c>
      <c r="H25" s="15">
        <f t="shared" si="21"/>
        <v>0</v>
      </c>
      <c r="I25" s="15">
        <f t="shared" si="6"/>
        <v>0</v>
      </c>
      <c r="J25" s="15"/>
      <c r="K25" s="15">
        <f t="shared" si="7"/>
        <v>0.1</v>
      </c>
      <c r="L25" s="15">
        <f t="shared" si="8"/>
        <v>27</v>
      </c>
      <c r="O25">
        <f t="shared" si="9"/>
        <v>5.19</v>
      </c>
      <c r="P25" s="4">
        <f t="shared" si="22"/>
        <v>77.06171656443708</v>
      </c>
      <c r="R25" s="4">
        <f t="shared" si="23"/>
        <v>809.9733920543166</v>
      </c>
      <c r="T25" s="15">
        <f t="shared" si="24"/>
        <v>6.193228736581338</v>
      </c>
      <c r="V25" s="3">
        <f t="shared" si="10"/>
        <v>0.01243326227649323</v>
      </c>
      <c r="Y25" s="1">
        <f t="shared" si="0"/>
        <v>8.097897913787686E-06</v>
      </c>
      <c r="Z25">
        <f t="shared" si="11"/>
        <v>21.35</v>
      </c>
      <c r="AA25">
        <f t="shared" si="12"/>
        <v>1</v>
      </c>
      <c r="AB25" s="8">
        <f t="shared" si="1"/>
        <v>181.9702467725469</v>
      </c>
      <c r="AC25" s="4">
        <f t="shared" si="2"/>
        <v>596500.8418647446</v>
      </c>
      <c r="AD25" s="5">
        <f t="shared" si="3"/>
        <v>0.01138501768561887</v>
      </c>
      <c r="AE25" s="4">
        <f t="shared" si="13"/>
        <v>27000</v>
      </c>
      <c r="AF25" s="8">
        <f t="shared" si="14"/>
        <v>296.38448241975647</v>
      </c>
      <c r="AG25" s="10">
        <f t="shared" si="15"/>
        <v>19.958047270226405</v>
      </c>
      <c r="AI25" s="15">
        <f t="shared" si="16"/>
        <v>77.06171656443708</v>
      </c>
      <c r="AJ25" s="15">
        <f t="shared" si="25"/>
        <v>77</v>
      </c>
      <c r="AK25" s="15">
        <f t="shared" si="26"/>
        <v>76.60445426989031</v>
      </c>
      <c r="AL25" s="15">
        <f t="shared" si="17"/>
        <v>-0.4572622945467657</v>
      </c>
      <c r="AM25" s="15">
        <f t="shared" si="18"/>
        <v>76.54273770545323</v>
      </c>
    </row>
    <row r="26" spans="1:39" ht="12.75">
      <c r="A26" s="109"/>
      <c r="C26">
        <f t="shared" si="19"/>
        <v>270</v>
      </c>
      <c r="D26" s="4">
        <f t="shared" si="4"/>
        <v>3240</v>
      </c>
      <c r="E26" s="15">
        <f t="shared" si="20"/>
        <v>0.1</v>
      </c>
      <c r="F26" s="15">
        <f t="shared" si="5"/>
        <v>27</v>
      </c>
      <c r="H26" s="15">
        <f t="shared" si="21"/>
        <v>0</v>
      </c>
      <c r="I26" s="15">
        <f t="shared" si="6"/>
        <v>0</v>
      </c>
      <c r="J26" s="15"/>
      <c r="K26" s="15">
        <f t="shared" si="7"/>
        <v>0.1</v>
      </c>
      <c r="L26" s="15">
        <f t="shared" si="8"/>
        <v>27</v>
      </c>
      <c r="O26">
        <f t="shared" si="9"/>
        <v>5.19</v>
      </c>
      <c r="P26" s="4">
        <f t="shared" si="22"/>
        <v>77.068342021617</v>
      </c>
      <c r="R26" s="4">
        <f t="shared" si="23"/>
        <v>785.2004771079912</v>
      </c>
      <c r="T26" s="15">
        <f t="shared" si="24"/>
        <v>6.193228736581338</v>
      </c>
      <c r="V26" s="3">
        <f t="shared" si="10"/>
        <v>0.01243034745320148</v>
      </c>
      <c r="Y26" s="1">
        <f t="shared" si="0"/>
        <v>8.098291889973434E-06</v>
      </c>
      <c r="Z26">
        <f t="shared" si="11"/>
        <v>21.35</v>
      </c>
      <c r="AA26">
        <f t="shared" si="12"/>
        <v>1</v>
      </c>
      <c r="AB26" s="8">
        <f t="shared" si="1"/>
        <v>176.44607959819072</v>
      </c>
      <c r="AC26" s="4">
        <f t="shared" si="2"/>
        <v>578228.8211173103</v>
      </c>
      <c r="AD26" s="5">
        <f t="shared" si="3"/>
        <v>0.011473912698269728</v>
      </c>
      <c r="AE26" s="4">
        <f t="shared" si="13"/>
        <v>27000</v>
      </c>
      <c r="AF26" s="8">
        <f t="shared" si="14"/>
        <v>280.7726009861189</v>
      </c>
      <c r="AG26" s="10">
        <f t="shared" si="15"/>
        <v>19.955239544216543</v>
      </c>
      <c r="AI26" s="15">
        <f t="shared" si="16"/>
        <v>77.068342021617</v>
      </c>
      <c r="AJ26" s="15">
        <f t="shared" si="25"/>
        <v>77</v>
      </c>
      <c r="AK26" s="15">
        <f t="shared" si="26"/>
        <v>76.60445426989031</v>
      </c>
      <c r="AL26" s="15">
        <f t="shared" si="17"/>
        <v>-0.4638877517266877</v>
      </c>
      <c r="AM26" s="15">
        <f t="shared" si="18"/>
        <v>76.53611224827331</v>
      </c>
    </row>
    <row r="27" spans="1:39" ht="12.75">
      <c r="A27" s="109"/>
      <c r="C27">
        <f t="shared" si="19"/>
        <v>270</v>
      </c>
      <c r="D27" s="4">
        <f t="shared" si="4"/>
        <v>3510</v>
      </c>
      <c r="E27" s="15">
        <f t="shared" si="20"/>
        <v>0.1</v>
      </c>
      <c r="F27" s="15">
        <f t="shared" si="5"/>
        <v>27</v>
      </c>
      <c r="H27" s="15">
        <f t="shared" si="21"/>
        <v>0</v>
      </c>
      <c r="I27" s="15">
        <f t="shared" si="6"/>
        <v>0</v>
      </c>
      <c r="J27" s="15"/>
      <c r="K27" s="15">
        <f t="shared" si="7"/>
        <v>0.1</v>
      </c>
      <c r="L27" s="15">
        <f t="shared" si="8"/>
        <v>27</v>
      </c>
      <c r="O27">
        <f t="shared" si="9"/>
        <v>5.19</v>
      </c>
      <c r="P27" s="4">
        <f t="shared" si="22"/>
        <v>77.07518332037785</v>
      </c>
      <c r="R27" s="4">
        <f t="shared" si="23"/>
        <v>760.4275621616658</v>
      </c>
      <c r="T27" s="15">
        <f t="shared" si="24"/>
        <v>6.193228736581338</v>
      </c>
      <c r="V27" s="3">
        <f t="shared" si="10"/>
        <v>0.012427495555098452</v>
      </c>
      <c r="Y27" s="1">
        <f t="shared" si="0"/>
        <v>8.098698700962948E-06</v>
      </c>
      <c r="Z27">
        <f t="shared" si="11"/>
        <v>21.35</v>
      </c>
      <c r="AA27">
        <f t="shared" si="12"/>
        <v>1</v>
      </c>
      <c r="AB27" s="8">
        <f t="shared" si="1"/>
        <v>170.9184556343551</v>
      </c>
      <c r="AC27" s="4">
        <f t="shared" si="2"/>
        <v>559957.690703829</v>
      </c>
      <c r="AD27" s="5">
        <f t="shared" si="3"/>
        <v>0.0115663857241099</v>
      </c>
      <c r="AE27" s="4">
        <f t="shared" si="13"/>
        <v>27000</v>
      </c>
      <c r="AF27" s="8">
        <f t="shared" si="14"/>
        <v>265.51869018492215</v>
      </c>
      <c r="AG27" s="10">
        <f t="shared" si="15"/>
        <v>19.952584357314695</v>
      </c>
      <c r="AI27" s="15">
        <f t="shared" si="16"/>
        <v>77.07518332037785</v>
      </c>
      <c r="AJ27" s="15">
        <f t="shared" si="25"/>
        <v>77</v>
      </c>
      <c r="AK27" s="15">
        <f t="shared" si="26"/>
        <v>76.60445426989031</v>
      </c>
      <c r="AL27" s="15">
        <f t="shared" si="17"/>
        <v>-0.47072905048753455</v>
      </c>
      <c r="AM27" s="15">
        <f t="shared" si="18"/>
        <v>76.52927094951247</v>
      </c>
    </row>
    <row r="28" spans="1:39" ht="12.75">
      <c r="A28" s="109"/>
      <c r="C28">
        <f t="shared" si="19"/>
        <v>270</v>
      </c>
      <c r="D28" s="4">
        <f t="shared" si="4"/>
        <v>3780</v>
      </c>
      <c r="E28" s="15">
        <f t="shared" si="20"/>
        <v>0.1</v>
      </c>
      <c r="F28" s="15">
        <f t="shared" si="5"/>
        <v>27</v>
      </c>
      <c r="H28" s="15">
        <f t="shared" si="21"/>
        <v>0</v>
      </c>
      <c r="I28" s="15">
        <f t="shared" si="6"/>
        <v>0</v>
      </c>
      <c r="J28" s="15"/>
      <c r="K28" s="15">
        <f t="shared" si="7"/>
        <v>0.1</v>
      </c>
      <c r="L28" s="15">
        <f t="shared" si="8"/>
        <v>27</v>
      </c>
      <c r="O28">
        <f t="shared" si="9"/>
        <v>5.19</v>
      </c>
      <c r="P28" s="4">
        <f t="shared" si="22"/>
        <v>77.08225499750029</v>
      </c>
      <c r="R28" s="4">
        <f t="shared" si="23"/>
        <v>735.6546472153404</v>
      </c>
      <c r="T28" s="15">
        <f t="shared" si="24"/>
        <v>6.193228736581338</v>
      </c>
      <c r="V28" s="3">
        <f t="shared" si="10"/>
        <v>0.012424702017113584</v>
      </c>
      <c r="Y28" s="1">
        <f t="shared" si="0"/>
        <v>8.099119211171357E-06</v>
      </c>
      <c r="Z28">
        <f t="shared" si="11"/>
        <v>21.35</v>
      </c>
      <c r="AA28">
        <f t="shared" si="12"/>
        <v>1</v>
      </c>
      <c r="AB28" s="8">
        <f t="shared" si="1"/>
        <v>165.38751725146815</v>
      </c>
      <c r="AC28" s="4">
        <f t="shared" si="2"/>
        <v>541687.4795397539</v>
      </c>
      <c r="AD28" s="5">
        <f t="shared" si="3"/>
        <v>0.011662704593459703</v>
      </c>
      <c r="AE28" s="4">
        <f t="shared" si="13"/>
        <v>27000</v>
      </c>
      <c r="AF28" s="8">
        <f t="shared" si="14"/>
        <v>250.62627646763778</v>
      </c>
      <c r="AG28" s="10">
        <f t="shared" si="15"/>
        <v>19.95007809455002</v>
      </c>
      <c r="AI28" s="15">
        <f t="shared" si="16"/>
        <v>77.08225499750029</v>
      </c>
      <c r="AJ28" s="15">
        <f t="shared" si="25"/>
        <v>77</v>
      </c>
      <c r="AK28" s="15">
        <f t="shared" si="26"/>
        <v>76.60445426989031</v>
      </c>
      <c r="AL28" s="15">
        <f t="shared" si="17"/>
        <v>-0.4778007276099743</v>
      </c>
      <c r="AM28" s="15">
        <f t="shared" si="18"/>
        <v>76.52219927239003</v>
      </c>
    </row>
    <row r="29" spans="1:39" ht="12.75">
      <c r="A29" s="109"/>
      <c r="C29">
        <f t="shared" si="19"/>
        <v>270</v>
      </c>
      <c r="D29" s="4">
        <f t="shared" si="4"/>
        <v>4050</v>
      </c>
      <c r="E29" s="15">
        <f t="shared" si="20"/>
        <v>0.1</v>
      </c>
      <c r="F29" s="15">
        <f t="shared" si="5"/>
        <v>27</v>
      </c>
      <c r="H29" s="15">
        <f t="shared" si="21"/>
        <v>0</v>
      </c>
      <c r="I29" s="15">
        <f t="shared" si="6"/>
        <v>0</v>
      </c>
      <c r="J29" s="15"/>
      <c r="K29" s="15">
        <f t="shared" si="7"/>
        <v>0.1</v>
      </c>
      <c r="L29" s="15">
        <f t="shared" si="8"/>
        <v>27</v>
      </c>
      <c r="O29">
        <f t="shared" si="9"/>
        <v>5.19</v>
      </c>
      <c r="P29" s="4">
        <f t="shared" si="22"/>
        <v>77.08957310950483</v>
      </c>
      <c r="R29" s="4">
        <f t="shared" si="23"/>
        <v>710.8817322690151</v>
      </c>
      <c r="T29" s="15">
        <f t="shared" si="24"/>
        <v>6.193228736581338</v>
      </c>
      <c r="V29" s="3">
        <f t="shared" si="10"/>
        <v>0.012421962010065048</v>
      </c>
      <c r="Y29" s="1">
        <f t="shared" si="0"/>
        <v>8.099554375383595E-06</v>
      </c>
      <c r="Z29">
        <f t="shared" si="11"/>
        <v>21.35</v>
      </c>
      <c r="AA29">
        <f t="shared" si="12"/>
        <v>1</v>
      </c>
      <c r="AB29" s="8">
        <f t="shared" si="1"/>
        <v>159.85340231360203</v>
      </c>
      <c r="AC29" s="4">
        <f t="shared" si="2"/>
        <v>523418.2184849805</v>
      </c>
      <c r="AD29" s="5">
        <f t="shared" si="3"/>
        <v>0.011763167092339821</v>
      </c>
      <c r="AE29" s="4">
        <f t="shared" si="13"/>
        <v>27000</v>
      </c>
      <c r="AF29" s="8">
        <f t="shared" si="14"/>
        <v>236.09898518041587</v>
      </c>
      <c r="AG29" s="10">
        <f t="shared" si="15"/>
        <v>19.947717104698214</v>
      </c>
      <c r="AI29" s="15">
        <f t="shared" si="16"/>
        <v>77.08957310950483</v>
      </c>
      <c r="AJ29" s="15">
        <f t="shared" si="25"/>
        <v>77</v>
      </c>
      <c r="AK29" s="15">
        <f t="shared" si="26"/>
        <v>76.60445426989031</v>
      </c>
      <c r="AL29" s="15">
        <f t="shared" si="17"/>
        <v>-0.48511883961451474</v>
      </c>
      <c r="AM29" s="15">
        <f t="shared" si="18"/>
        <v>76.51488116038549</v>
      </c>
    </row>
    <row r="30" spans="1:39" ht="12.75">
      <c r="A30" s="109"/>
      <c r="C30">
        <f t="shared" si="19"/>
        <v>270</v>
      </c>
      <c r="D30" s="4">
        <f t="shared" si="4"/>
        <v>4320</v>
      </c>
      <c r="E30" s="15">
        <f t="shared" si="20"/>
        <v>0.1</v>
      </c>
      <c r="F30" s="15">
        <f t="shared" si="5"/>
        <v>27</v>
      </c>
      <c r="H30" s="15">
        <f t="shared" si="21"/>
        <v>0</v>
      </c>
      <c r="I30" s="15">
        <f t="shared" si="6"/>
        <v>0</v>
      </c>
      <c r="J30" s="15"/>
      <c r="K30" s="15">
        <f t="shared" si="7"/>
        <v>0.1</v>
      </c>
      <c r="L30" s="15">
        <f t="shared" si="8"/>
        <v>27</v>
      </c>
      <c r="O30">
        <f t="shared" si="9"/>
        <v>5.19</v>
      </c>
      <c r="P30" s="4">
        <f t="shared" si="22"/>
        <v>77.09715545214112</v>
      </c>
      <c r="R30" s="4">
        <f t="shared" si="23"/>
        <v>686.1088173226897</v>
      </c>
      <c r="T30" s="15">
        <f t="shared" si="24"/>
        <v>6.193228736581338</v>
      </c>
      <c r="V30" s="3">
        <f t="shared" si="10"/>
        <v>0.012419270405117432</v>
      </c>
      <c r="Y30" s="1">
        <f t="shared" si="0"/>
        <v>8.10000525180612E-06</v>
      </c>
      <c r="Z30">
        <f t="shared" si="11"/>
        <v>21.35</v>
      </c>
      <c r="AA30">
        <f t="shared" si="12"/>
        <v>1</v>
      </c>
      <c r="AB30" s="8">
        <f t="shared" si="1"/>
        <v>154.31624400810128</v>
      </c>
      <c r="AC30" s="4">
        <f t="shared" si="2"/>
        <v>505149.9405469209</v>
      </c>
      <c r="AD30" s="5">
        <f t="shared" si="3"/>
        <v>0.011868105500158092</v>
      </c>
      <c r="AE30" s="4">
        <f t="shared" si="13"/>
        <v>27000</v>
      </c>
      <c r="AF30" s="8">
        <f t="shared" si="14"/>
        <v>221.94055050969297</v>
      </c>
      <c r="AG30" s="10">
        <f t="shared" si="15"/>
        <v>19.945497699193115</v>
      </c>
      <c r="AI30" s="15">
        <f t="shared" si="16"/>
        <v>77.09715545214112</v>
      </c>
      <c r="AJ30" s="15">
        <f t="shared" si="25"/>
        <v>77</v>
      </c>
      <c r="AK30" s="15">
        <f t="shared" si="26"/>
        <v>76.60445426989031</v>
      </c>
      <c r="AL30" s="15">
        <f t="shared" si="17"/>
        <v>-0.49270118225081205</v>
      </c>
      <c r="AM30" s="15">
        <f t="shared" si="18"/>
        <v>76.50729881774919</v>
      </c>
    </row>
    <row r="31" spans="1:39" ht="12.75">
      <c r="A31" s="109"/>
      <c r="C31">
        <f t="shared" si="19"/>
        <v>270</v>
      </c>
      <c r="D31" s="4">
        <f t="shared" si="4"/>
        <v>4590</v>
      </c>
      <c r="E31" s="15">
        <f t="shared" si="20"/>
        <v>0.1</v>
      </c>
      <c r="F31" s="15">
        <f t="shared" si="5"/>
        <v>27</v>
      </c>
      <c r="H31" s="15">
        <f t="shared" si="21"/>
        <v>0</v>
      </c>
      <c r="I31" s="15">
        <f t="shared" si="6"/>
        <v>0</v>
      </c>
      <c r="J31" s="15"/>
      <c r="K31" s="15">
        <f t="shared" si="7"/>
        <v>0.1</v>
      </c>
      <c r="L31" s="15">
        <f t="shared" si="8"/>
        <v>27</v>
      </c>
      <c r="O31">
        <f t="shared" si="9"/>
        <v>5.19</v>
      </c>
      <c r="P31" s="4">
        <f t="shared" si="22"/>
        <v>77.10502182098642</v>
      </c>
      <c r="R31" s="4">
        <f t="shared" si="23"/>
        <v>661.3359023763643</v>
      </c>
      <c r="T31" s="15">
        <f t="shared" si="24"/>
        <v>6.193228736581338</v>
      </c>
      <c r="V31" s="3">
        <f t="shared" si="10"/>
        <v>0.012416621731643023</v>
      </c>
      <c r="Y31" s="1">
        <f t="shared" si="0"/>
        <v>8.100473017563136E-06</v>
      </c>
      <c r="Z31">
        <f t="shared" si="11"/>
        <v>21.35</v>
      </c>
      <c r="AA31">
        <f t="shared" si="12"/>
        <v>1</v>
      </c>
      <c r="AB31" s="8">
        <f t="shared" si="1"/>
        <v>148.77617065924215</v>
      </c>
      <c r="AC31" s="4">
        <f t="shared" si="2"/>
        <v>486882.68111288344</v>
      </c>
      <c r="AD31" s="5">
        <f t="shared" si="3"/>
        <v>0.011977892007938164</v>
      </c>
      <c r="AE31" s="4">
        <f t="shared" si="13"/>
        <v>27000</v>
      </c>
      <c r="AF31" s="8">
        <f t="shared" si="14"/>
        <v>208.15482655919675</v>
      </c>
      <c r="AG31" s="10">
        <f t="shared" si="15"/>
        <v>19.943416150927522</v>
      </c>
      <c r="AI31" s="15">
        <f t="shared" si="16"/>
        <v>77.10502182098642</v>
      </c>
      <c r="AJ31" s="15">
        <f t="shared" si="25"/>
        <v>77</v>
      </c>
      <c r="AK31" s="15">
        <f t="shared" si="26"/>
        <v>76.60445426989031</v>
      </c>
      <c r="AL31" s="15">
        <f t="shared" si="17"/>
        <v>-0.5005675510961112</v>
      </c>
      <c r="AM31" s="15">
        <f t="shared" si="18"/>
        <v>76.49943244890389</v>
      </c>
    </row>
    <row r="32" spans="1:39" ht="12.75">
      <c r="A32" s="109"/>
      <c r="C32">
        <f t="shared" si="19"/>
        <v>270</v>
      </c>
      <c r="D32" s="4">
        <f t="shared" si="4"/>
        <v>4860</v>
      </c>
      <c r="E32" s="15">
        <f t="shared" si="20"/>
        <v>0.1</v>
      </c>
      <c r="F32" s="15">
        <f t="shared" si="5"/>
        <v>27</v>
      </c>
      <c r="H32" s="15">
        <f t="shared" si="21"/>
        <v>0</v>
      </c>
      <c r="I32" s="15">
        <f t="shared" si="6"/>
        <v>0</v>
      </c>
      <c r="J32" s="15"/>
      <c r="K32" s="15">
        <f t="shared" si="7"/>
        <v>0.1</v>
      </c>
      <c r="L32" s="15">
        <f t="shared" si="8"/>
        <v>27</v>
      </c>
      <c r="O32">
        <f t="shared" si="9"/>
        <v>5.19</v>
      </c>
      <c r="P32" s="4">
        <f t="shared" si="22"/>
        <v>77.1131943227521</v>
      </c>
      <c r="R32" s="4">
        <f t="shared" si="23"/>
        <v>636.5629874300389</v>
      </c>
      <c r="T32" s="15">
        <f t="shared" si="24"/>
        <v>6.193228736581338</v>
      </c>
      <c r="V32" s="3">
        <f t="shared" si="10"/>
        <v>0.012414010126955359</v>
      </c>
      <c r="Y32" s="1">
        <f t="shared" si="0"/>
        <v>8.10095898720813E-06</v>
      </c>
      <c r="Z32">
        <f t="shared" si="11"/>
        <v>21.35</v>
      </c>
      <c r="AA32">
        <f t="shared" si="12"/>
        <v>1</v>
      </c>
      <c r="AB32" s="8">
        <f t="shared" si="1"/>
        <v>143.23330552282667</v>
      </c>
      <c r="AC32" s="4">
        <f t="shared" si="2"/>
        <v>468616.47821724415</v>
      </c>
      <c r="AD32" s="5">
        <f t="shared" si="3"/>
        <v>0.012092945228330137</v>
      </c>
      <c r="AE32" s="4">
        <f t="shared" si="13"/>
        <v>27000</v>
      </c>
      <c r="AF32" s="8">
        <f t="shared" si="14"/>
        <v>194.74579973421822</v>
      </c>
      <c r="AG32" s="10">
        <f t="shared" si="15"/>
        <v>19.94146869293018</v>
      </c>
      <c r="AI32" s="15">
        <f t="shared" si="16"/>
        <v>77.1131943227521</v>
      </c>
      <c r="AJ32" s="15">
        <f t="shared" si="25"/>
        <v>77</v>
      </c>
      <c r="AK32" s="15">
        <f t="shared" si="26"/>
        <v>76.60445426989031</v>
      </c>
      <c r="AL32" s="15">
        <f t="shared" si="17"/>
        <v>-0.508740052861782</v>
      </c>
      <c r="AM32" s="15">
        <f t="shared" si="18"/>
        <v>76.49125994713822</v>
      </c>
    </row>
    <row r="33" spans="1:39" ht="12.75">
      <c r="A33" s="109"/>
      <c r="C33">
        <f t="shared" si="19"/>
        <v>270</v>
      </c>
      <c r="D33" s="4">
        <f t="shared" si="4"/>
        <v>5130</v>
      </c>
      <c r="E33" s="15">
        <f t="shared" si="20"/>
        <v>0.1</v>
      </c>
      <c r="F33" s="15">
        <f t="shared" si="5"/>
        <v>27</v>
      </c>
      <c r="H33" s="15">
        <f t="shared" si="21"/>
        <v>0</v>
      </c>
      <c r="I33" s="15">
        <f t="shared" si="6"/>
        <v>0</v>
      </c>
      <c r="J33" s="15"/>
      <c r="K33" s="15">
        <f t="shared" si="7"/>
        <v>0.1</v>
      </c>
      <c r="L33" s="15">
        <f t="shared" si="8"/>
        <v>27</v>
      </c>
      <c r="O33">
        <f t="shared" si="9"/>
        <v>5.19</v>
      </c>
      <c r="P33" s="4">
        <f t="shared" si="22"/>
        <v>77.12169774961812</v>
      </c>
      <c r="R33" s="4">
        <f t="shared" si="23"/>
        <v>611.7900724837135</v>
      </c>
      <c r="T33" s="15">
        <f t="shared" si="24"/>
        <v>6.193228736581338</v>
      </c>
      <c r="V33" s="3">
        <f t="shared" si="10"/>
        <v>0.01241142927595092</v>
      </c>
      <c r="Y33" s="1">
        <f t="shared" si="0"/>
        <v>8.101464634983292E-06</v>
      </c>
      <c r="Z33">
        <f t="shared" si="11"/>
        <v>21.35</v>
      </c>
      <c r="AA33">
        <f t="shared" si="12"/>
        <v>1</v>
      </c>
      <c r="AB33" s="8">
        <f t="shared" si="1"/>
        <v>137.68776655791044</v>
      </c>
      <c r="AC33" s="4">
        <f t="shared" si="2"/>
        <v>450351.3728501798</v>
      </c>
      <c r="AD33" s="5">
        <f t="shared" si="3"/>
        <v>0.012213738069779394</v>
      </c>
      <c r="AE33" s="4">
        <f t="shared" si="13"/>
        <v>27000</v>
      </c>
      <c r="AF33" s="8">
        <f t="shared" si="14"/>
        <v>181.71760264455068</v>
      </c>
      <c r="AG33" s="10">
        <f t="shared" si="15"/>
        <v>19.939651516903734</v>
      </c>
      <c r="AI33" s="15">
        <f t="shared" si="16"/>
        <v>77.12169774961812</v>
      </c>
      <c r="AJ33" s="15">
        <f t="shared" si="25"/>
        <v>77</v>
      </c>
      <c r="AK33" s="15">
        <f t="shared" si="26"/>
        <v>76.60445426989031</v>
      </c>
      <c r="AL33" s="15">
        <f t="shared" si="17"/>
        <v>-0.51724347972781</v>
      </c>
      <c r="AM33" s="15">
        <f t="shared" si="18"/>
        <v>76.48275652027219</v>
      </c>
    </row>
    <row r="34" spans="1:39" ht="13.5" thickBot="1">
      <c r="A34" s="110"/>
      <c r="C34">
        <f t="shared" si="19"/>
        <v>270</v>
      </c>
      <c r="D34" s="4">
        <f t="shared" si="4"/>
        <v>5400</v>
      </c>
      <c r="E34" s="15">
        <f t="shared" si="20"/>
        <v>0.1</v>
      </c>
      <c r="F34" s="15">
        <f t="shared" si="5"/>
        <v>27</v>
      </c>
      <c r="H34" s="15">
        <f t="shared" si="21"/>
        <v>0</v>
      </c>
      <c r="I34" s="15">
        <f t="shared" si="6"/>
        <v>0</v>
      </c>
      <c r="J34" s="15"/>
      <c r="K34" s="15">
        <f t="shared" si="7"/>
        <v>0.1</v>
      </c>
      <c r="L34" s="15">
        <f t="shared" si="8"/>
        <v>27</v>
      </c>
      <c r="O34">
        <f t="shared" si="9"/>
        <v>5.19</v>
      </c>
      <c r="P34" s="4">
        <f t="shared" si="22"/>
        <v>77.13056003255471</v>
      </c>
      <c r="R34" s="4">
        <f t="shared" si="23"/>
        <v>587.0171575373881</v>
      </c>
      <c r="T34" s="15">
        <f t="shared" si="24"/>
        <v>6.193228736581338</v>
      </c>
      <c r="V34" s="3">
        <f t="shared" si="10"/>
        <v>0.012408872338116203</v>
      </c>
      <c r="Y34" s="1">
        <f t="shared" si="0"/>
        <v>8.101991621775834E-06</v>
      </c>
      <c r="Z34">
        <f t="shared" si="11"/>
        <v>21.35</v>
      </c>
      <c r="AA34">
        <f t="shared" si="12"/>
        <v>1</v>
      </c>
      <c r="AB34" s="8">
        <f t="shared" si="1"/>
        <v>132.13966617095156</v>
      </c>
      <c r="AC34" s="4">
        <f t="shared" si="2"/>
        <v>432087.40931636386</v>
      </c>
      <c r="AD34" s="5">
        <f t="shared" si="3"/>
        <v>0.012340807329339445</v>
      </c>
      <c r="AE34" s="4">
        <f t="shared" si="13"/>
        <v>27000</v>
      </c>
      <c r="AF34" s="8">
        <f t="shared" si="14"/>
        <v>169.0745297818806</v>
      </c>
      <c r="AG34" s="10">
        <f t="shared" si="15"/>
        <v>19.937960771605916</v>
      </c>
      <c r="AI34" s="15">
        <f t="shared" si="16"/>
        <v>77.13056003255471</v>
      </c>
      <c r="AJ34" s="15">
        <f t="shared" si="25"/>
        <v>77</v>
      </c>
      <c r="AK34" s="15">
        <f t="shared" si="26"/>
        <v>76.60445426989031</v>
      </c>
      <c r="AL34" s="15">
        <f t="shared" si="17"/>
        <v>-0.5261057626644003</v>
      </c>
      <c r="AM34" s="15">
        <f t="shared" si="18"/>
        <v>76.4738942373356</v>
      </c>
    </row>
    <row r="35" spans="1:39" ht="12.75">
      <c r="A35" s="108"/>
      <c r="C35">
        <f t="shared" si="19"/>
        <v>270</v>
      </c>
      <c r="D35" s="4">
        <f t="shared" si="4"/>
        <v>5670</v>
      </c>
      <c r="E35" s="15">
        <f t="shared" si="20"/>
        <v>0.1</v>
      </c>
      <c r="F35" s="15">
        <f t="shared" si="5"/>
        <v>27</v>
      </c>
      <c r="H35" s="15">
        <f t="shared" si="21"/>
        <v>0</v>
      </c>
      <c r="I35" s="15">
        <f t="shared" si="6"/>
        <v>0</v>
      </c>
      <c r="J35" s="15"/>
      <c r="K35" s="15">
        <f t="shared" si="7"/>
        <v>0.1</v>
      </c>
      <c r="L35" s="15">
        <f t="shared" si="8"/>
        <v>27</v>
      </c>
      <c r="O35">
        <f t="shared" si="9"/>
        <v>5.19</v>
      </c>
      <c r="P35" s="4">
        <f t="shared" si="22"/>
        <v>77.13981279451231</v>
      </c>
      <c r="R35" s="4">
        <f t="shared" si="23"/>
        <v>562.2442425910627</v>
      </c>
      <c r="T35" s="15">
        <f t="shared" si="24"/>
        <v>6.193228736581338</v>
      </c>
      <c r="V35" s="3">
        <f t="shared" si="10"/>
        <v>0.012406331858575188</v>
      </c>
      <c r="Y35" s="1">
        <f t="shared" si="0"/>
        <v>8.10254182801288E-06</v>
      </c>
      <c r="Z35">
        <f t="shared" si="11"/>
        <v>21.35</v>
      </c>
      <c r="AA35">
        <f t="shared" si="12"/>
        <v>1</v>
      </c>
      <c r="AB35" s="8">
        <f t="shared" si="1"/>
        <v>126.5891109264975</v>
      </c>
      <c r="AC35" s="4">
        <f t="shared" si="2"/>
        <v>413824.63565417024</v>
      </c>
      <c r="AD35" s="5">
        <f t="shared" si="3"/>
        <v>0.012474765470115801</v>
      </c>
      <c r="AE35" s="4">
        <f t="shared" si="13"/>
        <v>27000</v>
      </c>
      <c r="AF35" s="8">
        <f t="shared" si="14"/>
        <v>156.82105528337243</v>
      </c>
      <c r="AG35" s="10">
        <f t="shared" si="15"/>
        <v>19.936392561053083</v>
      </c>
      <c r="AI35" s="15">
        <f t="shared" si="16"/>
        <v>77.13981279451231</v>
      </c>
      <c r="AJ35" s="15">
        <f t="shared" si="25"/>
        <v>77</v>
      </c>
      <c r="AK35" s="15">
        <f t="shared" si="26"/>
        <v>76.60445426989031</v>
      </c>
      <c r="AL35" s="15">
        <f t="shared" si="17"/>
        <v>-0.5353585246219978</v>
      </c>
      <c r="AM35" s="15">
        <f t="shared" si="18"/>
        <v>76.464641475378</v>
      </c>
    </row>
    <row r="36" spans="1:39" ht="12.75">
      <c r="A36" s="109"/>
      <c r="C36">
        <f t="shared" si="19"/>
        <v>270</v>
      </c>
      <c r="D36" s="4">
        <f t="shared" si="4"/>
        <v>5940</v>
      </c>
      <c r="E36" s="15">
        <f t="shared" si="20"/>
        <v>0.1</v>
      </c>
      <c r="F36" s="15">
        <f t="shared" si="5"/>
        <v>27</v>
      </c>
      <c r="H36" s="15">
        <f t="shared" si="21"/>
        <v>0</v>
      </c>
      <c r="I36" s="15">
        <f t="shared" si="6"/>
        <v>0</v>
      </c>
      <c r="J36" s="15"/>
      <c r="K36" s="15">
        <f t="shared" si="7"/>
        <v>0.1</v>
      </c>
      <c r="L36" s="15">
        <f t="shared" si="8"/>
        <v>27</v>
      </c>
      <c r="O36">
        <f t="shared" si="9"/>
        <v>5.19</v>
      </c>
      <c r="P36" s="4">
        <f t="shared" si="22"/>
        <v>77.1494920310988</v>
      </c>
      <c r="R36" s="4">
        <f t="shared" si="23"/>
        <v>537.4713276447374</v>
      </c>
      <c r="T36" s="15">
        <f t="shared" si="24"/>
        <v>6.193228736581338</v>
      </c>
      <c r="V36" s="3">
        <f t="shared" si="10"/>
        <v>0.012403799658782001</v>
      </c>
      <c r="Y36" s="1">
        <f t="shared" si="0"/>
        <v>8.103117394137258E-06</v>
      </c>
      <c r="Z36">
        <f t="shared" si="11"/>
        <v>21.35</v>
      </c>
      <c r="AA36">
        <f t="shared" si="12"/>
        <v>1</v>
      </c>
      <c r="AB36" s="8">
        <f t="shared" si="1"/>
        <v>121.0362012169923</v>
      </c>
      <c r="AC36" s="4">
        <f t="shared" si="2"/>
        <v>395563.10412870086</v>
      </c>
      <c r="AD36" s="5">
        <f t="shared" si="3"/>
        <v>0.012616315202553671</v>
      </c>
      <c r="AE36" s="4">
        <f t="shared" si="13"/>
        <v>27000</v>
      </c>
      <c r="AF36" s="8">
        <f t="shared" si="14"/>
        <v>144.96185316433855</v>
      </c>
      <c r="AG36" s="10">
        <f t="shared" si="15"/>
        <v>19.934942942521438</v>
      </c>
      <c r="AI36" s="15">
        <f t="shared" si="16"/>
        <v>77.1494920310988</v>
      </c>
      <c r="AJ36" s="15">
        <f t="shared" si="25"/>
        <v>77</v>
      </c>
      <c r="AK36" s="15">
        <f t="shared" si="26"/>
        <v>76.60445426989031</v>
      </c>
      <c r="AL36" s="15">
        <f t="shared" si="17"/>
        <v>-0.5450377612084907</v>
      </c>
      <c r="AM36" s="15">
        <f t="shared" si="18"/>
        <v>76.45496223879151</v>
      </c>
    </row>
    <row r="37" spans="1:39" ht="12.75">
      <c r="A37" s="109"/>
      <c r="C37">
        <f t="shared" si="19"/>
        <v>270</v>
      </c>
      <c r="D37" s="4">
        <f t="shared" si="4"/>
        <v>6210</v>
      </c>
      <c r="E37" s="15">
        <f t="shared" si="20"/>
        <v>0.1</v>
      </c>
      <c r="F37" s="15">
        <f t="shared" si="5"/>
        <v>27</v>
      </c>
      <c r="H37" s="15">
        <f t="shared" si="21"/>
        <v>0</v>
      </c>
      <c r="I37" s="15">
        <f t="shared" si="6"/>
        <v>0</v>
      </c>
      <c r="J37" s="15"/>
      <c r="K37" s="15">
        <f t="shared" si="7"/>
        <v>0.1</v>
      </c>
      <c r="L37" s="15">
        <f t="shared" si="8"/>
        <v>27</v>
      </c>
      <c r="O37">
        <f t="shared" si="9"/>
        <v>5.19</v>
      </c>
      <c r="P37" s="4">
        <f t="shared" si="22"/>
        <v>77.15963895570376</v>
      </c>
      <c r="R37" s="4">
        <f t="shared" si="23"/>
        <v>512.698412698412</v>
      </c>
      <c r="T37" s="15">
        <f t="shared" si="24"/>
        <v>6.193228736581338</v>
      </c>
      <c r="V37" s="3">
        <f t="shared" si="10"/>
        <v>0.01240126670098027</v>
      </c>
      <c r="Y37" s="1">
        <f t="shared" si="0"/>
        <v>8.10372077086197E-06</v>
      </c>
      <c r="Z37">
        <f t="shared" si="11"/>
        <v>21.35</v>
      </c>
      <c r="AA37">
        <f t="shared" si="12"/>
        <v>1</v>
      </c>
      <c r="AB37" s="8">
        <f t="shared" si="1"/>
        <v>115.48103088226307</v>
      </c>
      <c r="AC37" s="4">
        <f t="shared" si="2"/>
        <v>377302.8718156437</v>
      </c>
      <c r="AD37" s="5">
        <f t="shared" si="3"/>
        <v>0.01276626770207316</v>
      </c>
      <c r="AE37" s="4">
        <f t="shared" si="13"/>
        <v>27000</v>
      </c>
      <c r="AF37" s="8">
        <f t="shared" si="14"/>
        <v>133.5018204942577</v>
      </c>
      <c r="AG37" s="10">
        <f t="shared" si="15"/>
        <v>19.933607924316494</v>
      </c>
      <c r="AI37" s="15">
        <f t="shared" si="16"/>
        <v>77.15963895570376</v>
      </c>
      <c r="AJ37" s="15">
        <f t="shared" si="25"/>
        <v>77</v>
      </c>
      <c r="AK37" s="15">
        <f t="shared" si="26"/>
        <v>76.60445426989031</v>
      </c>
      <c r="AL37" s="15">
        <f t="shared" si="17"/>
        <v>-0.5551846858134439</v>
      </c>
      <c r="AM37" s="15">
        <f t="shared" si="18"/>
        <v>76.44481531418656</v>
      </c>
    </row>
    <row r="38" spans="1:39" ht="12.75">
      <c r="A38" s="109"/>
      <c r="C38">
        <f t="shared" si="19"/>
        <v>270</v>
      </c>
      <c r="D38" s="4">
        <f t="shared" si="4"/>
        <v>6480</v>
      </c>
      <c r="E38" s="15">
        <f t="shared" si="20"/>
        <v>0.1</v>
      </c>
      <c r="F38" s="15">
        <f t="shared" si="5"/>
        <v>27</v>
      </c>
      <c r="H38" s="15">
        <f t="shared" si="21"/>
        <v>0</v>
      </c>
      <c r="I38" s="15">
        <f t="shared" si="6"/>
        <v>0</v>
      </c>
      <c r="J38" s="15"/>
      <c r="K38" s="15">
        <f t="shared" si="7"/>
        <v>0.1</v>
      </c>
      <c r="L38" s="15">
        <f t="shared" si="8"/>
        <v>27</v>
      </c>
      <c r="O38">
        <f t="shared" si="9"/>
        <v>5.19</v>
      </c>
      <c r="P38" s="4">
        <f t="shared" si="22"/>
        <v>77.17030105916565</v>
      </c>
      <c r="R38" s="4">
        <f t="shared" si="23"/>
        <v>487.92549775208664</v>
      </c>
      <c r="T38" s="15">
        <f t="shared" si="24"/>
        <v>6.193228736581338</v>
      </c>
      <c r="V38" s="3">
        <f t="shared" si="10"/>
        <v>0.012398722918465917</v>
      </c>
      <c r="Y38" s="1">
        <f t="shared" si="0"/>
        <v>8.104354782182227E-06</v>
      </c>
      <c r="Z38">
        <f t="shared" si="11"/>
        <v>21.35</v>
      </c>
      <c r="AA38">
        <f t="shared" si="12"/>
        <v>1</v>
      </c>
      <c r="AB38" s="8">
        <f t="shared" si="1"/>
        <v>109.92368676653996</v>
      </c>
      <c r="AC38" s="4">
        <f t="shared" si="2"/>
        <v>359044.0012978907</v>
      </c>
      <c r="AD38" s="5">
        <f t="shared" si="3"/>
        <v>0.012925565596631884</v>
      </c>
      <c r="AE38" s="4">
        <f t="shared" si="13"/>
        <v>27000</v>
      </c>
      <c r="AF38" s="8">
        <f t="shared" si="14"/>
        <v>122.4461041089695</v>
      </c>
      <c r="AG38" s="10">
        <f t="shared" si="15"/>
        <v>19.932383463275404</v>
      </c>
      <c r="AI38" s="15">
        <f t="shared" si="16"/>
        <v>77.17030105916565</v>
      </c>
      <c r="AJ38" s="15">
        <f t="shared" si="25"/>
        <v>77</v>
      </c>
      <c r="AK38" s="15">
        <f t="shared" si="26"/>
        <v>76.60445426989031</v>
      </c>
      <c r="AL38" s="15">
        <f t="shared" si="17"/>
        <v>-0.5658467892753407</v>
      </c>
      <c r="AM38" s="15">
        <f t="shared" si="18"/>
        <v>76.43415321072466</v>
      </c>
    </row>
    <row r="39" spans="1:39" ht="12.75">
      <c r="A39" s="109"/>
      <c r="C39">
        <f t="shared" si="19"/>
        <v>270</v>
      </c>
      <c r="D39" s="4">
        <f t="shared" si="4"/>
        <v>6750</v>
      </c>
      <c r="E39" s="15">
        <f t="shared" si="20"/>
        <v>0.1</v>
      </c>
      <c r="F39" s="15">
        <f t="shared" si="5"/>
        <v>27</v>
      </c>
      <c r="H39" s="15">
        <f t="shared" si="21"/>
        <v>0</v>
      </c>
      <c r="I39" s="15">
        <f t="shared" si="6"/>
        <v>0</v>
      </c>
      <c r="J39" s="15"/>
      <c r="K39" s="15">
        <f t="shared" si="7"/>
        <v>0.1</v>
      </c>
      <c r="L39" s="15">
        <f t="shared" si="8"/>
        <v>27</v>
      </c>
      <c r="O39">
        <f t="shared" si="9"/>
        <v>5.19</v>
      </c>
      <c r="P39" s="4">
        <f t="shared" si="22"/>
        <v>77.1815334528343</v>
      </c>
      <c r="R39" s="4">
        <f t="shared" si="23"/>
        <v>463.1525828057613</v>
      </c>
      <c r="T39" s="15">
        <f t="shared" si="24"/>
        <v>6.193228736581338</v>
      </c>
      <c r="V39" s="3">
        <f t="shared" si="10"/>
        <v>0.012396157000714333</v>
      </c>
      <c r="Y39" s="1">
        <f t="shared" si="0"/>
        <v>8.105022705239338E-06</v>
      </c>
      <c r="Z39">
        <f t="shared" si="11"/>
        <v>21.35</v>
      </c>
      <c r="AA39">
        <f t="shared" si="12"/>
        <v>1</v>
      </c>
      <c r="AB39" s="8">
        <f t="shared" si="1"/>
        <v>104.3642481972035</v>
      </c>
      <c r="AC39" s="4">
        <f t="shared" si="2"/>
        <v>340786.56150352367</v>
      </c>
      <c r="AD39" s="5">
        <f t="shared" si="3"/>
        <v>0.013095312289300954</v>
      </c>
      <c r="AE39" s="4">
        <f t="shared" si="13"/>
        <v>27000</v>
      </c>
      <c r="AF39" s="8">
        <f t="shared" si="14"/>
        <v>111.80013160750266</v>
      </c>
      <c r="AG39" s="10">
        <f t="shared" si="15"/>
        <v>19.931265461959327</v>
      </c>
      <c r="AI39" s="15">
        <f t="shared" si="16"/>
        <v>77.1815334528343</v>
      </c>
      <c r="AJ39" s="15">
        <f t="shared" si="25"/>
        <v>77</v>
      </c>
      <c r="AK39" s="15">
        <f t="shared" si="26"/>
        <v>76.60445426989031</v>
      </c>
      <c r="AL39" s="15">
        <f t="shared" si="17"/>
        <v>-0.5770791829439901</v>
      </c>
      <c r="AM39" s="15">
        <f t="shared" si="18"/>
        <v>76.42292081705601</v>
      </c>
    </row>
    <row r="40" spans="1:39" ht="12.75">
      <c r="A40" s="109"/>
      <c r="C40">
        <f t="shared" si="19"/>
        <v>270</v>
      </c>
      <c r="D40" s="4">
        <f t="shared" si="4"/>
        <v>7020</v>
      </c>
      <c r="E40" s="15">
        <f t="shared" si="20"/>
        <v>0.1</v>
      </c>
      <c r="F40" s="15">
        <f t="shared" si="5"/>
        <v>27</v>
      </c>
      <c r="H40" s="15">
        <f t="shared" si="21"/>
        <v>0</v>
      </c>
      <c r="I40" s="15">
        <f t="shared" si="6"/>
        <v>0</v>
      </c>
      <c r="J40" s="15"/>
      <c r="K40" s="15">
        <f t="shared" si="7"/>
        <v>0.1</v>
      </c>
      <c r="L40" s="15">
        <f t="shared" si="8"/>
        <v>27</v>
      </c>
      <c r="O40">
        <f t="shared" si="9"/>
        <v>5.19</v>
      </c>
      <c r="P40" s="4">
        <f t="shared" si="22"/>
        <v>77.19340059111681</v>
      </c>
      <c r="R40" s="4">
        <f t="shared" si="23"/>
        <v>438.379667859436</v>
      </c>
      <c r="T40" s="15">
        <f t="shared" si="24"/>
        <v>6.193228736581338</v>
      </c>
      <c r="V40" s="3">
        <f t="shared" si="10"/>
        <v>0.012393556118113833</v>
      </c>
      <c r="Y40" s="1">
        <f t="shared" si="0"/>
        <v>8.10572837275017E-06</v>
      </c>
      <c r="Z40">
        <f t="shared" si="11"/>
        <v>21.35</v>
      </c>
      <c r="AA40">
        <f t="shared" si="12"/>
        <v>1</v>
      </c>
      <c r="AB40" s="8">
        <f t="shared" si="1"/>
        <v>98.80278636442686</v>
      </c>
      <c r="AC40" s="4">
        <f t="shared" si="2"/>
        <v>322530.6287229542</v>
      </c>
      <c r="AD40" s="5">
        <f t="shared" si="3"/>
        <v>0.013276809809752049</v>
      </c>
      <c r="AE40" s="4">
        <f t="shared" si="13"/>
        <v>27000</v>
      </c>
      <c r="AF40" s="8">
        <f t="shared" si="14"/>
        <v>101.56964758884695</v>
      </c>
      <c r="AG40" s="10">
        <f t="shared" si="15"/>
        <v>19.93024976548344</v>
      </c>
      <c r="AI40" s="15">
        <f t="shared" si="16"/>
        <v>77.19340059111681</v>
      </c>
      <c r="AJ40" s="15">
        <f t="shared" si="25"/>
        <v>77</v>
      </c>
      <c r="AK40" s="15">
        <f t="shared" si="26"/>
        <v>76.60445426989031</v>
      </c>
      <c r="AL40" s="15">
        <f t="shared" si="17"/>
        <v>-0.5889463212265014</v>
      </c>
      <c r="AM40" s="15">
        <f t="shared" si="18"/>
        <v>76.4110536787735</v>
      </c>
    </row>
    <row r="41" spans="1:39" ht="12.75">
      <c r="A41" s="109"/>
      <c r="C41">
        <f t="shared" si="19"/>
        <v>270</v>
      </c>
      <c r="D41" s="4">
        <f t="shared" si="4"/>
        <v>7290</v>
      </c>
      <c r="E41" s="15">
        <f t="shared" si="20"/>
        <v>0.1</v>
      </c>
      <c r="F41" s="15">
        <f t="shared" si="5"/>
        <v>27</v>
      </c>
      <c r="H41" s="15">
        <f t="shared" si="21"/>
        <v>0</v>
      </c>
      <c r="I41" s="15">
        <f t="shared" si="6"/>
        <v>0</v>
      </c>
      <c r="J41" s="15"/>
      <c r="K41" s="15">
        <f t="shared" si="7"/>
        <v>0.1</v>
      </c>
      <c r="L41" s="15">
        <f t="shared" si="8"/>
        <v>27</v>
      </c>
      <c r="O41">
        <f t="shared" si="9"/>
        <v>5.19</v>
      </c>
      <c r="P41" s="4">
        <f t="shared" si="22"/>
        <v>77.20597850988165</v>
      </c>
      <c r="R41" s="4">
        <f t="shared" si="23"/>
        <v>413.60675291311065</v>
      </c>
      <c r="T41" s="15">
        <f t="shared" si="24"/>
        <v>6.193228736581338</v>
      </c>
      <c r="V41" s="3">
        <f t="shared" si="10"/>
        <v>0.012390905564661192</v>
      </c>
      <c r="Y41" s="1">
        <f t="shared" si="0"/>
        <v>8.106476306111602E-06</v>
      </c>
      <c r="Z41">
        <f t="shared" si="11"/>
        <v>21.35</v>
      </c>
      <c r="AA41">
        <f t="shared" si="12"/>
        <v>1</v>
      </c>
      <c r="AB41" s="8">
        <f t="shared" si="1"/>
        <v>93.23936357387703</v>
      </c>
      <c r="AC41" s="4">
        <f t="shared" si="2"/>
        <v>304276.28785580787</v>
      </c>
      <c r="AD41" s="5">
        <f t="shared" si="3"/>
        <v>0.013471608321780614</v>
      </c>
      <c r="AE41" s="4">
        <f t="shared" si="13"/>
        <v>27000</v>
      </c>
      <c r="AF41" s="8">
        <f t="shared" si="14"/>
        <v>91.76075636271025</v>
      </c>
      <c r="AG41" s="10">
        <f t="shared" si="15"/>
        <v>19.929332157919813</v>
      </c>
      <c r="AI41" s="15">
        <f t="shared" si="16"/>
        <v>77.20597850988165</v>
      </c>
      <c r="AJ41" s="15">
        <f t="shared" si="25"/>
        <v>77</v>
      </c>
      <c r="AK41" s="15">
        <f t="shared" si="26"/>
        <v>76.60445426989031</v>
      </c>
      <c r="AL41" s="15">
        <f t="shared" si="17"/>
        <v>-0.6015242399913348</v>
      </c>
      <c r="AM41" s="15">
        <f t="shared" si="18"/>
        <v>76.39847576000867</v>
      </c>
    </row>
    <row r="42" spans="1:39" ht="12.75">
      <c r="A42" s="109"/>
      <c r="C42">
        <f t="shared" si="19"/>
        <v>270</v>
      </c>
      <c r="D42" s="4">
        <f t="shared" si="4"/>
        <v>7560</v>
      </c>
      <c r="E42" s="15">
        <f t="shared" si="20"/>
        <v>0.1</v>
      </c>
      <c r="F42" s="15">
        <f t="shared" si="5"/>
        <v>27</v>
      </c>
      <c r="H42" s="15">
        <f t="shared" si="21"/>
        <v>0</v>
      </c>
      <c r="I42" s="15">
        <f t="shared" si="6"/>
        <v>0</v>
      </c>
      <c r="J42" s="15"/>
      <c r="K42" s="15">
        <f t="shared" si="7"/>
        <v>0.1</v>
      </c>
      <c r="L42" s="15">
        <f t="shared" si="8"/>
        <v>27</v>
      </c>
      <c r="O42">
        <f t="shared" si="9"/>
        <v>5.19</v>
      </c>
      <c r="P42" s="4">
        <f t="shared" si="22"/>
        <v>77.21935777791535</v>
      </c>
      <c r="R42" s="4">
        <f t="shared" si="23"/>
        <v>388.8338379667853</v>
      </c>
      <c r="T42" s="15">
        <f t="shared" si="24"/>
        <v>6.193228736581338</v>
      </c>
      <c r="V42" s="3">
        <f t="shared" si="10"/>
        <v>0.01238818828733823</v>
      </c>
      <c r="Y42" s="1">
        <f t="shared" si="0"/>
        <v>8.107271890905957E-06</v>
      </c>
      <c r="Z42">
        <f t="shared" si="11"/>
        <v>21.35</v>
      </c>
      <c r="AA42">
        <f t="shared" si="12"/>
        <v>1</v>
      </c>
      <c r="AB42" s="8">
        <f t="shared" si="1"/>
        <v>87.67403233470499</v>
      </c>
      <c r="AC42" s="4">
        <f t="shared" si="2"/>
        <v>286023.633956314</v>
      </c>
      <c r="AD42" s="5">
        <f t="shared" si="3"/>
        <v>0.01368157182721036</v>
      </c>
      <c r="AE42" s="4">
        <f t="shared" si="13"/>
        <v>27000</v>
      </c>
      <c r="AF42" s="8">
        <f t="shared" si="14"/>
        <v>82.37997274961975</v>
      </c>
      <c r="AG42" s="10">
        <f t="shared" si="15"/>
        <v>19.928508358192317</v>
      </c>
      <c r="AI42" s="15">
        <f t="shared" si="16"/>
        <v>77.21935777791535</v>
      </c>
      <c r="AJ42" s="15">
        <f t="shared" si="25"/>
        <v>77</v>
      </c>
      <c r="AK42" s="15">
        <f t="shared" si="26"/>
        <v>76.60445426989031</v>
      </c>
      <c r="AL42" s="15">
        <f t="shared" si="17"/>
        <v>-0.6149035080250371</v>
      </c>
      <c r="AM42" s="15">
        <f t="shared" si="18"/>
        <v>76.38509649197496</v>
      </c>
    </row>
    <row r="43" spans="1:39" ht="12.75">
      <c r="A43" s="109"/>
      <c r="C43">
        <f t="shared" si="19"/>
        <v>270</v>
      </c>
      <c r="D43" s="4">
        <f t="shared" si="4"/>
        <v>7830</v>
      </c>
      <c r="E43" s="15">
        <f t="shared" si="20"/>
        <v>0.1</v>
      </c>
      <c r="F43" s="15">
        <f t="shared" si="5"/>
        <v>27</v>
      </c>
      <c r="H43" s="15">
        <f t="shared" si="21"/>
        <v>0</v>
      </c>
      <c r="I43" s="15">
        <f t="shared" si="6"/>
        <v>0</v>
      </c>
      <c r="J43" s="15"/>
      <c r="K43" s="15">
        <f t="shared" si="7"/>
        <v>0.1</v>
      </c>
      <c r="L43" s="15">
        <f t="shared" si="8"/>
        <v>27</v>
      </c>
      <c r="O43">
        <f t="shared" si="9"/>
        <v>5.19</v>
      </c>
      <c r="P43" s="4">
        <f t="shared" si="22"/>
        <v>77.23364745255432</v>
      </c>
      <c r="R43" s="4">
        <f t="shared" si="23"/>
        <v>364.06092302046</v>
      </c>
      <c r="T43" s="15">
        <f t="shared" si="24"/>
        <v>6.193228736581338</v>
      </c>
      <c r="V43" s="3">
        <f t="shared" si="10"/>
        <v>0.01238538425601179</v>
      </c>
      <c r="Y43" s="1">
        <f t="shared" si="0"/>
        <v>8.10812161211869E-06</v>
      </c>
      <c r="Z43">
        <f t="shared" si="11"/>
        <v>21.35</v>
      </c>
      <c r="AA43">
        <f t="shared" si="12"/>
        <v>1</v>
      </c>
      <c r="AB43" s="8">
        <f t="shared" si="1"/>
        <v>82.10683423070874</v>
      </c>
      <c r="AC43" s="4">
        <f t="shared" si="2"/>
        <v>267772.7741722378</v>
      </c>
      <c r="AD43" s="5">
        <f t="shared" si="3"/>
        <v>0.01390896679502074</v>
      </c>
      <c r="AE43" s="4">
        <f t="shared" si="13"/>
        <v>27000</v>
      </c>
      <c r="AF43" s="8">
        <f t="shared" si="14"/>
        <v>73.43428311620711</v>
      </c>
      <c r="AG43" s="10">
        <f t="shared" si="15"/>
        <v>19.927774015361155</v>
      </c>
      <c r="AI43" s="15">
        <f t="shared" si="16"/>
        <v>77.23364745255432</v>
      </c>
      <c r="AJ43" s="15">
        <f t="shared" si="25"/>
        <v>77</v>
      </c>
      <c r="AK43" s="15">
        <f t="shared" si="26"/>
        <v>76.60445426989031</v>
      </c>
      <c r="AL43" s="15">
        <f t="shared" si="17"/>
        <v>-0.6291931826640109</v>
      </c>
      <c r="AM43" s="15">
        <f t="shared" si="18"/>
        <v>76.37080681733599</v>
      </c>
    </row>
    <row r="44" spans="1:39" ht="13.5" thickBot="1">
      <c r="A44" s="110"/>
      <c r="C44">
        <f t="shared" si="19"/>
        <v>270</v>
      </c>
      <c r="D44" s="4">
        <f t="shared" si="4"/>
        <v>8100</v>
      </c>
      <c r="E44" s="15">
        <f t="shared" si="20"/>
        <v>0.1</v>
      </c>
      <c r="F44" s="15">
        <f t="shared" si="5"/>
        <v>27</v>
      </c>
      <c r="H44" s="15">
        <f t="shared" si="21"/>
        <v>0</v>
      </c>
      <c r="I44" s="15">
        <f t="shared" si="6"/>
        <v>0</v>
      </c>
      <c r="J44" s="15"/>
      <c r="K44" s="15">
        <f t="shared" si="7"/>
        <v>0.1</v>
      </c>
      <c r="L44" s="15">
        <f t="shared" si="8"/>
        <v>27</v>
      </c>
      <c r="O44">
        <f t="shared" si="9"/>
        <v>5.19</v>
      </c>
      <c r="P44" s="4">
        <f t="shared" si="22"/>
        <v>77.24898047940741</v>
      </c>
      <c r="R44" s="4">
        <f t="shared" si="23"/>
        <v>339.28800807413467</v>
      </c>
      <c r="T44" s="15">
        <f t="shared" si="24"/>
        <v>6.193228736581338</v>
      </c>
      <c r="V44" s="3">
        <f t="shared" si="10"/>
        <v>0.012382469604143482</v>
      </c>
      <c r="Y44" s="1">
        <f t="shared" si="0"/>
        <v>8.109033375227483E-06</v>
      </c>
      <c r="Z44">
        <f t="shared" si="11"/>
        <v>21.35</v>
      </c>
      <c r="AA44">
        <f t="shared" si="12"/>
        <v>1</v>
      </c>
      <c r="AB44" s="8">
        <f t="shared" si="1"/>
        <v>76.5377985013863</v>
      </c>
      <c r="AC44" s="4">
        <f t="shared" si="2"/>
        <v>249523.8302111731</v>
      </c>
      <c r="AD44" s="5">
        <f t="shared" si="3"/>
        <v>0.014156583919296766</v>
      </c>
      <c r="AE44" s="4">
        <f t="shared" si="13"/>
        <v>27000</v>
      </c>
      <c r="AF44" s="8">
        <f t="shared" si="14"/>
        <v>64.93121954344312</v>
      </c>
      <c r="AG44" s="10">
        <f t="shared" si="15"/>
        <v>19.92712470316572</v>
      </c>
      <c r="AI44" s="15">
        <f t="shared" si="16"/>
        <v>77.24898047940741</v>
      </c>
      <c r="AJ44" s="15">
        <f t="shared" si="25"/>
        <v>77</v>
      </c>
      <c r="AK44" s="15">
        <f t="shared" si="26"/>
        <v>76.60445426989031</v>
      </c>
      <c r="AL44" s="15">
        <f t="shared" si="17"/>
        <v>-0.644526209517096</v>
      </c>
      <c r="AM44" s="15">
        <f t="shared" si="18"/>
        <v>76.3554737904829</v>
      </c>
    </row>
    <row r="45" spans="1:39" ht="12.75">
      <c r="A45" s="108"/>
      <c r="C45">
        <f t="shared" si="19"/>
        <v>270</v>
      </c>
      <c r="D45" s="4">
        <f t="shared" si="4"/>
        <v>8370</v>
      </c>
      <c r="E45" s="15">
        <f t="shared" si="20"/>
        <v>0.1</v>
      </c>
      <c r="F45" s="15">
        <f t="shared" si="5"/>
        <v>27</v>
      </c>
      <c r="H45" s="15">
        <f t="shared" si="21"/>
        <v>0</v>
      </c>
      <c r="I45" s="15">
        <f t="shared" si="6"/>
        <v>0</v>
      </c>
      <c r="J45" s="15"/>
      <c r="K45" s="15">
        <f t="shared" si="7"/>
        <v>0.1</v>
      </c>
      <c r="L45" s="15">
        <f t="shared" si="8"/>
        <v>27</v>
      </c>
      <c r="O45">
        <f t="shared" si="9"/>
        <v>5.19</v>
      </c>
      <c r="P45" s="4">
        <f t="shared" si="22"/>
        <v>77.26552121863551</v>
      </c>
      <c r="R45" s="4">
        <f t="shared" si="23"/>
        <v>314.51509312780934</v>
      </c>
      <c r="T45" s="15">
        <f t="shared" si="24"/>
        <v>6.193228736581338</v>
      </c>
      <c r="V45" s="3">
        <f t="shared" si="10"/>
        <v>0.012379415432212963</v>
      </c>
      <c r="Y45" s="1">
        <f t="shared" si="0"/>
        <v>8.110016953744942E-06</v>
      </c>
      <c r="Z45">
        <f t="shared" si="11"/>
        <v>21.35</v>
      </c>
      <c r="AA45">
        <f t="shared" si="12"/>
        <v>1</v>
      </c>
      <c r="AB45" s="8">
        <f t="shared" si="1"/>
        <v>70.96694022763816</v>
      </c>
      <c r="AC45" s="4">
        <f t="shared" si="2"/>
        <v>231276.94152661157</v>
      </c>
      <c r="AD45" s="5">
        <f t="shared" si="3"/>
        <v>0.014427908883577003</v>
      </c>
      <c r="AE45" s="4">
        <f t="shared" si="13"/>
        <v>27000</v>
      </c>
      <c r="AF45" s="8">
        <f t="shared" si="14"/>
        <v>56.87895111399016</v>
      </c>
      <c r="AG45" s="10">
        <f t="shared" si="15"/>
        <v>19.926555913654582</v>
      </c>
      <c r="AI45" s="15">
        <f t="shared" si="16"/>
        <v>77.26552121863551</v>
      </c>
      <c r="AJ45" s="15">
        <f t="shared" si="25"/>
        <v>77</v>
      </c>
      <c r="AK45" s="15">
        <f t="shared" si="26"/>
        <v>76.60445426989031</v>
      </c>
      <c r="AL45" s="15">
        <f t="shared" si="17"/>
        <v>-0.6610669487452014</v>
      </c>
      <c r="AM45" s="15">
        <f t="shared" si="18"/>
        <v>76.3389330512548</v>
      </c>
    </row>
    <row r="46" spans="1:39" ht="12.75">
      <c r="A46" s="109"/>
      <c r="C46">
        <f t="shared" si="19"/>
        <v>270</v>
      </c>
      <c r="D46" s="4">
        <f t="shared" si="4"/>
        <v>8640</v>
      </c>
      <c r="E46" s="15">
        <f t="shared" si="20"/>
        <v>0.1</v>
      </c>
      <c r="F46" s="15">
        <f t="shared" si="5"/>
        <v>27</v>
      </c>
      <c r="H46" s="15">
        <f t="shared" si="21"/>
        <v>0</v>
      </c>
      <c r="I46" s="15">
        <f t="shared" si="6"/>
        <v>0</v>
      </c>
      <c r="J46" s="15"/>
      <c r="K46" s="15">
        <f t="shared" si="7"/>
        <v>0.1</v>
      </c>
      <c r="L46" s="15">
        <f t="shared" si="8"/>
        <v>27</v>
      </c>
      <c r="O46">
        <f t="shared" si="9"/>
        <v>5.19</v>
      </c>
      <c r="P46" s="4">
        <f t="shared" si="22"/>
        <v>77.28347618871057</v>
      </c>
      <c r="R46" s="4">
        <f t="shared" si="23"/>
        <v>289.742178181484</v>
      </c>
      <c r="T46" s="15">
        <f t="shared" si="24"/>
        <v>6.193228736581338</v>
      </c>
      <c r="V46" s="3">
        <f t="shared" si="10"/>
        <v>0.012376186101151855</v>
      </c>
      <c r="Y46" s="1">
        <f aca="true" t="shared" si="27" ref="Y46:Y88">(3.5155+0.059464*P46)*10^-6</f>
        <v>8.111084628085485E-06</v>
      </c>
      <c r="Z46">
        <f t="shared" si="11"/>
        <v>21.35</v>
      </c>
      <c r="AA46">
        <f t="shared" si="12"/>
        <v>1</v>
      </c>
      <c r="AB46" s="8">
        <f aca="true" t="shared" si="28" ref="AB46:AB88">4*R46/(V46*3.14159*Z46^2*AA46)</f>
        <v>65.39425796733283</v>
      </c>
      <c r="AC46" s="4">
        <f aca="true" t="shared" si="29" ref="AC46:AC88">V46*AB46*Z46/Y46/10</f>
        <v>213032.26950709932</v>
      </c>
      <c r="AD46" s="5">
        <f aca="true" t="shared" si="30" ref="AD46:AD88">4*(0.0791/AC46^0.25)</f>
        <v>0.014727367573379484</v>
      </c>
      <c r="AE46" s="4">
        <f t="shared" si="13"/>
        <v>27000</v>
      </c>
      <c r="AF46" s="8">
        <f t="shared" si="14"/>
        <v>49.28639791810883</v>
      </c>
      <c r="AG46" s="10">
        <f t="shared" si="15"/>
        <v>19.9260630496754</v>
      </c>
      <c r="AI46" s="15">
        <f t="shared" si="16"/>
        <v>77.28347618871057</v>
      </c>
      <c r="AJ46" s="15">
        <f t="shared" si="25"/>
        <v>77</v>
      </c>
      <c r="AK46" s="15">
        <f t="shared" si="26"/>
        <v>76.60445426989031</v>
      </c>
      <c r="AL46" s="15">
        <f t="shared" si="17"/>
        <v>-0.6790219188202542</v>
      </c>
      <c r="AM46" s="15">
        <f t="shared" si="18"/>
        <v>76.32097808117975</v>
      </c>
    </row>
    <row r="47" spans="1:39" ht="12.75">
      <c r="A47" s="109"/>
      <c r="C47">
        <f t="shared" si="19"/>
        <v>270</v>
      </c>
      <c r="D47" s="4">
        <f aca="true" t="shared" si="31" ref="D47:D88">D46+C47</f>
        <v>8910</v>
      </c>
      <c r="E47" s="15">
        <f t="shared" si="20"/>
        <v>0.1</v>
      </c>
      <c r="F47" s="15">
        <f aca="true" t="shared" si="32" ref="F47:F88">E47*C47</f>
        <v>27</v>
      </c>
      <c r="H47" s="15">
        <f t="shared" si="21"/>
        <v>0</v>
      </c>
      <c r="I47" s="15">
        <f aca="true" t="shared" si="33" ref="I47:I88">H47*C47</f>
        <v>0</v>
      </c>
      <c r="J47" s="15"/>
      <c r="K47" s="15">
        <f aca="true" t="shared" si="34" ref="K47:K88">H47+E47</f>
        <v>0.1</v>
      </c>
      <c r="L47" s="15">
        <f aca="true" t="shared" si="35" ref="L47:L88">K47*C47</f>
        <v>27</v>
      </c>
      <c r="O47">
        <f aca="true" t="shared" si="36" ref="O47:O88">O46</f>
        <v>5.19</v>
      </c>
      <c r="P47" s="4">
        <f t="shared" si="22"/>
        <v>77.3031098325348</v>
      </c>
      <c r="R47" s="4">
        <f t="shared" si="23"/>
        <v>264.9692632351587</v>
      </c>
      <c r="T47" s="15">
        <f t="shared" si="24"/>
        <v>6.193228736581338</v>
      </c>
      <c r="V47" s="3">
        <f aca="true" t="shared" si="37" ref="V47:V88">0.00096*(100/P47)*(AG46/2)</f>
        <v>0.012372736730209458</v>
      </c>
      <c r="Y47" s="1">
        <f t="shared" si="27"/>
        <v>8.11225212308185E-06</v>
      </c>
      <c r="Z47">
        <f aca="true" t="shared" si="38" ref="Z47:Z88">Z46</f>
        <v>21.35</v>
      </c>
      <c r="AA47">
        <f aca="true" t="shared" si="39" ref="AA47:AA88">AA46</f>
        <v>1</v>
      </c>
      <c r="AB47" s="8">
        <f t="shared" si="28"/>
        <v>59.81973060679505</v>
      </c>
      <c r="AC47" s="4">
        <f t="shared" si="29"/>
        <v>194790.00309706634</v>
      </c>
      <c r="AD47" s="5">
        <f t="shared" si="30"/>
        <v>0.015060687896333497</v>
      </c>
      <c r="AE47" s="4">
        <f aca="true" t="shared" si="40" ref="AE47:AE88">100*(D47-D46)</f>
        <v>27000</v>
      </c>
      <c r="AF47" s="8">
        <f aca="true" t="shared" si="41" ref="AF47:AF88">AD47*AE47/(Z47)*(V47*AB47^2/2)*0.1</f>
        <v>42.16337583432172</v>
      </c>
      <c r="AG47" s="10">
        <f aca="true" t="shared" si="42" ref="AG47:AG88">AG46-AF47/100000</f>
        <v>19.925641415917056</v>
      </c>
      <c r="AI47" s="15">
        <f t="shared" si="16"/>
        <v>77.3031098325348</v>
      </c>
      <c r="AJ47" s="15">
        <f t="shared" si="25"/>
        <v>77</v>
      </c>
      <c r="AK47" s="15">
        <f t="shared" si="26"/>
        <v>76.60445426989031</v>
      </c>
      <c r="AL47" s="15">
        <f t="shared" si="17"/>
        <v>-0.6986555626444897</v>
      </c>
      <c r="AM47" s="15">
        <f t="shared" si="18"/>
        <v>76.30134443735551</v>
      </c>
    </row>
    <row r="48" spans="1:39" ht="12.75">
      <c r="A48" s="109"/>
      <c r="C48">
        <f aca="true" t="shared" si="43" ref="C48:C88">C47</f>
        <v>270</v>
      </c>
      <c r="D48" s="4">
        <f t="shared" si="31"/>
        <v>9180</v>
      </c>
      <c r="E48" s="15">
        <f aca="true" t="shared" si="44" ref="E48:E88">E47</f>
        <v>0.1</v>
      </c>
      <c r="F48" s="15">
        <f t="shared" si="32"/>
        <v>27</v>
      </c>
      <c r="H48" s="15">
        <f aca="true" t="shared" si="45" ref="H48:H88">H47</f>
        <v>0</v>
      </c>
      <c r="I48" s="15">
        <f t="shared" si="33"/>
        <v>0</v>
      </c>
      <c r="J48" s="15"/>
      <c r="K48" s="15">
        <f t="shared" si="34"/>
        <v>0.1</v>
      </c>
      <c r="L48" s="15">
        <f t="shared" si="35"/>
        <v>27</v>
      </c>
      <c r="O48">
        <f t="shared" si="36"/>
        <v>5.19</v>
      </c>
      <c r="P48" s="4">
        <f t="shared" si="22"/>
        <v>77.32476841384043</v>
      </c>
      <c r="R48" s="4">
        <f t="shared" si="23"/>
        <v>240.19634828883332</v>
      </c>
      <c r="T48" s="15">
        <f t="shared" si="24"/>
        <v>6.193228736581338</v>
      </c>
      <c r="V48" s="3">
        <f t="shared" si="37"/>
        <v>0.012369009407764696</v>
      </c>
      <c r="Y48" s="1">
        <f t="shared" si="27"/>
        <v>8.113540028960606E-06</v>
      </c>
      <c r="Z48">
        <f t="shared" si="38"/>
        <v>21.35</v>
      </c>
      <c r="AA48">
        <f t="shared" si="39"/>
        <v>1</v>
      </c>
      <c r="AB48" s="8">
        <f t="shared" si="28"/>
        <v>54.24331306339128</v>
      </c>
      <c r="AC48" s="4">
        <f t="shared" si="29"/>
        <v>176550.36651823862</v>
      </c>
      <c r="AD48" s="5">
        <f t="shared" si="30"/>
        <v>0.015435450841327669</v>
      </c>
      <c r="AE48" s="4">
        <f t="shared" si="40"/>
        <v>27000</v>
      </c>
      <c r="AF48" s="8">
        <f t="shared" si="41"/>
        <v>35.52078400064056</v>
      </c>
      <c r="AG48" s="10">
        <f t="shared" si="42"/>
        <v>19.92528620807705</v>
      </c>
      <c r="AI48" s="15">
        <f t="shared" si="16"/>
        <v>77.32476841384043</v>
      </c>
      <c r="AJ48" s="15">
        <f t="shared" si="25"/>
        <v>77</v>
      </c>
      <c r="AK48" s="15">
        <f t="shared" si="26"/>
        <v>76.60445426989031</v>
      </c>
      <c r="AL48" s="15">
        <f t="shared" si="17"/>
        <v>-0.7203141439501195</v>
      </c>
      <c r="AM48" s="15">
        <f t="shared" si="18"/>
        <v>76.27968585604988</v>
      </c>
    </row>
    <row r="49" spans="1:39" ht="12.75">
      <c r="A49" s="109"/>
      <c r="C49">
        <f t="shared" si="43"/>
        <v>270</v>
      </c>
      <c r="D49" s="4">
        <f t="shared" si="31"/>
        <v>9450</v>
      </c>
      <c r="E49" s="15">
        <f t="shared" si="44"/>
        <v>0.1</v>
      </c>
      <c r="F49" s="15">
        <f t="shared" si="32"/>
        <v>27</v>
      </c>
      <c r="H49" s="15">
        <f t="shared" si="45"/>
        <v>0</v>
      </c>
      <c r="I49" s="15">
        <f t="shared" si="33"/>
        <v>0</v>
      </c>
      <c r="J49" s="15"/>
      <c r="K49" s="15">
        <f t="shared" si="34"/>
        <v>0.1</v>
      </c>
      <c r="L49" s="15">
        <f t="shared" si="35"/>
        <v>27</v>
      </c>
      <c r="O49">
        <f t="shared" si="36"/>
        <v>5.19</v>
      </c>
      <c r="P49" s="4">
        <f t="shared" si="22"/>
        <v>77.34891765358658</v>
      </c>
      <c r="R49" s="4">
        <f t="shared" si="23"/>
        <v>215.42343334250796</v>
      </c>
      <c r="T49" s="15">
        <f t="shared" si="24"/>
        <v>6.193228736581338</v>
      </c>
      <c r="V49" s="3">
        <f t="shared" si="37"/>
        <v>0.012364927228472352</v>
      </c>
      <c r="Y49" s="1">
        <f t="shared" si="27"/>
        <v>8.114976039352873E-06</v>
      </c>
      <c r="Z49">
        <f t="shared" si="38"/>
        <v>21.35</v>
      </c>
      <c r="AA49">
        <f t="shared" si="39"/>
        <v>1</v>
      </c>
      <c r="AB49" s="8">
        <f t="shared" si="28"/>
        <v>48.66493024910747</v>
      </c>
      <c r="AC49" s="4">
        <f t="shared" si="29"/>
        <v>158313.63017430963</v>
      </c>
      <c r="AD49" s="5">
        <f t="shared" si="30"/>
        <v>0.01586196173823971</v>
      </c>
      <c r="AE49" s="4">
        <f t="shared" si="40"/>
        <v>27000</v>
      </c>
      <c r="AF49" s="8">
        <f t="shared" si="41"/>
        <v>29.370853179488353</v>
      </c>
      <c r="AG49" s="10">
        <f t="shared" si="42"/>
        <v>19.924992499545255</v>
      </c>
      <c r="AI49" s="15">
        <f t="shared" si="16"/>
        <v>77.34891765358658</v>
      </c>
      <c r="AJ49" s="15">
        <f t="shared" si="25"/>
        <v>77</v>
      </c>
      <c r="AK49" s="15">
        <f t="shared" si="26"/>
        <v>76.60445426989031</v>
      </c>
      <c r="AL49" s="15">
        <f t="shared" si="17"/>
        <v>-0.7444633836962709</v>
      </c>
      <c r="AM49" s="15">
        <f t="shared" si="18"/>
        <v>76.25553661630373</v>
      </c>
    </row>
    <row r="50" spans="1:39" ht="12.75">
      <c r="A50" s="109"/>
      <c r="C50">
        <f t="shared" si="43"/>
        <v>270</v>
      </c>
      <c r="D50" s="4">
        <f t="shared" si="31"/>
        <v>9720</v>
      </c>
      <c r="E50" s="15">
        <f t="shared" si="44"/>
        <v>0.1</v>
      </c>
      <c r="F50" s="15">
        <f t="shared" si="32"/>
        <v>27</v>
      </c>
      <c r="H50" s="15">
        <f t="shared" si="45"/>
        <v>0</v>
      </c>
      <c r="I50" s="15">
        <f t="shared" si="33"/>
        <v>0</v>
      </c>
      <c r="J50" s="15"/>
      <c r="K50" s="15">
        <f t="shared" si="34"/>
        <v>0.1</v>
      </c>
      <c r="L50" s="15">
        <f t="shared" si="35"/>
        <v>27</v>
      </c>
      <c r="O50">
        <f t="shared" si="36"/>
        <v>5.19</v>
      </c>
      <c r="P50" s="4">
        <f t="shared" si="22"/>
        <v>77.3762048185127</v>
      </c>
      <c r="R50" s="4">
        <f t="shared" si="23"/>
        <v>190.6505183961826</v>
      </c>
      <c r="T50" s="15">
        <f t="shared" si="24"/>
        <v>6.193228736581338</v>
      </c>
      <c r="V50" s="3">
        <f t="shared" si="37"/>
        <v>0.012360384464725623</v>
      </c>
      <c r="Y50" s="1">
        <f t="shared" si="27"/>
        <v>8.11659864332804E-06</v>
      </c>
      <c r="Z50">
        <f t="shared" si="38"/>
        <v>21.35</v>
      </c>
      <c r="AA50">
        <f t="shared" si="39"/>
        <v>1</v>
      </c>
      <c r="AB50" s="8">
        <f t="shared" si="28"/>
        <v>43.08446829855163</v>
      </c>
      <c r="AC50" s="4">
        <f t="shared" si="29"/>
        <v>140080.12656831357</v>
      </c>
      <c r="AD50" s="5">
        <f t="shared" si="30"/>
        <v>0.016354691012443186</v>
      </c>
      <c r="AE50" s="4">
        <f t="shared" si="40"/>
        <v>27000</v>
      </c>
      <c r="AF50" s="8">
        <f t="shared" si="41"/>
        <v>23.727483909565137</v>
      </c>
      <c r="AG50" s="10">
        <f t="shared" si="42"/>
        <v>19.92475522470616</v>
      </c>
      <c r="AI50" s="15">
        <f t="shared" si="16"/>
        <v>77.3762048185127</v>
      </c>
      <c r="AJ50" s="15">
        <f t="shared" si="25"/>
        <v>77</v>
      </c>
      <c r="AK50" s="15">
        <f t="shared" si="26"/>
        <v>76.60445426989031</v>
      </c>
      <c r="AL50" s="15">
        <f t="shared" si="17"/>
        <v>-0.7717505486223928</v>
      </c>
      <c r="AM50" s="15">
        <f t="shared" si="18"/>
        <v>76.22824945137761</v>
      </c>
    </row>
    <row r="51" spans="1:39" ht="12.75">
      <c r="A51" s="109"/>
      <c r="C51">
        <f t="shared" si="43"/>
        <v>270</v>
      </c>
      <c r="D51" s="4">
        <f t="shared" si="31"/>
        <v>9990</v>
      </c>
      <c r="E51" s="15">
        <f t="shared" si="44"/>
        <v>0.1</v>
      </c>
      <c r="F51" s="15">
        <f t="shared" si="32"/>
        <v>27</v>
      </c>
      <c r="H51" s="15">
        <f t="shared" si="45"/>
        <v>0</v>
      </c>
      <c r="I51" s="15">
        <f t="shared" si="33"/>
        <v>0</v>
      </c>
      <c r="J51" s="15"/>
      <c r="K51" s="15">
        <f t="shared" si="34"/>
        <v>0.1</v>
      </c>
      <c r="L51" s="15">
        <f t="shared" si="35"/>
        <v>27</v>
      </c>
      <c r="O51">
        <f t="shared" si="36"/>
        <v>5.19</v>
      </c>
      <c r="P51" s="4">
        <f t="shared" si="22"/>
        <v>77.4075671726252</v>
      </c>
      <c r="R51" s="4">
        <f t="shared" si="23"/>
        <v>165.87760344985725</v>
      </c>
      <c r="T51" s="15">
        <f t="shared" si="24"/>
        <v>6.193228736581338</v>
      </c>
      <c r="V51" s="3">
        <f t="shared" si="37"/>
        <v>0.012355229413851384</v>
      </c>
      <c r="Y51" s="1">
        <f t="shared" si="27"/>
        <v>8.118463574352985E-06</v>
      </c>
      <c r="Z51">
        <f t="shared" si="38"/>
        <v>21.35</v>
      </c>
      <c r="AA51">
        <f t="shared" si="39"/>
        <v>1</v>
      </c>
      <c r="AB51" s="8">
        <f t="shared" si="28"/>
        <v>37.50176128890122</v>
      </c>
      <c r="AC51" s="4">
        <f t="shared" si="29"/>
        <v>121850.27448799412</v>
      </c>
      <c r="AD51" s="5">
        <f t="shared" si="30"/>
        <v>0.016934791221412015</v>
      </c>
      <c r="AE51" s="4">
        <f t="shared" si="40"/>
        <v>27000</v>
      </c>
      <c r="AF51" s="8">
        <f t="shared" si="41"/>
        <v>18.606722472652116</v>
      </c>
      <c r="AG51" s="10">
        <f t="shared" si="42"/>
        <v>19.924569157481432</v>
      </c>
      <c r="AI51" s="15">
        <f t="shared" si="16"/>
        <v>77.4075671726252</v>
      </c>
      <c r="AJ51" s="15">
        <f t="shared" si="25"/>
        <v>77</v>
      </c>
      <c r="AK51" s="15">
        <f t="shared" si="26"/>
        <v>76.60445426989031</v>
      </c>
      <c r="AL51" s="15">
        <f t="shared" si="17"/>
        <v>-0.8031129027348953</v>
      </c>
      <c r="AM51" s="15">
        <f t="shared" si="18"/>
        <v>76.1968870972651</v>
      </c>
    </row>
    <row r="52" spans="1:39" ht="12.75">
      <c r="A52" s="109"/>
      <c r="C52">
        <f t="shared" si="43"/>
        <v>270</v>
      </c>
      <c r="D52" s="4">
        <f t="shared" si="31"/>
        <v>10260</v>
      </c>
      <c r="E52" s="15">
        <f t="shared" si="44"/>
        <v>0.1</v>
      </c>
      <c r="F52" s="15">
        <f t="shared" si="32"/>
        <v>27</v>
      </c>
      <c r="H52" s="15">
        <f t="shared" si="45"/>
        <v>0</v>
      </c>
      <c r="I52" s="15">
        <f t="shared" si="33"/>
        <v>0</v>
      </c>
      <c r="J52" s="15"/>
      <c r="K52" s="15">
        <f t="shared" si="34"/>
        <v>0.1</v>
      </c>
      <c r="L52" s="15">
        <f t="shared" si="35"/>
        <v>27</v>
      </c>
      <c r="O52">
        <f t="shared" si="36"/>
        <v>5.19</v>
      </c>
      <c r="P52" s="4">
        <f t="shared" si="22"/>
        <v>77.444435629612</v>
      </c>
      <c r="R52" s="4">
        <f t="shared" si="23"/>
        <v>141.1046885035319</v>
      </c>
      <c r="T52" s="15">
        <f t="shared" si="24"/>
        <v>6.193228736581338</v>
      </c>
      <c r="V52" s="3">
        <f t="shared" si="37"/>
        <v>0.012349232217704011</v>
      </c>
      <c r="Y52" s="1">
        <f t="shared" si="27"/>
        <v>8.120655920279247E-06</v>
      </c>
      <c r="Z52">
        <f t="shared" si="38"/>
        <v>21.35</v>
      </c>
      <c r="AA52">
        <f t="shared" si="39"/>
        <v>1</v>
      </c>
      <c r="AB52" s="8">
        <f t="shared" si="28"/>
        <v>31.916570092697636</v>
      </c>
      <c r="AC52" s="4">
        <f t="shared" si="29"/>
        <v>103624.61763074619</v>
      </c>
      <c r="AD52" s="5">
        <f t="shared" si="30"/>
        <v>0.01763480816012277</v>
      </c>
      <c r="AE52" s="4">
        <f t="shared" si="40"/>
        <v>27000</v>
      </c>
      <c r="AF52" s="8">
        <f t="shared" si="41"/>
        <v>14.027459181403305</v>
      </c>
      <c r="AG52" s="10">
        <f t="shared" si="42"/>
        <v>19.924428882889618</v>
      </c>
      <c r="AI52" s="15">
        <f t="shared" si="16"/>
        <v>77.444435629612</v>
      </c>
      <c r="AJ52" s="15">
        <f t="shared" si="25"/>
        <v>77</v>
      </c>
      <c r="AK52" s="15">
        <f t="shared" si="26"/>
        <v>76.60445426989031</v>
      </c>
      <c r="AL52" s="15">
        <f t="shared" si="17"/>
        <v>-0.8399813597216905</v>
      </c>
      <c r="AM52" s="15">
        <f t="shared" si="18"/>
        <v>76.16001864027831</v>
      </c>
    </row>
    <row r="53" spans="1:39" ht="12.75">
      <c r="A53" s="109"/>
      <c r="C53">
        <f t="shared" si="43"/>
        <v>270</v>
      </c>
      <c r="D53" s="4">
        <f t="shared" si="31"/>
        <v>10530</v>
      </c>
      <c r="E53" s="15">
        <f t="shared" si="44"/>
        <v>0.1</v>
      </c>
      <c r="F53" s="15">
        <f t="shared" si="32"/>
        <v>27</v>
      </c>
      <c r="H53" s="15">
        <f t="shared" si="45"/>
        <v>0</v>
      </c>
      <c r="I53" s="15">
        <f t="shared" si="33"/>
        <v>0</v>
      </c>
      <c r="J53" s="15"/>
      <c r="K53" s="15">
        <f t="shared" si="34"/>
        <v>0.1</v>
      </c>
      <c r="L53" s="15">
        <f t="shared" si="35"/>
        <v>27</v>
      </c>
      <c r="O53">
        <f t="shared" si="36"/>
        <v>5.19</v>
      </c>
      <c r="P53" s="4">
        <f t="shared" si="22"/>
        <v>77.4891552447236</v>
      </c>
      <c r="R53" s="4">
        <f t="shared" si="23"/>
        <v>116.33177355720653</v>
      </c>
      <c r="T53" s="15">
        <f t="shared" si="24"/>
        <v>6.193228736581338</v>
      </c>
      <c r="V53" s="3">
        <f t="shared" si="37"/>
        <v>0.012342018484500424</v>
      </c>
      <c r="Y53" s="1">
        <f t="shared" si="27"/>
        <v>8.123315127472243E-06</v>
      </c>
      <c r="Z53">
        <f t="shared" si="38"/>
        <v>21.35</v>
      </c>
      <c r="AA53">
        <f t="shared" si="39"/>
        <v>1</v>
      </c>
      <c r="AB53" s="8">
        <f t="shared" si="28"/>
        <v>26.328546468708964</v>
      </c>
      <c r="AC53" s="4">
        <f t="shared" si="29"/>
        <v>85403.89033999863</v>
      </c>
      <c r="AD53" s="5">
        <f t="shared" si="30"/>
        <v>0.018508322626510088</v>
      </c>
      <c r="AE53" s="4">
        <f t="shared" si="40"/>
        <v>27000</v>
      </c>
      <c r="AF53" s="8">
        <f t="shared" si="41"/>
        <v>10.012508779211075</v>
      </c>
      <c r="AG53" s="10">
        <f t="shared" si="42"/>
        <v>19.924328757801828</v>
      </c>
      <c r="AI53" s="15">
        <f t="shared" si="16"/>
        <v>77.4891552447236</v>
      </c>
      <c r="AJ53" s="15">
        <f t="shared" si="25"/>
        <v>77</v>
      </c>
      <c r="AK53" s="15">
        <f t="shared" si="26"/>
        <v>76.60445426989031</v>
      </c>
      <c r="AL53" s="15">
        <f t="shared" si="17"/>
        <v>-0.8847009748332937</v>
      </c>
      <c r="AM53" s="15">
        <f t="shared" si="18"/>
        <v>76.1152990251667</v>
      </c>
    </row>
    <row r="54" spans="1:39" ht="13.5" thickBot="1">
      <c r="A54" s="110"/>
      <c r="C54">
        <f t="shared" si="43"/>
        <v>270</v>
      </c>
      <c r="D54" s="4">
        <f t="shared" si="31"/>
        <v>10800</v>
      </c>
      <c r="E54" s="15">
        <f t="shared" si="44"/>
        <v>0.1</v>
      </c>
      <c r="F54" s="15">
        <f t="shared" si="32"/>
        <v>27</v>
      </c>
      <c r="H54" s="15">
        <f t="shared" si="45"/>
        <v>0</v>
      </c>
      <c r="I54" s="15">
        <f t="shared" si="33"/>
        <v>0</v>
      </c>
      <c r="J54" s="15"/>
      <c r="K54" s="15">
        <f t="shared" si="34"/>
        <v>0.1</v>
      </c>
      <c r="L54" s="15">
        <f t="shared" si="35"/>
        <v>27</v>
      </c>
      <c r="O54">
        <f t="shared" si="36"/>
        <v>5.19</v>
      </c>
      <c r="P54" s="4">
        <f t="shared" si="22"/>
        <v>77.5459745652968</v>
      </c>
      <c r="R54" s="4">
        <f t="shared" si="23"/>
        <v>91.55885861088117</v>
      </c>
      <c r="T54" s="15">
        <f t="shared" si="24"/>
        <v>6.193228736581338</v>
      </c>
      <c r="V54" s="3">
        <f t="shared" si="37"/>
        <v>0.012332913290930248</v>
      </c>
      <c r="Y54" s="1">
        <f t="shared" si="27"/>
        <v>8.12669383155081E-06</v>
      </c>
      <c r="Z54">
        <f t="shared" si="38"/>
        <v>21.35</v>
      </c>
      <c r="AA54">
        <f t="shared" si="39"/>
        <v>1</v>
      </c>
      <c r="AB54" s="8">
        <f t="shared" si="28"/>
        <v>20.737166691539112</v>
      </c>
      <c r="AC54" s="4">
        <f t="shared" si="29"/>
        <v>67189.13931740836</v>
      </c>
      <c r="AD54" s="5">
        <f t="shared" si="30"/>
        <v>0.019652223985924627</v>
      </c>
      <c r="AE54" s="4">
        <f t="shared" si="40"/>
        <v>27000</v>
      </c>
      <c r="AF54" s="8">
        <f t="shared" si="41"/>
        <v>6.5904050887621795</v>
      </c>
      <c r="AG54" s="10">
        <f t="shared" si="42"/>
        <v>19.92426285375094</v>
      </c>
      <c r="AI54" s="15">
        <f t="shared" si="16"/>
        <v>77.5459745652968</v>
      </c>
      <c r="AJ54" s="15">
        <f t="shared" si="25"/>
        <v>77</v>
      </c>
      <c r="AK54" s="15">
        <f t="shared" si="26"/>
        <v>76.60445426989031</v>
      </c>
      <c r="AL54" s="15">
        <f t="shared" si="17"/>
        <v>-0.941520295406491</v>
      </c>
      <c r="AM54" s="15">
        <f t="shared" si="18"/>
        <v>76.05847970459351</v>
      </c>
    </row>
    <row r="55" spans="1:39" ht="12.75">
      <c r="A55" s="108"/>
      <c r="C55">
        <f t="shared" si="43"/>
        <v>270</v>
      </c>
      <c r="D55" s="4">
        <f t="shared" si="31"/>
        <v>11070</v>
      </c>
      <c r="E55" s="15">
        <f t="shared" si="44"/>
        <v>0.1</v>
      </c>
      <c r="F55" s="15">
        <f t="shared" si="32"/>
        <v>27</v>
      </c>
      <c r="H55" s="15">
        <f t="shared" si="45"/>
        <v>0</v>
      </c>
      <c r="I55" s="15">
        <f t="shared" si="33"/>
        <v>0</v>
      </c>
      <c r="J55" s="15"/>
      <c r="K55" s="15">
        <f t="shared" si="34"/>
        <v>0.1</v>
      </c>
      <c r="L55" s="15">
        <f t="shared" si="35"/>
        <v>27</v>
      </c>
      <c r="O55">
        <f t="shared" si="36"/>
        <v>5.19</v>
      </c>
      <c r="P55" s="4">
        <f t="shared" si="22"/>
        <v>77.62386988058736</v>
      </c>
      <c r="R55" s="4">
        <f t="shared" si="23"/>
        <v>66.78594366455582</v>
      </c>
      <c r="T55" s="15">
        <f t="shared" si="24"/>
        <v>6.193228736581338</v>
      </c>
      <c r="V55" s="3">
        <f t="shared" si="37"/>
        <v>0.012320496497421065</v>
      </c>
      <c r="Y55" s="1">
        <f t="shared" si="27"/>
        <v>8.131325798579247E-06</v>
      </c>
      <c r="Z55">
        <f t="shared" si="38"/>
        <v>21.35</v>
      </c>
      <c r="AA55">
        <f t="shared" si="39"/>
        <v>1</v>
      </c>
      <c r="AB55" s="8">
        <f t="shared" si="28"/>
        <v>15.14159354412806</v>
      </c>
      <c r="AC55" s="4">
        <f t="shared" si="29"/>
        <v>48981.977059839504</v>
      </c>
      <c r="AD55" s="5">
        <f t="shared" si="30"/>
        <v>0.02126803651016224</v>
      </c>
      <c r="AE55" s="4">
        <f t="shared" si="40"/>
        <v>27000</v>
      </c>
      <c r="AF55" s="8">
        <f t="shared" si="41"/>
        <v>3.7986970876443795</v>
      </c>
      <c r="AG55" s="10">
        <f t="shared" si="42"/>
        <v>19.92422486678006</v>
      </c>
      <c r="AI55" s="15">
        <f t="shared" si="16"/>
        <v>77.62386988058736</v>
      </c>
      <c r="AJ55" s="15">
        <f t="shared" si="25"/>
        <v>77</v>
      </c>
      <c r="AK55" s="15">
        <f t="shared" si="26"/>
        <v>76.60445426989031</v>
      </c>
      <c r="AL55" s="15">
        <f t="shared" si="17"/>
        <v>-1.0194156106970524</v>
      </c>
      <c r="AM55" s="15">
        <f t="shared" si="18"/>
        <v>75.98058438930295</v>
      </c>
    </row>
    <row r="56" spans="1:39" ht="12.75">
      <c r="A56" s="109"/>
      <c r="C56">
        <f t="shared" si="43"/>
        <v>270</v>
      </c>
      <c r="D56" s="4">
        <f t="shared" si="31"/>
        <v>11340</v>
      </c>
      <c r="E56" s="15">
        <f t="shared" si="44"/>
        <v>0.1</v>
      </c>
      <c r="F56" s="15">
        <f t="shared" si="32"/>
        <v>27</v>
      </c>
      <c r="H56" s="15">
        <f t="shared" si="45"/>
        <v>0</v>
      </c>
      <c r="I56" s="15">
        <f t="shared" si="33"/>
        <v>0</v>
      </c>
      <c r="J56" s="15"/>
      <c r="K56" s="15">
        <f t="shared" si="34"/>
        <v>0.1</v>
      </c>
      <c r="L56" s="15">
        <f t="shared" si="35"/>
        <v>27</v>
      </c>
      <c r="O56">
        <f t="shared" si="36"/>
        <v>5.19</v>
      </c>
      <c r="P56" s="4">
        <f t="shared" si="22"/>
        <v>77.74769604350503</v>
      </c>
      <c r="R56" s="4">
        <f t="shared" si="23"/>
        <v>42.013028718230466</v>
      </c>
      <c r="T56" s="15">
        <f t="shared" si="24"/>
        <v>6.193228736581338</v>
      </c>
      <c r="V56" s="3">
        <f t="shared" si="37"/>
        <v>0.012300850601029954</v>
      </c>
      <c r="Y56" s="1">
        <f t="shared" si="27"/>
        <v>8.138688997530982E-06</v>
      </c>
      <c r="Z56">
        <f t="shared" si="38"/>
        <v>21.35</v>
      </c>
      <c r="AA56">
        <f t="shared" si="39"/>
        <v>1</v>
      </c>
      <c r="AB56" s="8">
        <f t="shared" si="28"/>
        <v>9.54033388028154</v>
      </c>
      <c r="AC56" s="4">
        <f t="shared" si="29"/>
        <v>30785.211660280707</v>
      </c>
      <c r="AD56" s="5">
        <f t="shared" si="30"/>
        <v>0.023886413098995446</v>
      </c>
      <c r="AE56" s="4">
        <f t="shared" si="40"/>
        <v>27000</v>
      </c>
      <c r="AF56" s="8">
        <f t="shared" si="41"/>
        <v>1.69102146177661</v>
      </c>
      <c r="AG56" s="10">
        <f t="shared" si="42"/>
        <v>19.924207956565443</v>
      </c>
      <c r="AI56" s="15">
        <f t="shared" si="16"/>
        <v>77.74769604350503</v>
      </c>
      <c r="AJ56" s="15">
        <f t="shared" si="25"/>
        <v>77</v>
      </c>
      <c r="AK56" s="15">
        <f t="shared" si="26"/>
        <v>76.60445426989031</v>
      </c>
      <c r="AL56" s="15">
        <f t="shared" si="17"/>
        <v>-1.1432417736147187</v>
      </c>
      <c r="AM56" s="15">
        <f t="shared" si="18"/>
        <v>75.85675822638528</v>
      </c>
    </row>
    <row r="57" spans="1:39" ht="12.75">
      <c r="A57" s="109"/>
      <c r="C57">
        <f t="shared" si="43"/>
        <v>270</v>
      </c>
      <c r="D57" s="4">
        <f t="shared" si="31"/>
        <v>11610</v>
      </c>
      <c r="E57" s="15">
        <f t="shared" si="44"/>
        <v>0.1</v>
      </c>
      <c r="F57" s="15">
        <f t="shared" si="32"/>
        <v>27</v>
      </c>
      <c r="H57" s="15">
        <f t="shared" si="45"/>
        <v>0</v>
      </c>
      <c r="I57" s="15">
        <f t="shared" si="33"/>
        <v>0</v>
      </c>
      <c r="J57" s="15"/>
      <c r="K57" s="15">
        <f t="shared" si="34"/>
        <v>0.1</v>
      </c>
      <c r="L57" s="15">
        <f t="shared" si="35"/>
        <v>27</v>
      </c>
      <c r="O57">
        <f t="shared" si="36"/>
        <v>5.19</v>
      </c>
      <c r="P57" s="4">
        <f t="shared" si="22"/>
        <v>78.04945229683128</v>
      </c>
      <c r="R57" s="4">
        <f t="shared" si="23"/>
        <v>17.240113771905115</v>
      </c>
      <c r="T57" s="15">
        <f t="shared" si="24"/>
        <v>6.193228736581338</v>
      </c>
      <c r="V57" s="3">
        <f t="shared" si="37"/>
        <v>0.012253282422508024</v>
      </c>
      <c r="Y57" s="1">
        <f t="shared" si="27"/>
        <v>8.156632631378774E-06</v>
      </c>
      <c r="Z57">
        <f t="shared" si="38"/>
        <v>21.35</v>
      </c>
      <c r="AA57">
        <f t="shared" si="39"/>
        <v>1</v>
      </c>
      <c r="AB57" s="8">
        <f t="shared" si="28"/>
        <v>3.930089228688102</v>
      </c>
      <c r="AC57" s="4">
        <f t="shared" si="29"/>
        <v>12604.9704291891</v>
      </c>
      <c r="AD57" s="5">
        <f t="shared" si="30"/>
        <v>0.02986077100612261</v>
      </c>
      <c r="AE57" s="4">
        <f t="shared" si="40"/>
        <v>27000</v>
      </c>
      <c r="AF57" s="8">
        <f t="shared" si="41"/>
        <v>0.35735031653795174</v>
      </c>
      <c r="AG57" s="10">
        <f t="shared" si="42"/>
        <v>19.92420438306228</v>
      </c>
      <c r="AI57" s="15">
        <f t="shared" si="16"/>
        <v>78.04945229683128</v>
      </c>
      <c r="AJ57" s="15">
        <f t="shared" si="25"/>
        <v>77</v>
      </c>
      <c r="AK57" s="15">
        <f t="shared" si="26"/>
        <v>76.60445426989031</v>
      </c>
      <c r="AL57" s="15">
        <f t="shared" si="17"/>
        <v>-1.444998026940965</v>
      </c>
      <c r="AM57" s="15">
        <f t="shared" si="18"/>
        <v>75.55500197305903</v>
      </c>
    </row>
    <row r="58" spans="1:39" ht="12.75">
      <c r="A58" s="109"/>
      <c r="C58">
        <f t="shared" si="43"/>
        <v>270</v>
      </c>
      <c r="D58" s="4">
        <f t="shared" si="31"/>
        <v>11880</v>
      </c>
      <c r="E58" s="15">
        <f t="shared" si="44"/>
        <v>0.1</v>
      </c>
      <c r="F58" s="15">
        <f t="shared" si="32"/>
        <v>27</v>
      </c>
      <c r="H58" s="15">
        <f t="shared" si="45"/>
        <v>0</v>
      </c>
      <c r="I58" s="15">
        <f t="shared" si="33"/>
        <v>0</v>
      </c>
      <c r="J58" s="15"/>
      <c r="K58" s="15">
        <f t="shared" si="34"/>
        <v>0.1</v>
      </c>
      <c r="L58" s="15">
        <f t="shared" si="35"/>
        <v>27</v>
      </c>
      <c r="O58">
        <f t="shared" si="36"/>
        <v>5.19</v>
      </c>
      <c r="P58" s="4">
        <f t="shared" si="22"/>
        <v>77.35883110316507</v>
      </c>
      <c r="R58" s="4">
        <f t="shared" si="23"/>
        <v>-7.532801174420236</v>
      </c>
      <c r="T58" s="15">
        <f t="shared" si="24"/>
        <v>6.193228736581338</v>
      </c>
      <c r="V58" s="3">
        <f t="shared" si="37"/>
        <v>0.012362671420300978</v>
      </c>
      <c r="Y58" s="1">
        <f t="shared" si="27"/>
        <v>8.115565532718607E-06</v>
      </c>
      <c r="Z58">
        <f t="shared" si="38"/>
        <v>21.35</v>
      </c>
      <c r="AA58">
        <f t="shared" si="39"/>
        <v>1</v>
      </c>
      <c r="AB58" s="8">
        <f t="shared" si="28"/>
        <v>-1.7019974486413445</v>
      </c>
      <c r="AC58" s="4">
        <f t="shared" si="29"/>
        <v>-5535.416725365758</v>
      </c>
      <c r="AD58" s="5" t="e">
        <f t="shared" si="30"/>
        <v>#NUM!</v>
      </c>
      <c r="AE58" s="4">
        <f t="shared" si="40"/>
        <v>27000</v>
      </c>
      <c r="AF58" s="8" t="e">
        <f t="shared" si="41"/>
        <v>#NUM!</v>
      </c>
      <c r="AG58" s="10" t="e">
        <f t="shared" si="42"/>
        <v>#NUM!</v>
      </c>
      <c r="AI58" s="15">
        <f t="shared" si="16"/>
        <v>77.35883110316507</v>
      </c>
      <c r="AJ58" s="15">
        <f t="shared" si="25"/>
        <v>77</v>
      </c>
      <c r="AK58" s="15">
        <f t="shared" si="26"/>
        <v>76.60445426989031</v>
      </c>
      <c r="AL58" s="15">
        <f t="shared" si="17"/>
        <v>-0.7543768332747618</v>
      </c>
      <c r="AM58" s="15">
        <f t="shared" si="18"/>
        <v>76.24562316672524</v>
      </c>
    </row>
    <row r="59" spans="1:39" ht="12.75">
      <c r="A59" s="109"/>
      <c r="C59">
        <f t="shared" si="43"/>
        <v>270</v>
      </c>
      <c r="D59" s="4">
        <f t="shared" si="31"/>
        <v>12150</v>
      </c>
      <c r="E59" s="15">
        <f t="shared" si="44"/>
        <v>0.1</v>
      </c>
      <c r="F59" s="15">
        <f t="shared" si="32"/>
        <v>27</v>
      </c>
      <c r="H59" s="15">
        <f t="shared" si="45"/>
        <v>0</v>
      </c>
      <c r="I59" s="15">
        <f t="shared" si="33"/>
        <v>0</v>
      </c>
      <c r="J59" s="15"/>
      <c r="K59" s="15">
        <f t="shared" si="34"/>
        <v>0.1</v>
      </c>
      <c r="L59" s="15">
        <f t="shared" si="35"/>
        <v>27</v>
      </c>
      <c r="O59">
        <f t="shared" si="36"/>
        <v>5.19</v>
      </c>
      <c r="P59" s="4">
        <f t="shared" si="22"/>
        <v>77.19779730594837</v>
      </c>
      <c r="R59" s="4">
        <f t="shared" si="23"/>
        <v>-32.305716120745586</v>
      </c>
      <c r="T59" s="15">
        <f t="shared" si="24"/>
        <v>6.193228736581338</v>
      </c>
      <c r="V59" s="3" t="e">
        <f t="shared" si="37"/>
        <v>#NUM!</v>
      </c>
      <c r="Y59" s="1">
        <f t="shared" si="27"/>
        <v>8.105989819000914E-06</v>
      </c>
      <c r="Z59">
        <f t="shared" si="38"/>
        <v>21.35</v>
      </c>
      <c r="AA59">
        <f t="shared" si="39"/>
        <v>1</v>
      </c>
      <c r="AB59" s="8" t="e">
        <f t="shared" si="28"/>
        <v>#NUM!</v>
      </c>
      <c r="AC59" s="4" t="e">
        <f t="shared" si="29"/>
        <v>#NUM!</v>
      </c>
      <c r="AD59" s="5" t="e">
        <f t="shared" si="30"/>
        <v>#NUM!</v>
      </c>
      <c r="AE59" s="4">
        <f t="shared" si="40"/>
        <v>27000</v>
      </c>
      <c r="AF59" s="8" t="e">
        <f t="shared" si="41"/>
        <v>#NUM!</v>
      </c>
      <c r="AG59" s="10" t="e">
        <f t="shared" si="42"/>
        <v>#NUM!</v>
      </c>
      <c r="AI59" s="15">
        <f t="shared" si="16"/>
        <v>77.19779730594837</v>
      </c>
      <c r="AJ59" s="15">
        <f t="shared" si="25"/>
        <v>77</v>
      </c>
      <c r="AK59" s="15">
        <f t="shared" si="26"/>
        <v>76.60445426989031</v>
      </c>
      <c r="AL59" s="15">
        <f t="shared" si="17"/>
        <v>-0.5933430360580587</v>
      </c>
      <c r="AM59" s="15">
        <f t="shared" si="18"/>
        <v>76.40665696394194</v>
      </c>
    </row>
    <row r="60" spans="1:39" ht="12.75">
      <c r="A60" s="109"/>
      <c r="C60">
        <f t="shared" si="43"/>
        <v>270</v>
      </c>
      <c r="D60" s="4">
        <f t="shared" si="31"/>
        <v>12420</v>
      </c>
      <c r="E60" s="15">
        <f t="shared" si="44"/>
        <v>0.1</v>
      </c>
      <c r="F60" s="15">
        <f t="shared" si="32"/>
        <v>27</v>
      </c>
      <c r="H60" s="15">
        <f t="shared" si="45"/>
        <v>0</v>
      </c>
      <c r="I60" s="15">
        <f t="shared" si="33"/>
        <v>0</v>
      </c>
      <c r="J60" s="15"/>
      <c r="K60" s="15">
        <f t="shared" si="34"/>
        <v>0.1</v>
      </c>
      <c r="L60" s="15">
        <f t="shared" si="35"/>
        <v>27</v>
      </c>
      <c r="O60">
        <f t="shared" si="36"/>
        <v>5.19</v>
      </c>
      <c r="P60" s="4">
        <f t="shared" si="22"/>
        <v>77.10665440287812</v>
      </c>
      <c r="R60" s="4">
        <f t="shared" si="23"/>
        <v>-57.07863106707094</v>
      </c>
      <c r="T60" s="15">
        <f t="shared" si="24"/>
        <v>6.193228736581338</v>
      </c>
      <c r="V60" s="3" t="e">
        <f t="shared" si="37"/>
        <v>#NUM!</v>
      </c>
      <c r="Y60" s="1">
        <f t="shared" si="27"/>
        <v>8.100570097412744E-06</v>
      </c>
      <c r="Z60">
        <f t="shared" si="38"/>
        <v>21.35</v>
      </c>
      <c r="AA60">
        <f t="shared" si="39"/>
        <v>1</v>
      </c>
      <c r="AB60" s="8" t="e">
        <f t="shared" si="28"/>
        <v>#NUM!</v>
      </c>
      <c r="AC60" s="4" t="e">
        <f t="shared" si="29"/>
        <v>#NUM!</v>
      </c>
      <c r="AD60" s="5" t="e">
        <f t="shared" si="30"/>
        <v>#NUM!</v>
      </c>
      <c r="AE60" s="4">
        <f t="shared" si="40"/>
        <v>27000</v>
      </c>
      <c r="AF60" s="8" t="e">
        <f t="shared" si="41"/>
        <v>#NUM!</v>
      </c>
      <c r="AG60" s="10" t="e">
        <f t="shared" si="42"/>
        <v>#NUM!</v>
      </c>
      <c r="AI60" s="15">
        <f t="shared" si="16"/>
        <v>77.10665440287812</v>
      </c>
      <c r="AJ60" s="15">
        <f t="shared" si="25"/>
        <v>77</v>
      </c>
      <c r="AK60" s="15">
        <f t="shared" si="26"/>
        <v>76.60445426989031</v>
      </c>
      <c r="AL60" s="15">
        <f t="shared" si="17"/>
        <v>-0.5022001329878094</v>
      </c>
      <c r="AM60" s="15">
        <f t="shared" si="18"/>
        <v>76.49779986701219</v>
      </c>
    </row>
    <row r="61" spans="1:39" ht="12.75">
      <c r="A61" s="109"/>
      <c r="C61">
        <f t="shared" si="43"/>
        <v>270</v>
      </c>
      <c r="D61" s="4">
        <f t="shared" si="31"/>
        <v>12690</v>
      </c>
      <c r="E61" s="15">
        <f t="shared" si="44"/>
        <v>0.1</v>
      </c>
      <c r="F61" s="15">
        <f t="shared" si="32"/>
        <v>27</v>
      </c>
      <c r="H61" s="15">
        <f t="shared" si="45"/>
        <v>0</v>
      </c>
      <c r="I61" s="15">
        <f t="shared" si="33"/>
        <v>0</v>
      </c>
      <c r="J61" s="15"/>
      <c r="K61" s="15">
        <f t="shared" si="34"/>
        <v>0.1</v>
      </c>
      <c r="L61" s="15">
        <f t="shared" si="35"/>
        <v>27</v>
      </c>
      <c r="O61">
        <f t="shared" si="36"/>
        <v>5.19</v>
      </c>
      <c r="P61" s="4">
        <f t="shared" si="22"/>
        <v>77.04309650578138</v>
      </c>
      <c r="R61" s="4">
        <f t="shared" si="23"/>
        <v>-81.85154601339629</v>
      </c>
      <c r="T61" s="15">
        <f t="shared" si="24"/>
        <v>6.193228736581338</v>
      </c>
      <c r="V61" s="3" t="e">
        <f t="shared" si="37"/>
        <v>#NUM!</v>
      </c>
      <c r="Y61" s="1">
        <f t="shared" si="27"/>
        <v>8.096790690619783E-06</v>
      </c>
      <c r="Z61">
        <f t="shared" si="38"/>
        <v>21.35</v>
      </c>
      <c r="AA61">
        <f t="shared" si="39"/>
        <v>1</v>
      </c>
      <c r="AB61" s="8" t="e">
        <f t="shared" si="28"/>
        <v>#NUM!</v>
      </c>
      <c r="AC61" s="4" t="e">
        <f t="shared" si="29"/>
        <v>#NUM!</v>
      </c>
      <c r="AD61" s="5" t="e">
        <f t="shared" si="30"/>
        <v>#NUM!</v>
      </c>
      <c r="AE61" s="4">
        <f t="shared" si="40"/>
        <v>27000</v>
      </c>
      <c r="AF61" s="8" t="e">
        <f t="shared" si="41"/>
        <v>#NUM!</v>
      </c>
      <c r="AG61" s="10" t="e">
        <f t="shared" si="42"/>
        <v>#NUM!</v>
      </c>
      <c r="AI61" s="15">
        <f t="shared" si="16"/>
        <v>77.04309650578138</v>
      </c>
      <c r="AJ61" s="15">
        <f t="shared" si="25"/>
        <v>77</v>
      </c>
      <c r="AK61" s="15">
        <f t="shared" si="26"/>
        <v>76.60445426989031</v>
      </c>
      <c r="AL61" s="15">
        <f t="shared" si="17"/>
        <v>-0.43864223589106643</v>
      </c>
      <c r="AM61" s="15">
        <f t="shared" si="18"/>
        <v>76.56135776410893</v>
      </c>
    </row>
    <row r="62" spans="1:39" ht="12.75">
      <c r="A62" s="109"/>
      <c r="C62">
        <f t="shared" si="43"/>
        <v>270</v>
      </c>
      <c r="D62" s="4">
        <f t="shared" si="31"/>
        <v>12960</v>
      </c>
      <c r="E62" s="15">
        <f t="shared" si="44"/>
        <v>0.1</v>
      </c>
      <c r="F62" s="15">
        <f t="shared" si="32"/>
        <v>27</v>
      </c>
      <c r="H62" s="15">
        <f t="shared" si="45"/>
        <v>0</v>
      </c>
      <c r="I62" s="15">
        <f t="shared" si="33"/>
        <v>0</v>
      </c>
      <c r="J62" s="15"/>
      <c r="K62" s="15">
        <f t="shared" si="34"/>
        <v>0.1</v>
      </c>
      <c r="L62" s="15">
        <f t="shared" si="35"/>
        <v>27</v>
      </c>
      <c r="O62">
        <f t="shared" si="36"/>
        <v>5.19</v>
      </c>
      <c r="P62" s="4">
        <f t="shared" si="22"/>
        <v>76.99430552393817</v>
      </c>
      <c r="R62" s="4">
        <f t="shared" si="23"/>
        <v>-106.62446095972163</v>
      </c>
      <c r="T62" s="15">
        <f t="shared" si="24"/>
        <v>6.193228736581338</v>
      </c>
      <c r="V62" s="3" t="e">
        <f t="shared" si="37"/>
        <v>#NUM!</v>
      </c>
      <c r="Y62" s="1">
        <f t="shared" si="27"/>
        <v>8.093889383675458E-06</v>
      </c>
      <c r="Z62">
        <f t="shared" si="38"/>
        <v>21.35</v>
      </c>
      <c r="AA62">
        <f t="shared" si="39"/>
        <v>1</v>
      </c>
      <c r="AB62" s="8" t="e">
        <f t="shared" si="28"/>
        <v>#NUM!</v>
      </c>
      <c r="AC62" s="4" t="e">
        <f t="shared" si="29"/>
        <v>#NUM!</v>
      </c>
      <c r="AD62" s="5" t="e">
        <f t="shared" si="30"/>
        <v>#NUM!</v>
      </c>
      <c r="AE62" s="4">
        <f t="shared" si="40"/>
        <v>27000</v>
      </c>
      <c r="AF62" s="8" t="e">
        <f t="shared" si="41"/>
        <v>#NUM!</v>
      </c>
      <c r="AG62" s="10" t="e">
        <f t="shared" si="42"/>
        <v>#NUM!</v>
      </c>
      <c r="AI62" s="15">
        <f t="shared" si="16"/>
        <v>76.99430552393817</v>
      </c>
      <c r="AJ62" s="15">
        <f t="shared" si="25"/>
        <v>77</v>
      </c>
      <c r="AK62" s="15">
        <f t="shared" si="26"/>
        <v>76.60445426989031</v>
      </c>
      <c r="AL62" s="15">
        <f t="shared" si="17"/>
        <v>-0.3898512540478549</v>
      </c>
      <c r="AM62" s="15">
        <f t="shared" si="18"/>
        <v>76.61014874595215</v>
      </c>
    </row>
    <row r="63" spans="1:39" ht="12.75">
      <c r="A63" s="109"/>
      <c r="C63">
        <f t="shared" si="43"/>
        <v>270</v>
      </c>
      <c r="D63" s="4">
        <f t="shared" si="31"/>
        <v>13230</v>
      </c>
      <c r="E63" s="15">
        <f t="shared" si="44"/>
        <v>0.1</v>
      </c>
      <c r="F63" s="15">
        <f t="shared" si="32"/>
        <v>27</v>
      </c>
      <c r="H63" s="15">
        <f t="shared" si="45"/>
        <v>0</v>
      </c>
      <c r="I63" s="15">
        <f t="shared" si="33"/>
        <v>0</v>
      </c>
      <c r="J63" s="15"/>
      <c r="K63" s="15">
        <f t="shared" si="34"/>
        <v>0.1</v>
      </c>
      <c r="L63" s="15">
        <f t="shared" si="35"/>
        <v>27</v>
      </c>
      <c r="O63">
        <f t="shared" si="36"/>
        <v>5.19</v>
      </c>
      <c r="P63" s="4">
        <f t="shared" si="22"/>
        <v>76.95471331669007</v>
      </c>
      <c r="R63" s="4">
        <f t="shared" si="23"/>
        <v>-131.397375906047</v>
      </c>
      <c r="T63" s="15">
        <f t="shared" si="24"/>
        <v>6.193228736581338</v>
      </c>
      <c r="V63" s="3" t="e">
        <f t="shared" si="37"/>
        <v>#NUM!</v>
      </c>
      <c r="Y63" s="1">
        <f t="shared" si="27"/>
        <v>8.091535072663658E-06</v>
      </c>
      <c r="Z63">
        <f t="shared" si="38"/>
        <v>21.35</v>
      </c>
      <c r="AA63">
        <f t="shared" si="39"/>
        <v>1</v>
      </c>
      <c r="AB63" s="8" t="e">
        <f t="shared" si="28"/>
        <v>#NUM!</v>
      </c>
      <c r="AC63" s="4" t="e">
        <f t="shared" si="29"/>
        <v>#NUM!</v>
      </c>
      <c r="AD63" s="5" t="e">
        <f t="shared" si="30"/>
        <v>#NUM!</v>
      </c>
      <c r="AE63" s="4">
        <f t="shared" si="40"/>
        <v>27000</v>
      </c>
      <c r="AF63" s="8" t="e">
        <f t="shared" si="41"/>
        <v>#NUM!</v>
      </c>
      <c r="AG63" s="10" t="e">
        <f t="shared" si="42"/>
        <v>#NUM!</v>
      </c>
      <c r="AI63" s="15">
        <f t="shared" si="16"/>
        <v>76.95471331669007</v>
      </c>
      <c r="AJ63" s="15">
        <f t="shared" si="25"/>
        <v>77</v>
      </c>
      <c r="AK63" s="15">
        <f t="shared" si="26"/>
        <v>76.60445426989031</v>
      </c>
      <c r="AL63" s="15">
        <f t="shared" si="17"/>
        <v>-0.3502590467997635</v>
      </c>
      <c r="AM63" s="15">
        <f t="shared" si="18"/>
        <v>76.64974095320024</v>
      </c>
    </row>
    <row r="64" spans="1:39" ht="13.5" thickBot="1">
      <c r="A64" s="110"/>
      <c r="C64">
        <f t="shared" si="43"/>
        <v>270</v>
      </c>
      <c r="D64" s="4">
        <f t="shared" si="31"/>
        <v>13500</v>
      </c>
      <c r="E64" s="15">
        <f t="shared" si="44"/>
        <v>0.1</v>
      </c>
      <c r="F64" s="15">
        <f t="shared" si="32"/>
        <v>27</v>
      </c>
      <c r="H64" s="15">
        <f t="shared" si="45"/>
        <v>0</v>
      </c>
      <c r="I64" s="15">
        <f t="shared" si="33"/>
        <v>0</v>
      </c>
      <c r="J64" s="15"/>
      <c r="K64" s="15">
        <f t="shared" si="34"/>
        <v>0.1</v>
      </c>
      <c r="L64" s="15">
        <f t="shared" si="35"/>
        <v>27</v>
      </c>
      <c r="O64">
        <f t="shared" si="36"/>
        <v>5.19</v>
      </c>
      <c r="P64" s="4">
        <f t="shared" si="22"/>
        <v>76.92140152537347</v>
      </c>
      <c r="R64" s="4">
        <f t="shared" si="23"/>
        <v>-156.17029085237235</v>
      </c>
      <c r="T64" s="15">
        <f t="shared" si="24"/>
        <v>6.193228736581338</v>
      </c>
      <c r="V64" s="3" t="e">
        <f t="shared" si="37"/>
        <v>#NUM!</v>
      </c>
      <c r="Y64" s="1">
        <f t="shared" si="27"/>
        <v>8.089554220304808E-06</v>
      </c>
      <c r="Z64">
        <f t="shared" si="38"/>
        <v>21.35</v>
      </c>
      <c r="AA64">
        <f t="shared" si="39"/>
        <v>1</v>
      </c>
      <c r="AB64" s="8" t="e">
        <f t="shared" si="28"/>
        <v>#NUM!</v>
      </c>
      <c r="AC64" s="4" t="e">
        <f t="shared" si="29"/>
        <v>#NUM!</v>
      </c>
      <c r="AD64" s="5" t="e">
        <f t="shared" si="30"/>
        <v>#NUM!</v>
      </c>
      <c r="AE64" s="4">
        <f t="shared" si="40"/>
        <v>27000</v>
      </c>
      <c r="AF64" s="8" t="e">
        <f t="shared" si="41"/>
        <v>#NUM!</v>
      </c>
      <c r="AG64" s="10" t="e">
        <f t="shared" si="42"/>
        <v>#NUM!</v>
      </c>
      <c r="AI64" s="15">
        <f t="shared" si="16"/>
        <v>76.92140152537347</v>
      </c>
      <c r="AJ64" s="15">
        <f t="shared" si="25"/>
        <v>77</v>
      </c>
      <c r="AK64" s="15">
        <f t="shared" si="26"/>
        <v>76.60445426989031</v>
      </c>
      <c r="AL64" s="15">
        <f t="shared" si="17"/>
        <v>-0.31694725548315716</v>
      </c>
      <c r="AM64" s="15">
        <f t="shared" si="18"/>
        <v>76.68305274451684</v>
      </c>
    </row>
    <row r="65" spans="1:39" ht="12.75">
      <c r="A65" s="108"/>
      <c r="C65">
        <f t="shared" si="43"/>
        <v>270</v>
      </c>
      <c r="D65" s="4">
        <f t="shared" si="31"/>
        <v>13770</v>
      </c>
      <c r="E65" s="15">
        <f t="shared" si="44"/>
        <v>0.1</v>
      </c>
      <c r="F65" s="15">
        <f t="shared" si="32"/>
        <v>27</v>
      </c>
      <c r="H65" s="15">
        <f t="shared" si="45"/>
        <v>0</v>
      </c>
      <c r="I65" s="15">
        <f t="shared" si="33"/>
        <v>0</v>
      </c>
      <c r="J65" s="15"/>
      <c r="K65" s="15">
        <f t="shared" si="34"/>
        <v>0.1</v>
      </c>
      <c r="L65" s="15">
        <f t="shared" si="35"/>
        <v>27</v>
      </c>
      <c r="O65">
        <f t="shared" si="36"/>
        <v>5.19</v>
      </c>
      <c r="P65" s="4">
        <f t="shared" si="22"/>
        <v>76.8926504478419</v>
      </c>
      <c r="R65" s="4">
        <f t="shared" si="23"/>
        <v>-180.9432057986977</v>
      </c>
      <c r="T65" s="15">
        <f t="shared" si="24"/>
        <v>6.193228736581338</v>
      </c>
      <c r="V65" s="3" t="e">
        <f t="shared" si="37"/>
        <v>#NUM!</v>
      </c>
      <c r="Y65" s="1">
        <f t="shared" si="27"/>
        <v>8.087844566230471E-06</v>
      </c>
      <c r="Z65">
        <f t="shared" si="38"/>
        <v>21.35</v>
      </c>
      <c r="AA65">
        <f t="shared" si="39"/>
        <v>1</v>
      </c>
      <c r="AB65" s="8" t="e">
        <f t="shared" si="28"/>
        <v>#NUM!</v>
      </c>
      <c r="AC65" s="4" t="e">
        <f t="shared" si="29"/>
        <v>#NUM!</v>
      </c>
      <c r="AD65" s="5" t="e">
        <f t="shared" si="30"/>
        <v>#NUM!</v>
      </c>
      <c r="AE65" s="4">
        <f t="shared" si="40"/>
        <v>27000</v>
      </c>
      <c r="AF65" s="8" t="e">
        <f t="shared" si="41"/>
        <v>#NUM!</v>
      </c>
      <c r="AG65" s="10" t="e">
        <f t="shared" si="42"/>
        <v>#NUM!</v>
      </c>
      <c r="AI65" s="15">
        <f t="shared" si="16"/>
        <v>76.8926504478419</v>
      </c>
      <c r="AJ65" s="15">
        <f t="shared" si="25"/>
        <v>77</v>
      </c>
      <c r="AK65" s="15">
        <f t="shared" si="26"/>
        <v>76.60445426989031</v>
      </c>
      <c r="AL65" s="15">
        <f t="shared" si="17"/>
        <v>-0.28819617795159047</v>
      </c>
      <c r="AM65" s="15">
        <f t="shared" si="18"/>
        <v>76.71180382204841</v>
      </c>
    </row>
    <row r="66" spans="1:39" ht="12.75">
      <c r="A66" s="109"/>
      <c r="C66">
        <f t="shared" si="43"/>
        <v>270</v>
      </c>
      <c r="D66" s="4">
        <f t="shared" si="31"/>
        <v>14040</v>
      </c>
      <c r="E66" s="15">
        <f t="shared" si="44"/>
        <v>0.1</v>
      </c>
      <c r="F66" s="15">
        <f t="shared" si="32"/>
        <v>27</v>
      </c>
      <c r="H66" s="15">
        <f t="shared" si="45"/>
        <v>0</v>
      </c>
      <c r="I66" s="15">
        <f t="shared" si="33"/>
        <v>0</v>
      </c>
      <c r="J66" s="15"/>
      <c r="K66" s="15">
        <f t="shared" si="34"/>
        <v>0.1</v>
      </c>
      <c r="L66" s="15">
        <f t="shared" si="35"/>
        <v>27</v>
      </c>
      <c r="O66">
        <f t="shared" si="36"/>
        <v>5.19</v>
      </c>
      <c r="P66" s="4">
        <f t="shared" si="22"/>
        <v>76.86736165608417</v>
      </c>
      <c r="R66" s="4">
        <f t="shared" si="23"/>
        <v>-205.71612074502306</v>
      </c>
      <c r="T66" s="15">
        <f t="shared" si="24"/>
        <v>6.193228736581338</v>
      </c>
      <c r="V66" s="3" t="e">
        <f t="shared" si="37"/>
        <v>#NUM!</v>
      </c>
      <c r="Y66" s="1">
        <f t="shared" si="27"/>
        <v>8.086340793517389E-06</v>
      </c>
      <c r="Z66">
        <f t="shared" si="38"/>
        <v>21.35</v>
      </c>
      <c r="AA66">
        <f t="shared" si="39"/>
        <v>1</v>
      </c>
      <c r="AB66" s="8" t="e">
        <f t="shared" si="28"/>
        <v>#NUM!</v>
      </c>
      <c r="AC66" s="4" t="e">
        <f t="shared" si="29"/>
        <v>#NUM!</v>
      </c>
      <c r="AD66" s="5" t="e">
        <f t="shared" si="30"/>
        <v>#NUM!</v>
      </c>
      <c r="AE66" s="4">
        <f t="shared" si="40"/>
        <v>27000</v>
      </c>
      <c r="AF66" s="8" t="e">
        <f t="shared" si="41"/>
        <v>#NUM!</v>
      </c>
      <c r="AG66" s="10" t="e">
        <f t="shared" si="42"/>
        <v>#NUM!</v>
      </c>
      <c r="AI66" s="15">
        <f t="shared" si="16"/>
        <v>76.86736165608417</v>
      </c>
      <c r="AJ66" s="15">
        <f t="shared" si="25"/>
        <v>77</v>
      </c>
      <c r="AK66" s="15">
        <f t="shared" si="26"/>
        <v>76.60445426989031</v>
      </c>
      <c r="AL66" s="15">
        <f t="shared" si="17"/>
        <v>-0.26290738619385934</v>
      </c>
      <c r="AM66" s="15">
        <f t="shared" si="18"/>
        <v>76.73709261380614</v>
      </c>
    </row>
    <row r="67" spans="1:39" ht="12.75">
      <c r="A67" s="109"/>
      <c r="C67">
        <f t="shared" si="43"/>
        <v>270</v>
      </c>
      <c r="D67" s="4">
        <f t="shared" si="31"/>
        <v>14310</v>
      </c>
      <c r="E67" s="15">
        <f t="shared" si="44"/>
        <v>0.1</v>
      </c>
      <c r="F67" s="15">
        <f t="shared" si="32"/>
        <v>27</v>
      </c>
      <c r="H67" s="15">
        <f t="shared" si="45"/>
        <v>0</v>
      </c>
      <c r="I67" s="15">
        <f t="shared" si="33"/>
        <v>0</v>
      </c>
      <c r="J67" s="15"/>
      <c r="K67" s="15">
        <f t="shared" si="34"/>
        <v>0.1</v>
      </c>
      <c r="L67" s="15">
        <f t="shared" si="35"/>
        <v>27</v>
      </c>
      <c r="O67">
        <f t="shared" si="36"/>
        <v>5.19</v>
      </c>
      <c r="P67" s="4">
        <f t="shared" si="22"/>
        <v>76.84479089855063</v>
      </c>
      <c r="R67" s="4">
        <f t="shared" si="23"/>
        <v>-230.48903569134842</v>
      </c>
      <c r="T67" s="15">
        <f t="shared" si="24"/>
        <v>6.193228736581338</v>
      </c>
      <c r="V67" s="3" t="e">
        <f t="shared" si="37"/>
        <v>#NUM!</v>
      </c>
      <c r="Y67" s="1">
        <f t="shared" si="27"/>
        <v>8.084998645991413E-06</v>
      </c>
      <c r="Z67">
        <f t="shared" si="38"/>
        <v>21.35</v>
      </c>
      <c r="AA67">
        <f t="shared" si="39"/>
        <v>1</v>
      </c>
      <c r="AB67" s="8" t="e">
        <f t="shared" si="28"/>
        <v>#NUM!</v>
      </c>
      <c r="AC67" s="4" t="e">
        <f t="shared" si="29"/>
        <v>#NUM!</v>
      </c>
      <c r="AD67" s="5" t="e">
        <f t="shared" si="30"/>
        <v>#NUM!</v>
      </c>
      <c r="AE67" s="4">
        <f t="shared" si="40"/>
        <v>27000</v>
      </c>
      <c r="AF67" s="8" t="e">
        <f t="shared" si="41"/>
        <v>#NUM!</v>
      </c>
      <c r="AG67" s="10" t="e">
        <f t="shared" si="42"/>
        <v>#NUM!</v>
      </c>
      <c r="AI67" s="15">
        <f t="shared" si="16"/>
        <v>76.84479089855063</v>
      </c>
      <c r="AJ67" s="15">
        <f t="shared" si="25"/>
        <v>77</v>
      </c>
      <c r="AK67" s="15">
        <f t="shared" si="26"/>
        <v>76.60445426989031</v>
      </c>
      <c r="AL67" s="15">
        <f t="shared" si="17"/>
        <v>-0.2403366286603159</v>
      </c>
      <c r="AM67" s="15">
        <f t="shared" si="18"/>
        <v>76.75966337133968</v>
      </c>
    </row>
    <row r="68" spans="1:39" ht="12.75">
      <c r="A68" s="109"/>
      <c r="C68">
        <f t="shared" si="43"/>
        <v>270</v>
      </c>
      <c r="D68" s="4">
        <f t="shared" si="31"/>
        <v>14580</v>
      </c>
      <c r="E68" s="15">
        <f t="shared" si="44"/>
        <v>0.1</v>
      </c>
      <c r="F68" s="15">
        <f t="shared" si="32"/>
        <v>27</v>
      </c>
      <c r="H68" s="15">
        <f t="shared" si="45"/>
        <v>0</v>
      </c>
      <c r="I68" s="15">
        <f t="shared" si="33"/>
        <v>0</v>
      </c>
      <c r="J68" s="15"/>
      <c r="K68" s="15">
        <f t="shared" si="34"/>
        <v>0.1</v>
      </c>
      <c r="L68" s="15">
        <f t="shared" si="35"/>
        <v>27</v>
      </c>
      <c r="O68">
        <f t="shared" si="36"/>
        <v>5.19</v>
      </c>
      <c r="P68" s="4">
        <f t="shared" si="22"/>
        <v>76.82441061027917</v>
      </c>
      <c r="R68" s="4">
        <f t="shared" si="23"/>
        <v>-255.26195063767378</v>
      </c>
      <c r="T68" s="15">
        <f t="shared" si="24"/>
        <v>6.193228736581338</v>
      </c>
      <c r="V68" s="3" t="e">
        <f t="shared" si="37"/>
        <v>#NUM!</v>
      </c>
      <c r="Y68" s="1">
        <f t="shared" si="27"/>
        <v>8.08378675252964E-06</v>
      </c>
      <c r="Z68">
        <f t="shared" si="38"/>
        <v>21.35</v>
      </c>
      <c r="AA68">
        <f t="shared" si="39"/>
        <v>1</v>
      </c>
      <c r="AB68" s="8" t="e">
        <f t="shared" si="28"/>
        <v>#NUM!</v>
      </c>
      <c r="AC68" s="4" t="e">
        <f t="shared" si="29"/>
        <v>#NUM!</v>
      </c>
      <c r="AD68" s="5" t="e">
        <f t="shared" si="30"/>
        <v>#NUM!</v>
      </c>
      <c r="AE68" s="4">
        <f t="shared" si="40"/>
        <v>27000</v>
      </c>
      <c r="AF68" s="8" t="e">
        <f t="shared" si="41"/>
        <v>#NUM!</v>
      </c>
      <c r="AG68" s="10" t="e">
        <f t="shared" si="42"/>
        <v>#NUM!</v>
      </c>
      <c r="AI68" s="15">
        <f t="shared" si="16"/>
        <v>76.82441061027917</v>
      </c>
      <c r="AJ68" s="15">
        <f t="shared" si="25"/>
        <v>77</v>
      </c>
      <c r="AK68" s="15">
        <f t="shared" si="26"/>
        <v>76.60445426989031</v>
      </c>
      <c r="AL68" s="15">
        <f t="shared" si="17"/>
        <v>-0.2199563403888618</v>
      </c>
      <c r="AM68" s="15">
        <f t="shared" si="18"/>
        <v>76.78004365961114</v>
      </c>
    </row>
    <row r="69" spans="1:39" ht="12.75">
      <c r="A69" s="109"/>
      <c r="C69">
        <f t="shared" si="43"/>
        <v>270</v>
      </c>
      <c r="D69" s="4">
        <f t="shared" si="31"/>
        <v>14850</v>
      </c>
      <c r="E69" s="15">
        <f t="shared" si="44"/>
        <v>0.1</v>
      </c>
      <c r="F69" s="15">
        <f t="shared" si="32"/>
        <v>27</v>
      </c>
      <c r="H69" s="15">
        <f t="shared" si="45"/>
        <v>0</v>
      </c>
      <c r="I69" s="15">
        <f t="shared" si="33"/>
        <v>0</v>
      </c>
      <c r="J69" s="15"/>
      <c r="K69" s="15">
        <f t="shared" si="34"/>
        <v>0.1</v>
      </c>
      <c r="L69" s="15">
        <f t="shared" si="35"/>
        <v>27</v>
      </c>
      <c r="O69">
        <f t="shared" si="36"/>
        <v>5.19</v>
      </c>
      <c r="P69" s="4">
        <f t="shared" si="22"/>
        <v>76.80583323732284</v>
      </c>
      <c r="R69" s="4">
        <f t="shared" si="23"/>
        <v>-280.03486558399914</v>
      </c>
      <c r="T69" s="15">
        <f t="shared" si="24"/>
        <v>6.193228736581338</v>
      </c>
      <c r="V69" s="3" t="e">
        <f t="shared" si="37"/>
        <v>#NUM!</v>
      </c>
      <c r="Y69" s="1">
        <f t="shared" si="27"/>
        <v>8.082682067624165E-06</v>
      </c>
      <c r="Z69">
        <f t="shared" si="38"/>
        <v>21.35</v>
      </c>
      <c r="AA69">
        <f t="shared" si="39"/>
        <v>1</v>
      </c>
      <c r="AB69" s="8" t="e">
        <f t="shared" si="28"/>
        <v>#NUM!</v>
      </c>
      <c r="AC69" s="4" t="e">
        <f t="shared" si="29"/>
        <v>#NUM!</v>
      </c>
      <c r="AD69" s="5" t="e">
        <f t="shared" si="30"/>
        <v>#NUM!</v>
      </c>
      <c r="AE69" s="4">
        <f t="shared" si="40"/>
        <v>27000</v>
      </c>
      <c r="AF69" s="8" t="e">
        <f t="shared" si="41"/>
        <v>#NUM!</v>
      </c>
      <c r="AG69" s="10" t="e">
        <f t="shared" si="42"/>
        <v>#NUM!</v>
      </c>
      <c r="AI69" s="15">
        <f t="shared" si="16"/>
        <v>76.80583323732284</v>
      </c>
      <c r="AJ69" s="15">
        <f t="shared" si="25"/>
        <v>77</v>
      </c>
      <c r="AK69" s="15">
        <f t="shared" si="26"/>
        <v>76.60445426989031</v>
      </c>
      <c r="AL69" s="15">
        <f t="shared" si="17"/>
        <v>-0.20137896743253236</v>
      </c>
      <c r="AM69" s="15">
        <f t="shared" si="18"/>
        <v>76.79862103256747</v>
      </c>
    </row>
    <row r="70" spans="1:39" ht="12.75">
      <c r="A70" s="109"/>
      <c r="C70">
        <f t="shared" si="43"/>
        <v>270</v>
      </c>
      <c r="D70" s="4">
        <f t="shared" si="31"/>
        <v>15120</v>
      </c>
      <c r="E70" s="15">
        <f t="shared" si="44"/>
        <v>0.1</v>
      </c>
      <c r="F70" s="15">
        <f t="shared" si="32"/>
        <v>27</v>
      </c>
      <c r="H70" s="15">
        <f t="shared" si="45"/>
        <v>0</v>
      </c>
      <c r="I70" s="15">
        <f t="shared" si="33"/>
        <v>0</v>
      </c>
      <c r="J70" s="15"/>
      <c r="K70" s="15">
        <f t="shared" si="34"/>
        <v>0.1</v>
      </c>
      <c r="L70" s="15">
        <f t="shared" si="35"/>
        <v>27</v>
      </c>
      <c r="O70">
        <f t="shared" si="36"/>
        <v>5.19</v>
      </c>
      <c r="P70" s="4">
        <f t="shared" si="22"/>
        <v>76.78876571978876</v>
      </c>
      <c r="R70" s="4">
        <f t="shared" si="23"/>
        <v>-304.80778053032446</v>
      </c>
      <c r="T70" s="15">
        <f t="shared" si="24"/>
        <v>6.193228736581338</v>
      </c>
      <c r="V70" s="3" t="e">
        <f t="shared" si="37"/>
        <v>#NUM!</v>
      </c>
      <c r="Y70" s="1">
        <f t="shared" si="27"/>
        <v>8.081667164761519E-06</v>
      </c>
      <c r="Z70">
        <f t="shared" si="38"/>
        <v>21.35</v>
      </c>
      <c r="AA70">
        <f t="shared" si="39"/>
        <v>1</v>
      </c>
      <c r="AB70" s="8" t="e">
        <f t="shared" si="28"/>
        <v>#NUM!</v>
      </c>
      <c r="AC70" s="4" t="e">
        <f t="shared" si="29"/>
        <v>#NUM!</v>
      </c>
      <c r="AD70" s="5" t="e">
        <f t="shared" si="30"/>
        <v>#NUM!</v>
      </c>
      <c r="AE70" s="4">
        <f t="shared" si="40"/>
        <v>27000</v>
      </c>
      <c r="AF70" s="8" t="e">
        <f t="shared" si="41"/>
        <v>#NUM!</v>
      </c>
      <c r="AG70" s="10" t="e">
        <f t="shared" si="42"/>
        <v>#NUM!</v>
      </c>
      <c r="AI70" s="15">
        <f t="shared" si="16"/>
        <v>76.78876571978876</v>
      </c>
      <c r="AJ70" s="15">
        <f t="shared" si="25"/>
        <v>77</v>
      </c>
      <c r="AK70" s="15">
        <f t="shared" si="26"/>
        <v>76.60445426989031</v>
      </c>
      <c r="AL70" s="15">
        <f t="shared" si="17"/>
        <v>-0.18431144989844483</v>
      </c>
      <c r="AM70" s="15">
        <f t="shared" si="18"/>
        <v>76.81568855010156</v>
      </c>
    </row>
    <row r="71" spans="1:39" ht="12.75">
      <c r="A71" s="109"/>
      <c r="C71">
        <f t="shared" si="43"/>
        <v>270</v>
      </c>
      <c r="D71" s="4">
        <f t="shared" si="31"/>
        <v>15390</v>
      </c>
      <c r="E71" s="15">
        <f t="shared" si="44"/>
        <v>0.1</v>
      </c>
      <c r="F71" s="15">
        <f t="shared" si="32"/>
        <v>27</v>
      </c>
      <c r="H71" s="15">
        <f t="shared" si="45"/>
        <v>0</v>
      </c>
      <c r="I71" s="15">
        <f t="shared" si="33"/>
        <v>0</v>
      </c>
      <c r="J71" s="15"/>
      <c r="K71" s="15">
        <f t="shared" si="34"/>
        <v>0.1</v>
      </c>
      <c r="L71" s="15">
        <f t="shared" si="35"/>
        <v>27</v>
      </c>
      <c r="O71">
        <f t="shared" si="36"/>
        <v>5.19</v>
      </c>
      <c r="P71" s="4">
        <f t="shared" si="22"/>
        <v>76.77298108127647</v>
      </c>
      <c r="R71" s="4">
        <f t="shared" si="23"/>
        <v>-329.5806954766498</v>
      </c>
      <c r="T71" s="15">
        <f t="shared" si="24"/>
        <v>6.193228736581338</v>
      </c>
      <c r="V71" s="3" t="e">
        <f t="shared" si="37"/>
        <v>#NUM!</v>
      </c>
      <c r="Y71" s="1">
        <f t="shared" si="27"/>
        <v>8.080728547017024E-06</v>
      </c>
      <c r="Z71">
        <f t="shared" si="38"/>
        <v>21.35</v>
      </c>
      <c r="AA71">
        <f t="shared" si="39"/>
        <v>1</v>
      </c>
      <c r="AB71" s="8" t="e">
        <f t="shared" si="28"/>
        <v>#NUM!</v>
      </c>
      <c r="AC71" s="4" t="e">
        <f t="shared" si="29"/>
        <v>#NUM!</v>
      </c>
      <c r="AD71" s="5" t="e">
        <f t="shared" si="30"/>
        <v>#NUM!</v>
      </c>
      <c r="AE71" s="4">
        <f t="shared" si="40"/>
        <v>27000</v>
      </c>
      <c r="AF71" s="8" t="e">
        <f t="shared" si="41"/>
        <v>#NUM!</v>
      </c>
      <c r="AG71" s="10" t="e">
        <f t="shared" si="42"/>
        <v>#NUM!</v>
      </c>
      <c r="AI71" s="15">
        <f t="shared" si="16"/>
        <v>76.77298108127647</v>
      </c>
      <c r="AJ71" s="15">
        <f t="shared" si="25"/>
        <v>77</v>
      </c>
      <c r="AK71" s="15">
        <f t="shared" si="26"/>
        <v>76.60445426989031</v>
      </c>
      <c r="AL71" s="15">
        <f t="shared" si="17"/>
        <v>-0.16852681138615822</v>
      </c>
      <c r="AM71" s="15">
        <f t="shared" si="18"/>
        <v>76.83147318861384</v>
      </c>
    </row>
    <row r="72" spans="1:39" ht="12.75">
      <c r="A72" s="109"/>
      <c r="C72">
        <f t="shared" si="43"/>
        <v>270</v>
      </c>
      <c r="D72" s="4">
        <f t="shared" si="31"/>
        <v>15660</v>
      </c>
      <c r="E72" s="15">
        <f t="shared" si="44"/>
        <v>0.1</v>
      </c>
      <c r="F72" s="15">
        <f t="shared" si="32"/>
        <v>27</v>
      </c>
      <c r="H72" s="15">
        <f t="shared" si="45"/>
        <v>0</v>
      </c>
      <c r="I72" s="15">
        <f t="shared" si="33"/>
        <v>0</v>
      </c>
      <c r="J72" s="15"/>
      <c r="K72" s="15">
        <f t="shared" si="34"/>
        <v>0.1</v>
      </c>
      <c r="L72" s="15">
        <f t="shared" si="35"/>
        <v>27</v>
      </c>
      <c r="O72">
        <f t="shared" si="36"/>
        <v>5.19</v>
      </c>
      <c r="P72" s="4">
        <f t="shared" si="22"/>
        <v>76.75829994924985</v>
      </c>
      <c r="R72" s="4">
        <f t="shared" si="23"/>
        <v>-354.3536104229751</v>
      </c>
      <c r="T72" s="15">
        <f t="shared" si="24"/>
        <v>6.193228736581338</v>
      </c>
      <c r="V72" s="3" t="e">
        <f t="shared" si="37"/>
        <v>#NUM!</v>
      </c>
      <c r="Y72" s="1">
        <f t="shared" si="27"/>
        <v>8.079855548182192E-06</v>
      </c>
      <c r="Z72">
        <f t="shared" si="38"/>
        <v>21.35</v>
      </c>
      <c r="AA72">
        <f t="shared" si="39"/>
        <v>1</v>
      </c>
      <c r="AB72" s="8" t="e">
        <f t="shared" si="28"/>
        <v>#NUM!</v>
      </c>
      <c r="AC72" s="4" t="e">
        <f t="shared" si="29"/>
        <v>#NUM!</v>
      </c>
      <c r="AD72" s="5" t="e">
        <f t="shared" si="30"/>
        <v>#NUM!</v>
      </c>
      <c r="AE72" s="4">
        <f t="shared" si="40"/>
        <v>27000</v>
      </c>
      <c r="AF72" s="8" t="e">
        <f t="shared" si="41"/>
        <v>#NUM!</v>
      </c>
      <c r="AG72" s="10" t="e">
        <f t="shared" si="42"/>
        <v>#NUM!</v>
      </c>
      <c r="AI72" s="15">
        <f t="shared" si="16"/>
        <v>76.75829994924985</v>
      </c>
      <c r="AJ72" s="15">
        <f t="shared" si="25"/>
        <v>77</v>
      </c>
      <c r="AK72" s="15">
        <f t="shared" si="26"/>
        <v>76.60445426989031</v>
      </c>
      <c r="AL72" s="15">
        <f t="shared" si="17"/>
        <v>-0.15384567935953442</v>
      </c>
      <c r="AM72" s="15">
        <f t="shared" si="18"/>
        <v>76.84615432064047</v>
      </c>
    </row>
    <row r="73" spans="1:39" ht="12.75">
      <c r="A73" s="109"/>
      <c r="C73">
        <f t="shared" si="43"/>
        <v>270</v>
      </c>
      <c r="D73" s="4">
        <f t="shared" si="31"/>
        <v>15930</v>
      </c>
      <c r="E73" s="15">
        <f t="shared" si="44"/>
        <v>0.1</v>
      </c>
      <c r="F73" s="15">
        <f t="shared" si="32"/>
        <v>27</v>
      </c>
      <c r="H73" s="15">
        <f t="shared" si="45"/>
        <v>0</v>
      </c>
      <c r="I73" s="15">
        <f t="shared" si="33"/>
        <v>0</v>
      </c>
      <c r="J73" s="15"/>
      <c r="K73" s="15">
        <f t="shared" si="34"/>
        <v>0.1</v>
      </c>
      <c r="L73" s="15">
        <f t="shared" si="35"/>
        <v>27</v>
      </c>
      <c r="O73">
        <f t="shared" si="36"/>
        <v>5.19</v>
      </c>
      <c r="P73" s="4">
        <f t="shared" si="22"/>
        <v>76.74457811289545</v>
      </c>
      <c r="R73" s="4">
        <f t="shared" si="23"/>
        <v>-379.12652536930045</v>
      </c>
      <c r="T73" s="15">
        <f t="shared" si="24"/>
        <v>6.193228736581338</v>
      </c>
      <c r="V73" s="3" t="e">
        <f t="shared" si="37"/>
        <v>#NUM!</v>
      </c>
      <c r="Y73" s="1">
        <f t="shared" si="27"/>
        <v>8.079039592905214E-06</v>
      </c>
      <c r="Z73">
        <f t="shared" si="38"/>
        <v>21.35</v>
      </c>
      <c r="AA73">
        <f t="shared" si="39"/>
        <v>1</v>
      </c>
      <c r="AB73" s="8" t="e">
        <f t="shared" si="28"/>
        <v>#NUM!</v>
      </c>
      <c r="AC73" s="4" t="e">
        <f t="shared" si="29"/>
        <v>#NUM!</v>
      </c>
      <c r="AD73" s="5" t="e">
        <f t="shared" si="30"/>
        <v>#NUM!</v>
      </c>
      <c r="AE73" s="4">
        <f t="shared" si="40"/>
        <v>27000</v>
      </c>
      <c r="AF73" s="8" t="e">
        <f t="shared" si="41"/>
        <v>#NUM!</v>
      </c>
      <c r="AG73" s="10" t="e">
        <f t="shared" si="42"/>
        <v>#NUM!</v>
      </c>
      <c r="AI73" s="15">
        <f t="shared" si="16"/>
        <v>76.74457811289545</v>
      </c>
      <c r="AJ73" s="15">
        <f t="shared" si="25"/>
        <v>77</v>
      </c>
      <c r="AK73" s="15">
        <f t="shared" si="26"/>
        <v>76.60445426989031</v>
      </c>
      <c r="AL73" s="15">
        <f t="shared" si="17"/>
        <v>-0.14012384300514213</v>
      </c>
      <c r="AM73" s="15">
        <f t="shared" si="18"/>
        <v>76.85987615699486</v>
      </c>
    </row>
    <row r="74" spans="1:39" ht="13.5" thickBot="1">
      <c r="A74" s="110"/>
      <c r="C74">
        <f t="shared" si="43"/>
        <v>270</v>
      </c>
      <c r="D74" s="4">
        <f t="shared" si="31"/>
        <v>16200</v>
      </c>
      <c r="E74" s="15">
        <f t="shared" si="44"/>
        <v>0.1</v>
      </c>
      <c r="F74" s="15">
        <f t="shared" si="32"/>
        <v>27</v>
      </c>
      <c r="H74" s="15">
        <f t="shared" si="45"/>
        <v>0</v>
      </c>
      <c r="I74" s="15">
        <f t="shared" si="33"/>
        <v>0</v>
      </c>
      <c r="J74" s="15"/>
      <c r="K74" s="15">
        <f t="shared" si="34"/>
        <v>0.1</v>
      </c>
      <c r="L74" s="15">
        <f t="shared" si="35"/>
        <v>27</v>
      </c>
      <c r="O74">
        <f t="shared" si="36"/>
        <v>5.19</v>
      </c>
      <c r="P74" s="4">
        <f t="shared" si="22"/>
        <v>76.73169789663503</v>
      </c>
      <c r="R74" s="4">
        <f t="shared" si="23"/>
        <v>-403.8994403156258</v>
      </c>
      <c r="T74" s="15">
        <f t="shared" si="24"/>
        <v>6.193228736581338</v>
      </c>
      <c r="V74" s="3" t="e">
        <f t="shared" si="37"/>
        <v>#NUM!</v>
      </c>
      <c r="Y74" s="1">
        <f t="shared" si="27"/>
        <v>8.078273683725505E-06</v>
      </c>
      <c r="Z74">
        <f t="shared" si="38"/>
        <v>21.35</v>
      </c>
      <c r="AA74">
        <f t="shared" si="39"/>
        <v>1</v>
      </c>
      <c r="AB74" s="8" t="e">
        <f t="shared" si="28"/>
        <v>#NUM!</v>
      </c>
      <c r="AC74" s="4" t="e">
        <f t="shared" si="29"/>
        <v>#NUM!</v>
      </c>
      <c r="AD74" s="5" t="e">
        <f t="shared" si="30"/>
        <v>#NUM!</v>
      </c>
      <c r="AE74" s="4">
        <f t="shared" si="40"/>
        <v>27000</v>
      </c>
      <c r="AF74" s="8" t="e">
        <f t="shared" si="41"/>
        <v>#NUM!</v>
      </c>
      <c r="AG74" s="10" t="e">
        <f t="shared" si="42"/>
        <v>#NUM!</v>
      </c>
      <c r="AI74" s="15">
        <f t="shared" si="16"/>
        <v>76.73169789663503</v>
      </c>
      <c r="AJ74" s="15">
        <f t="shared" si="25"/>
        <v>77</v>
      </c>
      <c r="AK74" s="15">
        <f t="shared" si="26"/>
        <v>76.60445426989031</v>
      </c>
      <c r="AL74" s="15">
        <f t="shared" si="17"/>
        <v>-0.1272436267447148</v>
      </c>
      <c r="AM74" s="15">
        <f t="shared" si="18"/>
        <v>76.87275637325529</v>
      </c>
    </row>
    <row r="75" spans="1:39" ht="12.75">
      <c r="A75" s="108"/>
      <c r="C75">
        <f t="shared" si="43"/>
        <v>270</v>
      </c>
      <c r="D75" s="4">
        <f t="shared" si="31"/>
        <v>16470</v>
      </c>
      <c r="E75" s="15">
        <f t="shared" si="44"/>
        <v>0.1</v>
      </c>
      <c r="F75" s="15">
        <f t="shared" si="32"/>
        <v>27</v>
      </c>
      <c r="H75" s="15">
        <f t="shared" si="45"/>
        <v>0</v>
      </c>
      <c r="I75" s="15">
        <f t="shared" si="33"/>
        <v>0</v>
      </c>
      <c r="K75" s="15">
        <f t="shared" si="34"/>
        <v>0.1</v>
      </c>
      <c r="L75" s="15">
        <f t="shared" si="35"/>
        <v>27</v>
      </c>
      <c r="O75">
        <f t="shared" si="36"/>
        <v>5.19</v>
      </c>
      <c r="P75" s="4">
        <f t="shared" si="22"/>
        <v>76.71956202625555</v>
      </c>
      <c r="R75" s="4">
        <f t="shared" si="23"/>
        <v>-428.6723552619511</v>
      </c>
      <c r="T75" s="15">
        <f t="shared" si="24"/>
        <v>6.193228736581338</v>
      </c>
      <c r="V75" s="3" t="e">
        <f t="shared" si="37"/>
        <v>#NUM!</v>
      </c>
      <c r="Y75" s="1">
        <f t="shared" si="27"/>
        <v>8.07755203632926E-06</v>
      </c>
      <c r="Z75">
        <f t="shared" si="38"/>
        <v>21.35</v>
      </c>
      <c r="AA75">
        <f t="shared" si="39"/>
        <v>1</v>
      </c>
      <c r="AB75" s="8" t="e">
        <f t="shared" si="28"/>
        <v>#NUM!</v>
      </c>
      <c r="AC75" s="4" t="e">
        <f t="shared" si="29"/>
        <v>#NUM!</v>
      </c>
      <c r="AD75" s="5" t="e">
        <f t="shared" si="30"/>
        <v>#NUM!</v>
      </c>
      <c r="AE75" s="4">
        <f t="shared" si="40"/>
        <v>27000</v>
      </c>
      <c r="AF75" s="8" t="e">
        <f t="shared" si="41"/>
        <v>#NUM!</v>
      </c>
      <c r="AG75" s="10" t="e">
        <f t="shared" si="42"/>
        <v>#NUM!</v>
      </c>
      <c r="AI75" s="15">
        <f t="shared" si="16"/>
        <v>76.71956202625555</v>
      </c>
      <c r="AJ75" s="15">
        <f t="shared" si="25"/>
        <v>77</v>
      </c>
      <c r="AK75" s="15">
        <f t="shared" si="26"/>
        <v>76.60445426989031</v>
      </c>
      <c r="AL75" s="15">
        <f t="shared" si="17"/>
        <v>-0.11510775636523363</v>
      </c>
      <c r="AM75" s="15">
        <f t="shared" si="18"/>
        <v>76.88489224363477</v>
      </c>
    </row>
    <row r="76" spans="1:39" ht="12.75">
      <c r="A76" s="109"/>
      <c r="C76">
        <f t="shared" si="43"/>
        <v>270</v>
      </c>
      <c r="D76" s="4">
        <f t="shared" si="31"/>
        <v>16740</v>
      </c>
      <c r="E76" s="15">
        <f t="shared" si="44"/>
        <v>0.1</v>
      </c>
      <c r="F76" s="15">
        <f t="shared" si="32"/>
        <v>27</v>
      </c>
      <c r="H76" s="15">
        <f t="shared" si="45"/>
        <v>0</v>
      </c>
      <c r="I76" s="15">
        <f t="shared" si="33"/>
        <v>0</v>
      </c>
      <c r="K76" s="15">
        <f t="shared" si="34"/>
        <v>0.1</v>
      </c>
      <c r="L76" s="15">
        <f t="shared" si="35"/>
        <v>27</v>
      </c>
      <c r="O76">
        <f t="shared" si="36"/>
        <v>5.19</v>
      </c>
      <c r="P76" s="4">
        <f t="shared" si="22"/>
        <v>76.7080891705869</v>
      </c>
      <c r="R76" s="4">
        <f t="shared" si="23"/>
        <v>-453.44527020827644</v>
      </c>
      <c r="T76" s="15">
        <f t="shared" si="24"/>
        <v>6.193228736581338</v>
      </c>
      <c r="V76" s="3" t="e">
        <f t="shared" si="37"/>
        <v>#NUM!</v>
      </c>
      <c r="Y76" s="1">
        <f t="shared" si="27"/>
        <v>8.07686981443978E-06</v>
      </c>
      <c r="Z76">
        <f t="shared" si="38"/>
        <v>21.35</v>
      </c>
      <c r="AA76">
        <f t="shared" si="39"/>
        <v>1</v>
      </c>
      <c r="AB76" s="8" t="e">
        <f t="shared" si="28"/>
        <v>#NUM!</v>
      </c>
      <c r="AC76" s="4" t="e">
        <f t="shared" si="29"/>
        <v>#NUM!</v>
      </c>
      <c r="AD76" s="5" t="e">
        <f t="shared" si="30"/>
        <v>#NUM!</v>
      </c>
      <c r="AE76" s="4">
        <f t="shared" si="40"/>
        <v>27000</v>
      </c>
      <c r="AF76" s="8" t="e">
        <f t="shared" si="41"/>
        <v>#NUM!</v>
      </c>
      <c r="AG76" s="10" t="e">
        <f t="shared" si="42"/>
        <v>#NUM!</v>
      </c>
      <c r="AI76" s="15">
        <f t="shared" si="16"/>
        <v>76.7080891705869</v>
      </c>
      <c r="AJ76" s="15">
        <f t="shared" si="25"/>
        <v>77</v>
      </c>
      <c r="AK76" s="15">
        <f t="shared" si="26"/>
        <v>76.60445426989031</v>
      </c>
      <c r="AL76" s="15">
        <f t="shared" si="17"/>
        <v>-0.10363490069659065</v>
      </c>
      <c r="AM76" s="15">
        <f t="shared" si="18"/>
        <v>76.89636509930341</v>
      </c>
    </row>
    <row r="77" spans="1:39" ht="12.75">
      <c r="A77" s="109"/>
      <c r="C77">
        <f t="shared" si="43"/>
        <v>270</v>
      </c>
      <c r="D77" s="4">
        <f t="shared" si="31"/>
        <v>17010</v>
      </c>
      <c r="E77" s="15">
        <f t="shared" si="44"/>
        <v>0.1</v>
      </c>
      <c r="F77" s="15">
        <f t="shared" si="32"/>
        <v>27</v>
      </c>
      <c r="H77" s="15">
        <f t="shared" si="45"/>
        <v>0</v>
      </c>
      <c r="I77" s="15">
        <f t="shared" si="33"/>
        <v>0</v>
      </c>
      <c r="K77" s="15">
        <f t="shared" si="34"/>
        <v>0.1</v>
      </c>
      <c r="L77" s="15">
        <f t="shared" si="35"/>
        <v>27</v>
      </c>
      <c r="O77">
        <f t="shared" si="36"/>
        <v>5.19</v>
      </c>
      <c r="P77" s="4">
        <f t="shared" si="22"/>
        <v>76.69721063794171</v>
      </c>
      <c r="R77" s="4">
        <f t="shared" si="23"/>
        <v>-478.21818515460177</v>
      </c>
      <c r="T77" s="15">
        <f t="shared" si="24"/>
        <v>6.193228736581338</v>
      </c>
      <c r="V77" s="3" t="e">
        <f t="shared" si="37"/>
        <v>#NUM!</v>
      </c>
      <c r="Y77" s="1">
        <f t="shared" si="27"/>
        <v>8.076222933374566E-06</v>
      </c>
      <c r="Z77">
        <f t="shared" si="38"/>
        <v>21.35</v>
      </c>
      <c r="AA77">
        <f t="shared" si="39"/>
        <v>1</v>
      </c>
      <c r="AB77" s="8" t="e">
        <f t="shared" si="28"/>
        <v>#NUM!</v>
      </c>
      <c r="AC77" s="4" t="e">
        <f t="shared" si="29"/>
        <v>#NUM!</v>
      </c>
      <c r="AD77" s="5" t="e">
        <f t="shared" si="30"/>
        <v>#NUM!</v>
      </c>
      <c r="AE77" s="4">
        <f t="shared" si="40"/>
        <v>27000</v>
      </c>
      <c r="AF77" s="8" t="e">
        <f t="shared" si="41"/>
        <v>#NUM!</v>
      </c>
      <c r="AG77" s="10" t="e">
        <f t="shared" si="42"/>
        <v>#NUM!</v>
      </c>
      <c r="AI77" s="15">
        <f t="shared" si="16"/>
        <v>76.69721063794171</v>
      </c>
      <c r="AJ77" s="15">
        <f t="shared" si="25"/>
        <v>77</v>
      </c>
      <c r="AK77" s="15">
        <f t="shared" si="26"/>
        <v>76.60445426989031</v>
      </c>
      <c r="AL77" s="15">
        <f t="shared" si="17"/>
        <v>-0.09275636805139698</v>
      </c>
      <c r="AM77" s="15">
        <f t="shared" si="18"/>
        <v>76.9072436319486</v>
      </c>
    </row>
    <row r="78" spans="1:39" ht="12.75">
      <c r="A78" s="109"/>
      <c r="C78">
        <f t="shared" si="43"/>
        <v>270</v>
      </c>
      <c r="D78" s="4">
        <f t="shared" si="31"/>
        <v>17280</v>
      </c>
      <c r="E78" s="15">
        <f t="shared" si="44"/>
        <v>0.1</v>
      </c>
      <c r="F78" s="15">
        <f t="shared" si="32"/>
        <v>27</v>
      </c>
      <c r="H78" s="15">
        <f t="shared" si="45"/>
        <v>0</v>
      </c>
      <c r="I78" s="15">
        <f t="shared" si="33"/>
        <v>0</v>
      </c>
      <c r="K78" s="15">
        <f t="shared" si="34"/>
        <v>0.1</v>
      </c>
      <c r="L78" s="15">
        <f t="shared" si="35"/>
        <v>27</v>
      </c>
      <c r="O78">
        <f t="shared" si="36"/>
        <v>5.19</v>
      </c>
      <c r="P78" s="4">
        <f t="shared" si="22"/>
        <v>76.68686788607654</v>
      </c>
      <c r="R78" s="4">
        <f t="shared" si="23"/>
        <v>-502.9911001009271</v>
      </c>
      <c r="T78" s="15">
        <f t="shared" si="24"/>
        <v>6.193228736581338</v>
      </c>
      <c r="V78" s="3" t="e">
        <f t="shared" si="37"/>
        <v>#NUM!</v>
      </c>
      <c r="Y78" s="1">
        <f t="shared" si="27"/>
        <v>8.075607911977655E-06</v>
      </c>
      <c r="Z78">
        <f t="shared" si="38"/>
        <v>21.35</v>
      </c>
      <c r="AA78">
        <f t="shared" si="39"/>
        <v>1</v>
      </c>
      <c r="AB78" s="8" t="e">
        <f t="shared" si="28"/>
        <v>#NUM!</v>
      </c>
      <c r="AC78" s="4" t="e">
        <f t="shared" si="29"/>
        <v>#NUM!</v>
      </c>
      <c r="AD78" s="5" t="e">
        <f t="shared" si="30"/>
        <v>#NUM!</v>
      </c>
      <c r="AE78" s="4">
        <f t="shared" si="40"/>
        <v>27000</v>
      </c>
      <c r="AF78" s="8" t="e">
        <f t="shared" si="41"/>
        <v>#NUM!</v>
      </c>
      <c r="AG78" s="10" t="e">
        <f t="shared" si="42"/>
        <v>#NUM!</v>
      </c>
      <c r="AI78" s="15">
        <f t="shared" si="16"/>
        <v>76.68686788607654</v>
      </c>
      <c r="AJ78" s="15">
        <f t="shared" si="25"/>
        <v>77</v>
      </c>
      <c r="AK78" s="15">
        <f t="shared" si="26"/>
        <v>76.60445426989031</v>
      </c>
      <c r="AL78" s="15">
        <f t="shared" si="17"/>
        <v>-0.08241361618622989</v>
      </c>
      <c r="AM78" s="15">
        <f t="shared" si="18"/>
        <v>76.91758638381377</v>
      </c>
    </row>
    <row r="79" spans="1:39" ht="12.75">
      <c r="A79" s="109"/>
      <c r="C79">
        <f t="shared" si="43"/>
        <v>270</v>
      </c>
      <c r="D79" s="4">
        <f t="shared" si="31"/>
        <v>17550</v>
      </c>
      <c r="E79" s="15">
        <f t="shared" si="44"/>
        <v>0.1</v>
      </c>
      <c r="F79" s="15">
        <f t="shared" si="32"/>
        <v>27</v>
      </c>
      <c r="H79" s="15">
        <f t="shared" si="45"/>
        <v>0</v>
      </c>
      <c r="I79" s="15">
        <f t="shared" si="33"/>
        <v>0</v>
      </c>
      <c r="K79" s="15">
        <f t="shared" si="34"/>
        <v>0.1</v>
      </c>
      <c r="L79" s="15">
        <f t="shared" si="35"/>
        <v>27</v>
      </c>
      <c r="O79">
        <f t="shared" si="36"/>
        <v>5.19</v>
      </c>
      <c r="P79" s="4">
        <f t="shared" si="22"/>
        <v>76.67701061655758</v>
      </c>
      <c r="R79" s="4">
        <f t="shared" si="23"/>
        <v>-527.7640150472524</v>
      </c>
      <c r="T79" s="15">
        <f t="shared" si="24"/>
        <v>6.193228736581338</v>
      </c>
      <c r="V79" s="3" t="e">
        <f t="shared" si="37"/>
        <v>#NUM!</v>
      </c>
      <c r="Y79" s="1">
        <f t="shared" si="27"/>
        <v>8.07502175930298E-06</v>
      </c>
      <c r="Z79">
        <f t="shared" si="38"/>
        <v>21.35</v>
      </c>
      <c r="AA79">
        <f t="shared" si="39"/>
        <v>1</v>
      </c>
      <c r="AB79" s="8" t="e">
        <f t="shared" si="28"/>
        <v>#NUM!</v>
      </c>
      <c r="AC79" s="4" t="e">
        <f t="shared" si="29"/>
        <v>#NUM!</v>
      </c>
      <c r="AD79" s="5" t="e">
        <f t="shared" si="30"/>
        <v>#NUM!</v>
      </c>
      <c r="AE79" s="4">
        <f t="shared" si="40"/>
        <v>27000</v>
      </c>
      <c r="AF79" s="8" t="e">
        <f t="shared" si="41"/>
        <v>#NUM!</v>
      </c>
      <c r="AG79" s="10" t="e">
        <f t="shared" si="42"/>
        <v>#NUM!</v>
      </c>
      <c r="AI79" s="15">
        <f aca="true" t="shared" si="46" ref="AI79:AI88">P79</f>
        <v>76.67701061655758</v>
      </c>
      <c r="AJ79" s="15">
        <f t="shared" si="25"/>
        <v>77</v>
      </c>
      <c r="AK79" s="15">
        <f t="shared" si="26"/>
        <v>76.60445426989031</v>
      </c>
      <c r="AL79" s="15">
        <f aca="true" t="shared" si="47" ref="AL79:AL88">AK79-AI79</f>
        <v>-0.07255634666726962</v>
      </c>
      <c r="AM79" s="15">
        <f aca="true" t="shared" si="48" ref="AM79:AM88">AJ79+AL79</f>
        <v>76.92744365333273</v>
      </c>
    </row>
    <row r="80" spans="1:39" ht="12.75">
      <c r="A80" s="109"/>
      <c r="C80">
        <f t="shared" si="43"/>
        <v>270</v>
      </c>
      <c r="D80" s="4">
        <f t="shared" si="31"/>
        <v>17820</v>
      </c>
      <c r="E80" s="15">
        <f t="shared" si="44"/>
        <v>0.1</v>
      </c>
      <c r="F80" s="15">
        <f t="shared" si="32"/>
        <v>27</v>
      </c>
      <c r="H80" s="15">
        <f t="shared" si="45"/>
        <v>0</v>
      </c>
      <c r="I80" s="15">
        <f t="shared" si="33"/>
        <v>0</v>
      </c>
      <c r="K80" s="15">
        <f t="shared" si="34"/>
        <v>0.1</v>
      </c>
      <c r="L80" s="15">
        <f t="shared" si="35"/>
        <v>27</v>
      </c>
      <c r="O80">
        <f t="shared" si="36"/>
        <v>5.19</v>
      </c>
      <c r="P80" s="4">
        <f aca="true" t="shared" si="49" ref="P80:P88">P79+L80/(R80*O80)</f>
        <v>76.66759529632046</v>
      </c>
      <c r="R80" s="4">
        <f aca="true" t="shared" si="50" ref="R80:R88">R79-4*T80</f>
        <v>-552.5369299935778</v>
      </c>
      <c r="T80" s="15">
        <f aca="true" t="shared" si="51" ref="T80:T88">T79</f>
        <v>6.193228736581338</v>
      </c>
      <c r="V80" s="3" t="e">
        <f t="shared" si="37"/>
        <v>#NUM!</v>
      </c>
      <c r="Y80" s="1">
        <f t="shared" si="27"/>
        <v>8.0744618867004E-06</v>
      </c>
      <c r="Z80">
        <f t="shared" si="38"/>
        <v>21.35</v>
      </c>
      <c r="AA80">
        <f t="shared" si="39"/>
        <v>1</v>
      </c>
      <c r="AB80" s="8" t="e">
        <f t="shared" si="28"/>
        <v>#NUM!</v>
      </c>
      <c r="AC80" s="4" t="e">
        <f t="shared" si="29"/>
        <v>#NUM!</v>
      </c>
      <c r="AD80" s="5" t="e">
        <f t="shared" si="30"/>
        <v>#NUM!</v>
      </c>
      <c r="AE80" s="4">
        <f t="shared" si="40"/>
        <v>27000</v>
      </c>
      <c r="AF80" s="8" t="e">
        <f t="shared" si="41"/>
        <v>#NUM!</v>
      </c>
      <c r="AG80" s="10" t="e">
        <f t="shared" si="42"/>
        <v>#NUM!</v>
      </c>
      <c r="AH80" s="24"/>
      <c r="AI80" s="15">
        <f t="shared" si="46"/>
        <v>76.66759529632046</v>
      </c>
      <c r="AJ80" s="15">
        <f aca="true" t="shared" si="52" ref="AJ80:AJ88">AJ79</f>
        <v>77</v>
      </c>
      <c r="AK80" s="15">
        <f aca="true" t="shared" si="53" ref="AK80:AK88">AK79</f>
        <v>76.60445426989031</v>
      </c>
      <c r="AL80" s="15">
        <f t="shared" si="47"/>
        <v>-0.06314102643014508</v>
      </c>
      <c r="AM80" s="15">
        <f t="shared" si="48"/>
        <v>76.93685897356985</v>
      </c>
    </row>
    <row r="81" spans="1:39" ht="12.75">
      <c r="A81" s="109"/>
      <c r="C81">
        <f t="shared" si="43"/>
        <v>270</v>
      </c>
      <c r="D81" s="4">
        <f t="shared" si="31"/>
        <v>18090</v>
      </c>
      <c r="E81" s="15">
        <f t="shared" si="44"/>
        <v>0.1</v>
      </c>
      <c r="F81" s="15">
        <f t="shared" si="32"/>
        <v>27</v>
      </c>
      <c r="H81" s="15">
        <f t="shared" si="45"/>
        <v>0</v>
      </c>
      <c r="I81" s="15">
        <f t="shared" si="33"/>
        <v>0</v>
      </c>
      <c r="K81" s="15">
        <f t="shared" si="34"/>
        <v>0.1</v>
      </c>
      <c r="L81" s="15">
        <f t="shared" si="35"/>
        <v>27</v>
      </c>
      <c r="O81">
        <f t="shared" si="36"/>
        <v>5.19</v>
      </c>
      <c r="P81" s="4">
        <f t="shared" si="49"/>
        <v>76.65858399643648</v>
      </c>
      <c r="R81" s="4">
        <f t="shared" si="50"/>
        <v>-577.3098449399032</v>
      </c>
      <c r="T81" s="15">
        <f t="shared" si="51"/>
        <v>6.193228736581338</v>
      </c>
      <c r="V81" s="3" t="e">
        <f t="shared" si="37"/>
        <v>#NUM!</v>
      </c>
      <c r="Y81" s="1">
        <f t="shared" si="27"/>
        <v>8.073926038764097E-06</v>
      </c>
      <c r="Z81">
        <f t="shared" si="38"/>
        <v>21.35</v>
      </c>
      <c r="AA81">
        <f t="shared" si="39"/>
        <v>1</v>
      </c>
      <c r="AB81" s="8" t="e">
        <f t="shared" si="28"/>
        <v>#NUM!</v>
      </c>
      <c r="AC81" s="4" t="e">
        <f t="shared" si="29"/>
        <v>#NUM!</v>
      </c>
      <c r="AD81" s="5" t="e">
        <f t="shared" si="30"/>
        <v>#NUM!</v>
      </c>
      <c r="AE81" s="4">
        <f t="shared" si="40"/>
        <v>27000</v>
      </c>
      <c r="AF81" s="8" t="e">
        <f t="shared" si="41"/>
        <v>#NUM!</v>
      </c>
      <c r="AG81" s="10" t="e">
        <f t="shared" si="42"/>
        <v>#NUM!</v>
      </c>
      <c r="AI81" s="15">
        <f t="shared" si="46"/>
        <v>76.65858399643648</v>
      </c>
      <c r="AJ81" s="15">
        <f t="shared" si="52"/>
        <v>77</v>
      </c>
      <c r="AK81" s="15">
        <f t="shared" si="53"/>
        <v>76.60445426989031</v>
      </c>
      <c r="AL81" s="15">
        <f t="shared" si="47"/>
        <v>-0.0541297265461651</v>
      </c>
      <c r="AM81" s="15">
        <f t="shared" si="48"/>
        <v>76.94587027345383</v>
      </c>
    </row>
    <row r="82" spans="1:39" ht="12.75">
      <c r="A82" s="109"/>
      <c r="C82">
        <f t="shared" si="43"/>
        <v>270</v>
      </c>
      <c r="D82" s="4">
        <f t="shared" si="31"/>
        <v>18360</v>
      </c>
      <c r="E82" s="15">
        <f t="shared" si="44"/>
        <v>0.1</v>
      </c>
      <c r="F82" s="15">
        <f t="shared" si="32"/>
        <v>27</v>
      </c>
      <c r="H82" s="15">
        <f t="shared" si="45"/>
        <v>0</v>
      </c>
      <c r="I82" s="15">
        <f t="shared" si="33"/>
        <v>0</v>
      </c>
      <c r="K82" s="15">
        <f t="shared" si="34"/>
        <v>0.1</v>
      </c>
      <c r="L82" s="15">
        <f t="shared" si="35"/>
        <v>27</v>
      </c>
      <c r="O82">
        <f t="shared" si="36"/>
        <v>5.19</v>
      </c>
      <c r="P82" s="4">
        <f t="shared" si="49"/>
        <v>76.6499434697758</v>
      </c>
      <c r="R82" s="4">
        <f t="shared" si="50"/>
        <v>-602.0827598862286</v>
      </c>
      <c r="T82" s="15">
        <f t="shared" si="51"/>
        <v>6.193228736581338</v>
      </c>
      <c r="V82" s="3" t="e">
        <f t="shared" si="37"/>
        <v>#NUM!</v>
      </c>
      <c r="Y82" s="1">
        <f t="shared" si="27"/>
        <v>8.073412238486747E-06</v>
      </c>
      <c r="Z82">
        <f t="shared" si="38"/>
        <v>21.35</v>
      </c>
      <c r="AA82">
        <f t="shared" si="39"/>
        <v>1</v>
      </c>
      <c r="AB82" s="8" t="e">
        <f t="shared" si="28"/>
        <v>#NUM!</v>
      </c>
      <c r="AC82" s="4" t="e">
        <f t="shared" si="29"/>
        <v>#NUM!</v>
      </c>
      <c r="AD82" s="5" t="e">
        <f t="shared" si="30"/>
        <v>#NUM!</v>
      </c>
      <c r="AE82" s="4">
        <f t="shared" si="40"/>
        <v>27000</v>
      </c>
      <c r="AF82" s="8" t="e">
        <f t="shared" si="41"/>
        <v>#NUM!</v>
      </c>
      <c r="AG82" s="10" t="e">
        <f t="shared" si="42"/>
        <v>#NUM!</v>
      </c>
      <c r="AI82" s="15">
        <f t="shared" si="46"/>
        <v>76.6499434697758</v>
      </c>
      <c r="AJ82" s="15">
        <f t="shared" si="52"/>
        <v>77</v>
      </c>
      <c r="AK82" s="15">
        <f t="shared" si="53"/>
        <v>76.60445426989031</v>
      </c>
      <c r="AL82" s="15">
        <f t="shared" si="47"/>
        <v>-0.04548919988549471</v>
      </c>
      <c r="AM82" s="15">
        <f t="shared" si="48"/>
        <v>76.9545108001145</v>
      </c>
    </row>
    <row r="83" spans="1:39" ht="12.75">
      <c r="A83" s="109"/>
      <c r="C83">
        <f t="shared" si="43"/>
        <v>270</v>
      </c>
      <c r="D83" s="4">
        <f t="shared" si="31"/>
        <v>18630</v>
      </c>
      <c r="E83" s="15">
        <f t="shared" si="44"/>
        <v>0.1</v>
      </c>
      <c r="F83" s="15">
        <f t="shared" si="32"/>
        <v>27</v>
      </c>
      <c r="H83" s="15">
        <f t="shared" si="45"/>
        <v>0</v>
      </c>
      <c r="I83" s="15">
        <f t="shared" si="33"/>
        <v>0</v>
      </c>
      <c r="K83" s="15">
        <f t="shared" si="34"/>
        <v>0.1</v>
      </c>
      <c r="L83" s="15">
        <f t="shared" si="35"/>
        <v>27</v>
      </c>
      <c r="O83">
        <f t="shared" si="36"/>
        <v>5.19</v>
      </c>
      <c r="P83" s="4">
        <f t="shared" si="49"/>
        <v>76.64164441092129</v>
      </c>
      <c r="R83" s="4">
        <f t="shared" si="50"/>
        <v>-626.855674832554</v>
      </c>
      <c r="T83" s="15">
        <f t="shared" si="51"/>
        <v>6.193228736581338</v>
      </c>
      <c r="V83" s="3" t="e">
        <f t="shared" si="37"/>
        <v>#NUM!</v>
      </c>
      <c r="Y83" s="1">
        <f t="shared" si="27"/>
        <v>8.072918743251023E-06</v>
      </c>
      <c r="Z83">
        <f t="shared" si="38"/>
        <v>21.35</v>
      </c>
      <c r="AA83">
        <f t="shared" si="39"/>
        <v>1</v>
      </c>
      <c r="AB83" s="8" t="e">
        <f t="shared" si="28"/>
        <v>#NUM!</v>
      </c>
      <c r="AC83" s="4" t="e">
        <f t="shared" si="29"/>
        <v>#NUM!</v>
      </c>
      <c r="AD83" s="5" t="e">
        <f t="shared" si="30"/>
        <v>#NUM!</v>
      </c>
      <c r="AE83" s="4">
        <f t="shared" si="40"/>
        <v>27000</v>
      </c>
      <c r="AF83" s="8" t="e">
        <f t="shared" si="41"/>
        <v>#NUM!</v>
      </c>
      <c r="AG83" s="10" t="e">
        <f t="shared" si="42"/>
        <v>#NUM!</v>
      </c>
      <c r="AI83" s="15">
        <f t="shared" si="46"/>
        <v>76.64164441092129</v>
      </c>
      <c r="AJ83" s="15">
        <f t="shared" si="52"/>
        <v>77</v>
      </c>
      <c r="AK83" s="15">
        <f t="shared" si="53"/>
        <v>76.60445426989031</v>
      </c>
      <c r="AL83" s="15">
        <f t="shared" si="47"/>
        <v>-0.037190141030976065</v>
      </c>
      <c r="AM83" s="15">
        <f t="shared" si="48"/>
        <v>76.96280985896902</v>
      </c>
    </row>
    <row r="84" spans="1:39" ht="13.5" thickBot="1">
      <c r="A84" s="110"/>
      <c r="C84">
        <f t="shared" si="43"/>
        <v>270</v>
      </c>
      <c r="D84" s="4">
        <f t="shared" si="31"/>
        <v>18900</v>
      </c>
      <c r="E84" s="15">
        <f t="shared" si="44"/>
        <v>0.1</v>
      </c>
      <c r="F84" s="15">
        <f t="shared" si="32"/>
        <v>27</v>
      </c>
      <c r="H84" s="15">
        <f t="shared" si="45"/>
        <v>0</v>
      </c>
      <c r="I84" s="15">
        <f t="shared" si="33"/>
        <v>0</v>
      </c>
      <c r="K84" s="15">
        <f t="shared" si="34"/>
        <v>0.1</v>
      </c>
      <c r="L84" s="15">
        <f t="shared" si="35"/>
        <v>27</v>
      </c>
      <c r="O84">
        <f t="shared" si="36"/>
        <v>5.19</v>
      </c>
      <c r="P84" s="4">
        <f t="shared" si="49"/>
        <v>76.63366085676125</v>
      </c>
      <c r="R84" s="4">
        <f t="shared" si="50"/>
        <v>-651.6285897788794</v>
      </c>
      <c r="T84" s="15">
        <f t="shared" si="51"/>
        <v>6.193228736581338</v>
      </c>
      <c r="V84" s="3" t="e">
        <f t="shared" si="37"/>
        <v>#NUM!</v>
      </c>
      <c r="Y84" s="1">
        <f t="shared" si="27"/>
        <v>8.072444009186451E-06</v>
      </c>
      <c r="Z84">
        <f t="shared" si="38"/>
        <v>21.35</v>
      </c>
      <c r="AA84">
        <f t="shared" si="39"/>
        <v>1</v>
      </c>
      <c r="AB84" s="8" t="e">
        <f t="shared" si="28"/>
        <v>#NUM!</v>
      </c>
      <c r="AC84" s="4" t="e">
        <f t="shared" si="29"/>
        <v>#NUM!</v>
      </c>
      <c r="AD84" s="5" t="e">
        <f t="shared" si="30"/>
        <v>#NUM!</v>
      </c>
      <c r="AE84" s="4">
        <f t="shared" si="40"/>
        <v>27000</v>
      </c>
      <c r="AF84" s="8" t="e">
        <f t="shared" si="41"/>
        <v>#NUM!</v>
      </c>
      <c r="AG84" s="10" t="e">
        <f t="shared" si="42"/>
        <v>#NUM!</v>
      </c>
      <c r="AI84" s="15">
        <f t="shared" si="46"/>
        <v>76.63366085676125</v>
      </c>
      <c r="AJ84" s="15">
        <f t="shared" si="52"/>
        <v>77</v>
      </c>
      <c r="AK84" s="15">
        <f t="shared" si="53"/>
        <v>76.60445426989031</v>
      </c>
      <c r="AL84" s="15">
        <f t="shared" si="47"/>
        <v>-0.029206586870941464</v>
      </c>
      <c r="AM84" s="15">
        <f t="shared" si="48"/>
        <v>76.97079341312906</v>
      </c>
    </row>
    <row r="85" spans="1:39" ht="12.75">
      <c r="A85" s="41"/>
      <c r="C85">
        <f t="shared" si="43"/>
        <v>270</v>
      </c>
      <c r="D85" s="4">
        <f t="shared" si="31"/>
        <v>19170</v>
      </c>
      <c r="E85" s="15">
        <f t="shared" si="44"/>
        <v>0.1</v>
      </c>
      <c r="F85" s="15">
        <f t="shared" si="32"/>
        <v>27</v>
      </c>
      <c r="H85" s="15">
        <f t="shared" si="45"/>
        <v>0</v>
      </c>
      <c r="I85" s="15">
        <f t="shared" si="33"/>
        <v>0</v>
      </c>
      <c r="K85" s="15">
        <f t="shared" si="34"/>
        <v>0.1</v>
      </c>
      <c r="L85" s="15">
        <f t="shared" si="35"/>
        <v>27</v>
      </c>
      <c r="O85">
        <f t="shared" si="36"/>
        <v>5.19</v>
      </c>
      <c r="P85" s="4">
        <f t="shared" si="49"/>
        <v>76.62596969684752</v>
      </c>
      <c r="R85" s="4">
        <f t="shared" si="50"/>
        <v>-676.4015047252047</v>
      </c>
      <c r="T85" s="15">
        <f t="shared" si="51"/>
        <v>6.193228736581338</v>
      </c>
      <c r="V85" s="3" t="e">
        <f t="shared" si="37"/>
        <v>#NUM!</v>
      </c>
      <c r="Y85" s="1">
        <f t="shared" si="27"/>
        <v>8.07198666205334E-06</v>
      </c>
      <c r="Z85">
        <f t="shared" si="38"/>
        <v>21.35</v>
      </c>
      <c r="AA85">
        <f t="shared" si="39"/>
        <v>1</v>
      </c>
      <c r="AB85" s="8" t="e">
        <f t="shared" si="28"/>
        <v>#NUM!</v>
      </c>
      <c r="AC85" s="4" t="e">
        <f t="shared" si="29"/>
        <v>#NUM!</v>
      </c>
      <c r="AD85" s="5" t="e">
        <f t="shared" si="30"/>
        <v>#NUM!</v>
      </c>
      <c r="AE85" s="4">
        <f t="shared" si="40"/>
        <v>27000</v>
      </c>
      <c r="AF85" s="8" t="e">
        <f t="shared" si="41"/>
        <v>#NUM!</v>
      </c>
      <c r="AG85" s="10" t="e">
        <f t="shared" si="42"/>
        <v>#NUM!</v>
      </c>
      <c r="AI85" s="15">
        <f t="shared" si="46"/>
        <v>76.62596969684752</v>
      </c>
      <c r="AJ85" s="15">
        <f t="shared" si="52"/>
        <v>77</v>
      </c>
      <c r="AK85" s="15">
        <f t="shared" si="53"/>
        <v>76.60445426989031</v>
      </c>
      <c r="AL85" s="15">
        <f t="shared" si="47"/>
        <v>-0.021515426957208206</v>
      </c>
      <c r="AM85" s="15">
        <f t="shared" si="48"/>
        <v>76.97848457304279</v>
      </c>
    </row>
    <row r="86" spans="1:39" ht="12.75">
      <c r="A86" s="42"/>
      <c r="C86">
        <f t="shared" si="43"/>
        <v>270</v>
      </c>
      <c r="D86" s="4">
        <f t="shared" si="31"/>
        <v>19440</v>
      </c>
      <c r="E86" s="15">
        <f t="shared" si="44"/>
        <v>0.1</v>
      </c>
      <c r="F86" s="15">
        <f t="shared" si="32"/>
        <v>27</v>
      </c>
      <c r="H86" s="15">
        <f t="shared" si="45"/>
        <v>0</v>
      </c>
      <c r="I86" s="15">
        <f t="shared" si="33"/>
        <v>0</v>
      </c>
      <c r="K86" s="15">
        <f t="shared" si="34"/>
        <v>0.1</v>
      </c>
      <c r="L86" s="15">
        <f t="shared" si="35"/>
        <v>27</v>
      </c>
      <c r="O86">
        <f t="shared" si="36"/>
        <v>5.19</v>
      </c>
      <c r="P86" s="4">
        <f t="shared" si="49"/>
        <v>76.61855027025013</v>
      </c>
      <c r="R86" s="4">
        <f t="shared" si="50"/>
        <v>-701.1744196715301</v>
      </c>
      <c r="T86" s="15">
        <f t="shared" si="51"/>
        <v>6.193228736581338</v>
      </c>
      <c r="V86" s="3" t="e">
        <f t="shared" si="37"/>
        <v>#NUM!</v>
      </c>
      <c r="Y86" s="1">
        <f t="shared" si="27"/>
        <v>8.071545473270154E-06</v>
      </c>
      <c r="Z86">
        <f t="shared" si="38"/>
        <v>21.35</v>
      </c>
      <c r="AA86">
        <f t="shared" si="39"/>
        <v>1</v>
      </c>
      <c r="AB86" s="8" t="e">
        <f t="shared" si="28"/>
        <v>#NUM!</v>
      </c>
      <c r="AC86" s="4" t="e">
        <f t="shared" si="29"/>
        <v>#NUM!</v>
      </c>
      <c r="AD86" s="5" t="e">
        <f t="shared" si="30"/>
        <v>#NUM!</v>
      </c>
      <c r="AE86" s="4">
        <f t="shared" si="40"/>
        <v>27000</v>
      </c>
      <c r="AF86" s="8" t="e">
        <f t="shared" si="41"/>
        <v>#NUM!</v>
      </c>
      <c r="AG86" s="10" t="e">
        <f t="shared" si="42"/>
        <v>#NUM!</v>
      </c>
      <c r="AI86" s="15">
        <f t="shared" si="46"/>
        <v>76.61855027025013</v>
      </c>
      <c r="AJ86" s="15">
        <f t="shared" si="52"/>
        <v>77</v>
      </c>
      <c r="AK86" s="15">
        <f t="shared" si="53"/>
        <v>76.60445426989031</v>
      </c>
      <c r="AL86" s="15">
        <f t="shared" si="47"/>
        <v>-0.014096000359813843</v>
      </c>
      <c r="AM86" s="15">
        <f t="shared" si="48"/>
        <v>76.98590399964019</v>
      </c>
    </row>
    <row r="87" spans="1:39" ht="12.75">
      <c r="A87" s="42"/>
      <c r="C87">
        <f t="shared" si="43"/>
        <v>270</v>
      </c>
      <c r="D87" s="4">
        <f t="shared" si="31"/>
        <v>19710</v>
      </c>
      <c r="E87" s="15">
        <f t="shared" si="44"/>
        <v>0.1</v>
      </c>
      <c r="F87" s="15">
        <f t="shared" si="32"/>
        <v>27</v>
      </c>
      <c r="H87" s="15">
        <f t="shared" si="45"/>
        <v>0</v>
      </c>
      <c r="I87" s="15">
        <f t="shared" si="33"/>
        <v>0</v>
      </c>
      <c r="K87" s="15">
        <f t="shared" si="34"/>
        <v>0.1</v>
      </c>
      <c r="L87" s="15">
        <f t="shared" si="35"/>
        <v>27</v>
      </c>
      <c r="O87">
        <f t="shared" si="36"/>
        <v>5.19</v>
      </c>
      <c r="P87" s="4">
        <f t="shared" si="49"/>
        <v>76.61138403119854</v>
      </c>
      <c r="R87" s="4">
        <f t="shared" si="50"/>
        <v>-725.9473346178555</v>
      </c>
      <c r="T87" s="15">
        <f t="shared" si="51"/>
        <v>6.193228736581338</v>
      </c>
      <c r="V87" s="3" t="e">
        <f t="shared" si="37"/>
        <v>#NUM!</v>
      </c>
      <c r="Y87" s="1">
        <f t="shared" si="27"/>
        <v>8.07111934003119E-06</v>
      </c>
      <c r="Z87">
        <f t="shared" si="38"/>
        <v>21.35</v>
      </c>
      <c r="AA87">
        <f t="shared" si="39"/>
        <v>1</v>
      </c>
      <c r="AB87" s="8" t="e">
        <f t="shared" si="28"/>
        <v>#NUM!</v>
      </c>
      <c r="AC87" s="4" t="e">
        <f t="shared" si="29"/>
        <v>#NUM!</v>
      </c>
      <c r="AD87" s="5" t="e">
        <f t="shared" si="30"/>
        <v>#NUM!</v>
      </c>
      <c r="AE87" s="4">
        <f t="shared" si="40"/>
        <v>27000</v>
      </c>
      <c r="AF87" s="8" t="e">
        <f t="shared" si="41"/>
        <v>#NUM!</v>
      </c>
      <c r="AG87" s="10" t="e">
        <f t="shared" si="42"/>
        <v>#NUM!</v>
      </c>
      <c r="AI87" s="15">
        <f t="shared" si="46"/>
        <v>76.61138403119854</v>
      </c>
      <c r="AJ87" s="15">
        <f t="shared" si="52"/>
        <v>77</v>
      </c>
      <c r="AK87" s="15">
        <f t="shared" si="53"/>
        <v>76.60445426989031</v>
      </c>
      <c r="AL87" s="15">
        <f t="shared" si="47"/>
        <v>-0.0069297613082284215</v>
      </c>
      <c r="AM87" s="15">
        <f t="shared" si="48"/>
        <v>76.99307023869177</v>
      </c>
    </row>
    <row r="88" spans="1:39" ht="13.5" thickBot="1">
      <c r="A88" s="69"/>
      <c r="C88">
        <f t="shared" si="43"/>
        <v>270</v>
      </c>
      <c r="D88" s="4">
        <f t="shared" si="31"/>
        <v>19980</v>
      </c>
      <c r="E88" s="15">
        <f t="shared" si="44"/>
        <v>0.1</v>
      </c>
      <c r="F88" s="15">
        <f t="shared" si="32"/>
        <v>27</v>
      </c>
      <c r="H88" s="15">
        <f t="shared" si="45"/>
        <v>0</v>
      </c>
      <c r="I88" s="15">
        <f t="shared" si="33"/>
        <v>0</v>
      </c>
      <c r="K88" s="15">
        <f t="shared" si="34"/>
        <v>0.1</v>
      </c>
      <c r="L88" s="15">
        <f t="shared" si="35"/>
        <v>27</v>
      </c>
      <c r="O88">
        <f t="shared" si="36"/>
        <v>5.19</v>
      </c>
      <c r="P88" s="4">
        <f t="shared" si="49"/>
        <v>76.60445426989031</v>
      </c>
      <c r="R88" s="4">
        <f t="shared" si="50"/>
        <v>-750.7202495641809</v>
      </c>
      <c r="T88" s="15">
        <f t="shared" si="51"/>
        <v>6.193228736581338</v>
      </c>
      <c r="V88" s="3" t="e">
        <f t="shared" si="37"/>
        <v>#NUM!</v>
      </c>
      <c r="Y88" s="1">
        <f t="shared" si="27"/>
        <v>8.070707268704756E-06</v>
      </c>
      <c r="Z88">
        <f t="shared" si="38"/>
        <v>21.35</v>
      </c>
      <c r="AA88">
        <f t="shared" si="39"/>
        <v>1</v>
      </c>
      <c r="AB88" s="8" t="e">
        <f t="shared" si="28"/>
        <v>#NUM!</v>
      </c>
      <c r="AC88" s="4" t="e">
        <f t="shared" si="29"/>
        <v>#NUM!</v>
      </c>
      <c r="AD88" s="5" t="e">
        <f t="shared" si="30"/>
        <v>#NUM!</v>
      </c>
      <c r="AE88" s="4">
        <f t="shared" si="40"/>
        <v>27000</v>
      </c>
      <c r="AF88" s="8" t="e">
        <f t="shared" si="41"/>
        <v>#NUM!</v>
      </c>
      <c r="AG88" s="10" t="e">
        <f t="shared" si="42"/>
        <v>#NUM!</v>
      </c>
      <c r="AI88" s="15">
        <f t="shared" si="46"/>
        <v>76.60445426989031</v>
      </c>
      <c r="AJ88" s="15">
        <f t="shared" si="52"/>
        <v>77</v>
      </c>
      <c r="AK88" s="15">
        <f t="shared" si="53"/>
        <v>76.60445426989031</v>
      </c>
      <c r="AL88" s="15">
        <f t="shared" si="47"/>
        <v>0</v>
      </c>
      <c r="AM88" s="15">
        <f t="shared" si="48"/>
        <v>77</v>
      </c>
    </row>
    <row r="89" ht="13.5" thickBot="1">
      <c r="A89" s="20" t="s">
        <v>46</v>
      </c>
    </row>
    <row r="90" spans="26:33" ht="12.75">
      <c r="Z90" t="s">
        <v>40</v>
      </c>
      <c r="AF90" s="3" t="e">
        <f>0.1*(V74*AB74^2)/2</f>
        <v>#NUM!</v>
      </c>
      <c r="AG90" s="10" t="e">
        <f>AG88-AF90/100000</f>
        <v>#NUM!</v>
      </c>
    </row>
    <row r="91" spans="9:12" ht="12.75">
      <c r="I91" t="s">
        <v>39</v>
      </c>
      <c r="K91" s="15">
        <f>SUM(L15:L88)</f>
        <v>1998</v>
      </c>
      <c r="L91" t="s">
        <v>35</v>
      </c>
    </row>
    <row r="92" spans="31:32" ht="12.75">
      <c r="AE92" s="6" t="s">
        <v>66</v>
      </c>
      <c r="AF92" s="11" t="e">
        <f>SUM(AF15:AF90)</f>
        <v>#NUM!</v>
      </c>
    </row>
    <row r="93" spans="31:32" ht="12.75">
      <c r="AE93" s="25" t="s">
        <v>67</v>
      </c>
      <c r="AF93" s="26" t="e">
        <f>AF92/100000</f>
        <v>#NUM!</v>
      </c>
    </row>
    <row r="99" ht="20.25">
      <c r="B99" s="77" t="s">
        <v>251</v>
      </c>
    </row>
    <row r="103" spans="3:9" ht="12.75">
      <c r="C103" t="s">
        <v>199</v>
      </c>
      <c r="H103" s="40">
        <f>'Cryo Power'!C11</f>
        <v>77</v>
      </c>
      <c r="I103" t="s">
        <v>89</v>
      </c>
    </row>
    <row r="104" spans="3:9" ht="12.75">
      <c r="C104" t="s">
        <v>149</v>
      </c>
      <c r="H104" s="40">
        <f>'Cryo Power'!C12</f>
        <v>20</v>
      </c>
      <c r="I104" s="3" t="s">
        <v>70</v>
      </c>
    </row>
    <row r="105" spans="3:30" ht="18">
      <c r="C105" t="s">
        <v>90</v>
      </c>
      <c r="N105" s="14" t="s">
        <v>92</v>
      </c>
      <c r="AD105" t="s">
        <v>0</v>
      </c>
    </row>
    <row r="106" spans="14:30" ht="18">
      <c r="N106" s="14" t="s">
        <v>93</v>
      </c>
      <c r="AD106" s="13">
        <v>36527</v>
      </c>
    </row>
    <row r="107" spans="5:39" ht="12.75">
      <c r="E107" t="s">
        <v>148</v>
      </c>
      <c r="H107" s="21">
        <v>2</v>
      </c>
      <c r="I107" t="s">
        <v>89</v>
      </c>
      <c r="AI107" t="s">
        <v>97</v>
      </c>
      <c r="AM107" t="s">
        <v>97</v>
      </c>
    </row>
    <row r="108" spans="1:39" ht="12.75">
      <c r="A108" t="s">
        <v>200</v>
      </c>
      <c r="E108" t="s">
        <v>210</v>
      </c>
      <c r="G108" t="s">
        <v>60</v>
      </c>
      <c r="H108" s="70">
        <f>'Cryo Power'!C24</f>
        <v>0.125</v>
      </c>
      <c r="I108" t="s">
        <v>198</v>
      </c>
      <c r="K108" s="3"/>
      <c r="N108" s="22"/>
      <c r="O108" s="22"/>
      <c r="P108" s="22" t="s">
        <v>94</v>
      </c>
      <c r="Q108" s="22"/>
      <c r="R108" s="22"/>
      <c r="S108" s="22"/>
      <c r="T108" s="22"/>
      <c r="U108" s="22"/>
      <c r="V108" s="22"/>
      <c r="AI108" s="73" t="s">
        <v>223</v>
      </c>
      <c r="AJ108" s="73" t="s">
        <v>228</v>
      </c>
      <c r="AK108" t="s">
        <v>228</v>
      </c>
      <c r="AM108" t="s">
        <v>232</v>
      </c>
    </row>
    <row r="109" spans="1:39" ht="12.75">
      <c r="A109" t="s">
        <v>201</v>
      </c>
      <c r="E109" t="s">
        <v>84</v>
      </c>
      <c r="G109" t="s">
        <v>85</v>
      </c>
      <c r="H109" s="17">
        <v>13.58</v>
      </c>
      <c r="I109" t="s">
        <v>86</v>
      </c>
      <c r="AD109" t="s">
        <v>27</v>
      </c>
      <c r="AI109" t="s">
        <v>226</v>
      </c>
      <c r="AJ109" t="s">
        <v>233</v>
      </c>
      <c r="AK109" t="s">
        <v>229</v>
      </c>
      <c r="AL109" t="s">
        <v>230</v>
      </c>
      <c r="AM109" t="s">
        <v>224</v>
      </c>
    </row>
    <row r="110" spans="5:39" ht="12.75">
      <c r="E110" t="s">
        <v>209</v>
      </c>
      <c r="G110" t="s">
        <v>62</v>
      </c>
      <c r="H110" s="40">
        <f>'Cryo Power'!C25</f>
        <v>9700</v>
      </c>
      <c r="I110" t="s">
        <v>63</v>
      </c>
      <c r="P110" t="s">
        <v>97</v>
      </c>
      <c r="V110" s="16" t="s">
        <v>96</v>
      </c>
      <c r="W110" s="16"/>
      <c r="X110" s="16"/>
      <c r="Y110" s="16" t="s">
        <v>96</v>
      </c>
      <c r="AA110" s="16" t="s">
        <v>54</v>
      </c>
      <c r="AB110" s="19" t="s">
        <v>79</v>
      </c>
      <c r="AD110" t="s">
        <v>58</v>
      </c>
      <c r="AF110" s="5"/>
      <c r="AG110" s="5"/>
      <c r="AI110" t="s">
        <v>227</v>
      </c>
      <c r="AJ110" t="s">
        <v>98</v>
      </c>
      <c r="AK110" t="s">
        <v>98</v>
      </c>
      <c r="AL110" t="s">
        <v>231</v>
      </c>
      <c r="AM110" t="s">
        <v>225</v>
      </c>
    </row>
    <row r="111" spans="1:39" ht="12.75">
      <c r="A111" s="2"/>
      <c r="C111" s="2" t="s">
        <v>24</v>
      </c>
      <c r="D111" s="2"/>
      <c r="E111" s="2"/>
      <c r="F111" s="2"/>
      <c r="K111" s="2"/>
      <c r="L111" t="s">
        <v>30</v>
      </c>
      <c r="O111" s="2" t="s">
        <v>95</v>
      </c>
      <c r="P111" t="s">
        <v>98</v>
      </c>
      <c r="R111" s="2" t="s">
        <v>4</v>
      </c>
      <c r="T111" t="s">
        <v>211</v>
      </c>
      <c r="V111" s="16" t="s">
        <v>73</v>
      </c>
      <c r="Y111" s="2" t="s">
        <v>100</v>
      </c>
      <c r="Z111" s="2" t="s">
        <v>7</v>
      </c>
      <c r="AA111" s="16" t="s">
        <v>55</v>
      </c>
      <c r="AB111" s="19" t="s">
        <v>80</v>
      </c>
      <c r="AC111" s="2" t="s">
        <v>8</v>
      </c>
      <c r="AD111" s="2" t="s">
        <v>9</v>
      </c>
      <c r="AE111" s="2" t="s">
        <v>10</v>
      </c>
      <c r="AF111" s="7" t="s">
        <v>11</v>
      </c>
      <c r="AG111" s="7" t="s">
        <v>71</v>
      </c>
      <c r="AH111" s="7"/>
      <c r="AI111" s="2"/>
      <c r="AJ111" s="2"/>
      <c r="AK111" s="2"/>
      <c r="AL111" s="2"/>
      <c r="AM111" s="2"/>
    </row>
    <row r="112" spans="1:39" ht="12.75">
      <c r="A112" s="2"/>
      <c r="C112" s="2" t="s">
        <v>25</v>
      </c>
      <c r="E112" s="2" t="s">
        <v>48</v>
      </c>
      <c r="F112" s="16" t="s">
        <v>48</v>
      </c>
      <c r="G112" s="2"/>
      <c r="H112" s="2" t="s">
        <v>34</v>
      </c>
      <c r="I112" s="2" t="s">
        <v>36</v>
      </c>
      <c r="K112" t="s">
        <v>30</v>
      </c>
      <c r="L112" t="s">
        <v>31</v>
      </c>
      <c r="O112" s="2" t="s">
        <v>123</v>
      </c>
      <c r="P112" t="s">
        <v>99</v>
      </c>
      <c r="R112" s="2" t="s">
        <v>15</v>
      </c>
      <c r="T112" t="s">
        <v>14</v>
      </c>
      <c r="V112" s="2" t="s">
        <v>16</v>
      </c>
      <c r="Y112" s="2" t="s">
        <v>17</v>
      </c>
      <c r="Z112" s="2" t="s">
        <v>18</v>
      </c>
      <c r="AA112" s="16" t="s">
        <v>56</v>
      </c>
      <c r="AB112" s="7" t="s">
        <v>19</v>
      </c>
      <c r="AC112" s="2"/>
      <c r="AD112" s="2"/>
      <c r="AE112" s="2" t="s">
        <v>18</v>
      </c>
      <c r="AF112" s="7" t="s">
        <v>20</v>
      </c>
      <c r="AG112" s="7" t="s">
        <v>72</v>
      </c>
      <c r="AH112" s="7"/>
      <c r="AI112" s="2" t="s">
        <v>99</v>
      </c>
      <c r="AJ112" s="2" t="s">
        <v>99</v>
      </c>
      <c r="AK112" s="2" t="s">
        <v>99</v>
      </c>
      <c r="AL112" s="2" t="s">
        <v>99</v>
      </c>
      <c r="AM112" s="2" t="s">
        <v>99</v>
      </c>
    </row>
    <row r="113" spans="1:39" ht="13.5" thickBot="1">
      <c r="A113" s="2"/>
      <c r="C113" t="s">
        <v>26</v>
      </c>
      <c r="D113" s="2" t="s">
        <v>23</v>
      </c>
      <c r="E113" s="2" t="s">
        <v>33</v>
      </c>
      <c r="F113" s="16" t="s">
        <v>32</v>
      </c>
      <c r="G113" s="2"/>
      <c r="H113" s="2" t="s">
        <v>33</v>
      </c>
      <c r="I113" s="2" t="s">
        <v>37</v>
      </c>
      <c r="K113" t="s">
        <v>33</v>
      </c>
      <c r="L113" s="2" t="s">
        <v>37</v>
      </c>
      <c r="O113" s="2"/>
      <c r="R113" s="2"/>
      <c r="V113" s="2"/>
      <c r="Y113" s="2"/>
      <c r="Z113" s="2"/>
      <c r="AA113" s="2"/>
      <c r="AB113" s="7"/>
      <c r="AC113" s="2"/>
      <c r="AD113" s="2"/>
      <c r="AE113" s="2"/>
      <c r="AF113" s="7"/>
      <c r="AG113" s="7"/>
      <c r="AH113" s="7"/>
      <c r="AI113" s="2"/>
      <c r="AJ113" s="2"/>
      <c r="AK113" s="2"/>
      <c r="AL113" s="2"/>
      <c r="AM113" s="2"/>
    </row>
    <row r="114" spans="1:39" ht="13.5" thickBot="1">
      <c r="A114" s="20" t="s">
        <v>47</v>
      </c>
      <c r="C114">
        <v>0</v>
      </c>
      <c r="D114" s="4">
        <v>0</v>
      </c>
      <c r="E114" s="15">
        <v>0</v>
      </c>
      <c r="F114" s="15">
        <v>0</v>
      </c>
      <c r="H114" s="15"/>
      <c r="K114">
        <v>0</v>
      </c>
      <c r="L114" s="15">
        <v>0</v>
      </c>
      <c r="O114">
        <v>5.19</v>
      </c>
      <c r="P114" s="4">
        <f>H103</f>
        <v>77</v>
      </c>
      <c r="R114" s="4">
        <f>K191/(O114*H107)+(H110/'Trace Tube Helium'!I110)*2*T114</f>
        <v>1349.8947875469016</v>
      </c>
      <c r="T114" s="15">
        <f>'Trace Tube Helium'!T114</f>
        <v>8.556434438697899</v>
      </c>
      <c r="V114" s="3">
        <f>0.00096*(100/P114)*(AG114/2)</f>
        <v>0.012467532467532468</v>
      </c>
      <c r="Y114" s="1">
        <f aca="true" t="shared" si="54" ref="Y114:Y177">(3.5155+0.059464*P114)*10^-6</f>
        <v>8.094228E-06</v>
      </c>
      <c r="Z114" s="27">
        <f>H109</f>
        <v>13.58</v>
      </c>
      <c r="AA114" s="9">
        <v>1</v>
      </c>
      <c r="AB114" s="8">
        <f aca="true" t="shared" si="55" ref="AB114:AB177">4*R114/(V114*3.14159*Z114^2*AA114)</f>
        <v>747.5329804482045</v>
      </c>
      <c r="AC114" s="4">
        <f aca="true" t="shared" si="56" ref="AC114:AC177">V114*AB114*Z114/Y114/10</f>
        <v>1563634.3496161555</v>
      </c>
      <c r="AD114" s="5">
        <f aca="true" t="shared" si="57" ref="AD114:AD177">4*(0.0791/AC114^0.25)</f>
        <v>0.008947519926090188</v>
      </c>
      <c r="AE114" s="4">
        <v>0</v>
      </c>
      <c r="AF114" s="10">
        <f>AD114*AE114/(Z114)*(T114*AB114^2/2)*0.1</f>
        <v>0</v>
      </c>
      <c r="AG114" s="10">
        <f>H104</f>
        <v>20</v>
      </c>
      <c r="AI114" s="15">
        <f>P114</f>
        <v>77</v>
      </c>
      <c r="AJ114" s="15">
        <f>AI114</f>
        <v>77</v>
      </c>
      <c r="AK114" s="15">
        <f>AI188</f>
        <v>77.54757562313371</v>
      </c>
      <c r="AL114" s="15">
        <f>AK114-AI114</f>
        <v>0.5475756231337101</v>
      </c>
      <c r="AM114" s="15">
        <f>AJ114+AL114</f>
        <v>77.54757562313371</v>
      </c>
    </row>
    <row r="115" spans="1:39" ht="12.75">
      <c r="A115" s="108"/>
      <c r="C115">
        <v>135</v>
      </c>
      <c r="D115" s="4">
        <f aca="true" t="shared" si="58" ref="D115:D178">D114+C115</f>
        <v>135</v>
      </c>
      <c r="E115" s="15">
        <f>H108</f>
        <v>0.125</v>
      </c>
      <c r="F115" s="15">
        <f aca="true" t="shared" si="59" ref="F115:F178">E115*C115</f>
        <v>16.875</v>
      </c>
      <c r="H115" s="15">
        <v>0</v>
      </c>
      <c r="I115" s="15">
        <f aca="true" t="shared" si="60" ref="I115:I178">H115*C115</f>
        <v>0</v>
      </c>
      <c r="J115" s="15"/>
      <c r="K115" s="15">
        <f aca="true" t="shared" si="61" ref="K115:K178">H115+E115</f>
        <v>0.125</v>
      </c>
      <c r="L115" s="15">
        <f aca="true" t="shared" si="62" ref="L115:L178">K115*C115</f>
        <v>16.875</v>
      </c>
      <c r="O115">
        <f aca="true" t="shared" si="63" ref="O115:O178">O114</f>
        <v>5.19</v>
      </c>
      <c r="P115" s="4">
        <f>P114+L115/(R115*O115)</f>
        <v>77.00243959273544</v>
      </c>
      <c r="R115" s="4">
        <f>R114-2*T115</f>
        <v>1332.7819186695058</v>
      </c>
      <c r="T115" s="15">
        <f>'Trace Tube Helium'!T114</f>
        <v>8.556434438697899</v>
      </c>
      <c r="V115" s="3">
        <f aca="true" t="shared" si="64" ref="V115:V178">0.00096*(100/P115)*(AG114/2)</f>
        <v>0.01246713747093499</v>
      </c>
      <c r="Y115" s="1">
        <f t="shared" si="54"/>
        <v>8.09437306794242E-06</v>
      </c>
      <c r="Z115">
        <f aca="true" t="shared" si="65" ref="Z115:Z178">Z114</f>
        <v>13.58</v>
      </c>
      <c r="AA115">
        <f aca="true" t="shared" si="66" ref="AA115:AA178">AA114</f>
        <v>1</v>
      </c>
      <c r="AB115" s="8">
        <f t="shared" si="55"/>
        <v>738.0797487980542</v>
      </c>
      <c r="AC115" s="4">
        <f t="shared" si="56"/>
        <v>1543784.1959969944</v>
      </c>
      <c r="AD115" s="5">
        <f t="shared" si="57"/>
        <v>0.008976144330946333</v>
      </c>
      <c r="AE115" s="4">
        <f aca="true" t="shared" si="67" ref="AE115:AE178">100*(D115-D114)</f>
        <v>13500</v>
      </c>
      <c r="AF115" s="8">
        <f aca="true" t="shared" si="68" ref="AF115:AF178">AD115*AE115/(Z115)*(V115*AB115^2/2)*0.1</f>
        <v>3030.1711379978506</v>
      </c>
      <c r="AG115" s="10">
        <f aca="true" t="shared" si="69" ref="AG115:AG178">AG114-AF115/100000</f>
        <v>19.969698288620023</v>
      </c>
      <c r="AI115" s="15">
        <f aca="true" t="shared" si="70" ref="AI115:AI178">P115</f>
        <v>77.00243959273544</v>
      </c>
      <c r="AJ115" s="15">
        <f>AJ114</f>
        <v>77</v>
      </c>
      <c r="AK115" s="15">
        <f>AK114</f>
        <v>77.54757562313371</v>
      </c>
      <c r="AL115" s="15">
        <f aca="true" t="shared" si="71" ref="AL115:AL178">AK115-AI115</f>
        <v>0.5451360303982682</v>
      </c>
      <c r="AM115" s="15">
        <f aca="true" t="shared" si="72" ref="AM115:AM178">AJ115+AL115</f>
        <v>77.54513603039827</v>
      </c>
    </row>
    <row r="116" spans="1:39" ht="12.75">
      <c r="A116" s="109"/>
      <c r="C116">
        <f aca="true" t="shared" si="73" ref="C116:C179">C115</f>
        <v>135</v>
      </c>
      <c r="D116" s="4">
        <f t="shared" si="58"/>
        <v>270</v>
      </c>
      <c r="E116" s="15">
        <f aca="true" t="shared" si="74" ref="E116:E179">E115</f>
        <v>0.125</v>
      </c>
      <c r="F116" s="15">
        <f t="shared" si="59"/>
        <v>16.875</v>
      </c>
      <c r="H116" s="15">
        <f aca="true" t="shared" si="75" ref="H116:H179">H115</f>
        <v>0</v>
      </c>
      <c r="I116" s="15">
        <f t="shared" si="60"/>
        <v>0</v>
      </c>
      <c r="J116" s="15"/>
      <c r="K116" s="15">
        <f t="shared" si="61"/>
        <v>0.125</v>
      </c>
      <c r="L116" s="15">
        <f t="shared" si="62"/>
        <v>16.875</v>
      </c>
      <c r="O116">
        <f t="shared" si="63"/>
        <v>5.19</v>
      </c>
      <c r="P116" s="4">
        <f aca="true" t="shared" si="76" ref="P116:P179">P115+L116/(R116*O116)</f>
        <v>77.00491091718229</v>
      </c>
      <c r="R116" s="4">
        <f aca="true" t="shared" si="77" ref="R116:R179">R115-2*T116</f>
        <v>1315.66904979211</v>
      </c>
      <c r="T116" s="15">
        <f aca="true" t="shared" si="78" ref="T116:T179">T115</f>
        <v>8.556434438697899</v>
      </c>
      <c r="V116" s="3">
        <f t="shared" si="64"/>
        <v>0.012447849188276622</v>
      </c>
      <c r="Y116" s="1">
        <f t="shared" si="54"/>
        <v>8.094520022779328E-06</v>
      </c>
      <c r="Z116">
        <f t="shared" si="65"/>
        <v>13.58</v>
      </c>
      <c r="AA116">
        <f t="shared" si="66"/>
        <v>1</v>
      </c>
      <c r="AB116" s="8">
        <f t="shared" si="55"/>
        <v>729.7318230544303</v>
      </c>
      <c r="AC116" s="4">
        <f t="shared" si="56"/>
        <v>1523934.3986360335</v>
      </c>
      <c r="AD116" s="5">
        <f t="shared" si="57"/>
        <v>0.0090052320174319</v>
      </c>
      <c r="AE116" s="4">
        <f t="shared" si="67"/>
        <v>13500</v>
      </c>
      <c r="AF116" s="8">
        <f t="shared" si="68"/>
        <v>2967.015393265967</v>
      </c>
      <c r="AG116" s="10">
        <f t="shared" si="69"/>
        <v>19.940028134687363</v>
      </c>
      <c r="AI116" s="15">
        <f t="shared" si="70"/>
        <v>77.00491091718229</v>
      </c>
      <c r="AJ116" s="15">
        <f aca="true" t="shared" si="79" ref="AJ116:AJ179">AJ115</f>
        <v>77</v>
      </c>
      <c r="AK116" s="15">
        <f aca="true" t="shared" si="80" ref="AK116:AK179">AK115</f>
        <v>77.54757562313371</v>
      </c>
      <c r="AL116" s="15">
        <f t="shared" si="71"/>
        <v>0.5426647059514238</v>
      </c>
      <c r="AM116" s="15">
        <f t="shared" si="72"/>
        <v>77.54266470595142</v>
      </c>
    </row>
    <row r="117" spans="1:39" ht="12.75">
      <c r="A117" s="109"/>
      <c r="C117">
        <f t="shared" si="73"/>
        <v>135</v>
      </c>
      <c r="D117" s="4">
        <f t="shared" si="58"/>
        <v>405</v>
      </c>
      <c r="E117" s="15">
        <f t="shared" si="74"/>
        <v>0.125</v>
      </c>
      <c r="F117" s="15">
        <f t="shared" si="59"/>
        <v>16.875</v>
      </c>
      <c r="H117" s="15">
        <f t="shared" si="75"/>
        <v>0</v>
      </c>
      <c r="I117" s="15">
        <f t="shared" si="60"/>
        <v>0</v>
      </c>
      <c r="J117" s="15"/>
      <c r="K117" s="15">
        <f t="shared" si="61"/>
        <v>0.125</v>
      </c>
      <c r="L117" s="15">
        <f t="shared" si="62"/>
        <v>16.875</v>
      </c>
      <c r="O117">
        <f t="shared" si="63"/>
        <v>5.19</v>
      </c>
      <c r="P117" s="4">
        <f t="shared" si="76"/>
        <v>77.00741480968574</v>
      </c>
      <c r="R117" s="4">
        <f t="shared" si="77"/>
        <v>1298.556180914714</v>
      </c>
      <c r="T117" s="15">
        <f t="shared" si="78"/>
        <v>8.556434438697899</v>
      </c>
      <c r="V117" s="3">
        <f t="shared" si="64"/>
        <v>0.012428950547559608</v>
      </c>
      <c r="Y117" s="1">
        <f t="shared" si="54"/>
        <v>8.094668914243153E-06</v>
      </c>
      <c r="Z117">
        <f t="shared" si="65"/>
        <v>13.58</v>
      </c>
      <c r="AA117">
        <f t="shared" si="66"/>
        <v>1</v>
      </c>
      <c r="AB117" s="8">
        <f t="shared" si="55"/>
        <v>721.335372238427</v>
      </c>
      <c r="AC117" s="4">
        <f t="shared" si="56"/>
        <v>1504084.962154162</v>
      </c>
      <c r="AD117" s="5">
        <f t="shared" si="57"/>
        <v>0.009034796657657374</v>
      </c>
      <c r="AE117" s="4">
        <f t="shared" si="67"/>
        <v>13500</v>
      </c>
      <c r="AF117" s="8">
        <f t="shared" si="68"/>
        <v>2904.2319844433205</v>
      </c>
      <c r="AG117" s="10">
        <f t="shared" si="69"/>
        <v>19.91098581484293</v>
      </c>
      <c r="AI117" s="15">
        <f t="shared" si="70"/>
        <v>77.00741480968574</v>
      </c>
      <c r="AJ117" s="15">
        <f t="shared" si="79"/>
        <v>77</v>
      </c>
      <c r="AK117" s="15">
        <f t="shared" si="80"/>
        <v>77.54757562313371</v>
      </c>
      <c r="AL117" s="15">
        <f t="shared" si="71"/>
        <v>0.5401608134479687</v>
      </c>
      <c r="AM117" s="15">
        <f t="shared" si="72"/>
        <v>77.54016081344797</v>
      </c>
    </row>
    <row r="118" spans="1:39" ht="12.75">
      <c r="A118" s="109"/>
      <c r="C118">
        <f t="shared" si="73"/>
        <v>135</v>
      </c>
      <c r="D118" s="4">
        <f t="shared" si="58"/>
        <v>540</v>
      </c>
      <c r="E118" s="15">
        <f t="shared" si="74"/>
        <v>0.125</v>
      </c>
      <c r="F118" s="15">
        <f t="shared" si="59"/>
        <v>16.875</v>
      </c>
      <c r="H118" s="15">
        <f t="shared" si="75"/>
        <v>0</v>
      </c>
      <c r="I118" s="15">
        <f t="shared" si="60"/>
        <v>0</v>
      </c>
      <c r="J118" s="15"/>
      <c r="K118" s="15">
        <f t="shared" si="61"/>
        <v>0.125</v>
      </c>
      <c r="L118" s="15">
        <f t="shared" si="62"/>
        <v>16.875</v>
      </c>
      <c r="O118">
        <f t="shared" si="63"/>
        <v>5.19</v>
      </c>
      <c r="P118" s="4">
        <f t="shared" si="76"/>
        <v>77.0099521400976</v>
      </c>
      <c r="R118" s="4">
        <f t="shared" si="77"/>
        <v>1281.4433120373183</v>
      </c>
      <c r="T118" s="15">
        <f t="shared" si="78"/>
        <v>8.556434438697899</v>
      </c>
      <c r="V118" s="3">
        <f t="shared" si="64"/>
        <v>0.01241043907381981</v>
      </c>
      <c r="Y118" s="1">
        <f t="shared" si="54"/>
        <v>8.094819794058762E-06</v>
      </c>
      <c r="Z118">
        <f t="shared" si="65"/>
        <v>13.58</v>
      </c>
      <c r="AA118">
        <f t="shared" si="66"/>
        <v>1</v>
      </c>
      <c r="AB118" s="8">
        <f t="shared" si="55"/>
        <v>712.8911076893112</v>
      </c>
      <c r="AC118" s="4">
        <f t="shared" si="56"/>
        <v>1484235.891293889</v>
      </c>
      <c r="AD118" s="5">
        <f t="shared" si="57"/>
        <v>0.009064852514266225</v>
      </c>
      <c r="AE118" s="4">
        <f t="shared" si="67"/>
        <v>13500</v>
      </c>
      <c r="AF118" s="8">
        <f t="shared" si="68"/>
        <v>2841.8312608533142</v>
      </c>
      <c r="AG118" s="10">
        <f t="shared" si="69"/>
        <v>19.882567502234398</v>
      </c>
      <c r="AI118" s="15">
        <f t="shared" si="70"/>
        <v>77.0099521400976</v>
      </c>
      <c r="AJ118" s="15">
        <f t="shared" si="79"/>
        <v>77</v>
      </c>
      <c r="AK118" s="15">
        <f t="shared" si="80"/>
        <v>77.54757562313371</v>
      </c>
      <c r="AL118" s="15">
        <f t="shared" si="71"/>
        <v>0.5376234830361142</v>
      </c>
      <c r="AM118" s="15">
        <f t="shared" si="72"/>
        <v>77.53762348303611</v>
      </c>
    </row>
    <row r="119" spans="1:39" ht="12.75">
      <c r="A119" s="109"/>
      <c r="C119">
        <f t="shared" si="73"/>
        <v>135</v>
      </c>
      <c r="D119" s="4">
        <f t="shared" si="58"/>
        <v>675</v>
      </c>
      <c r="E119" s="15">
        <f t="shared" si="74"/>
        <v>0.125</v>
      </c>
      <c r="F119" s="15">
        <f t="shared" si="59"/>
        <v>16.875</v>
      </c>
      <c r="H119" s="15">
        <f t="shared" si="75"/>
        <v>0</v>
      </c>
      <c r="I119" s="15">
        <f t="shared" si="60"/>
        <v>0</v>
      </c>
      <c r="J119" s="15"/>
      <c r="K119" s="15">
        <f t="shared" si="61"/>
        <v>0.125</v>
      </c>
      <c r="L119" s="15">
        <f t="shared" si="62"/>
        <v>16.875</v>
      </c>
      <c r="O119">
        <f t="shared" si="63"/>
        <v>5.19</v>
      </c>
      <c r="P119" s="4">
        <f t="shared" si="76"/>
        <v>77.0125238135903</v>
      </c>
      <c r="R119" s="4">
        <f t="shared" si="77"/>
        <v>1264.3304431599224</v>
      </c>
      <c r="T119" s="15">
        <f t="shared" si="78"/>
        <v>8.556434438697899</v>
      </c>
      <c r="V119" s="3">
        <f t="shared" si="64"/>
        <v>0.012392312222065311</v>
      </c>
      <c r="Y119" s="1">
        <f t="shared" si="54"/>
        <v>8.094972716051333E-06</v>
      </c>
      <c r="Z119">
        <f t="shared" si="65"/>
        <v>13.58</v>
      </c>
      <c r="AA119">
        <f t="shared" si="66"/>
        <v>1</v>
      </c>
      <c r="AB119" s="8">
        <f t="shared" si="55"/>
        <v>704.3997512580837</v>
      </c>
      <c r="AC119" s="4">
        <f t="shared" si="56"/>
        <v>1464387.1909242133</v>
      </c>
      <c r="AD119" s="5">
        <f t="shared" si="57"/>
        <v>0.009095414474238464</v>
      </c>
      <c r="AE119" s="4">
        <f t="shared" si="67"/>
        <v>13500</v>
      </c>
      <c r="AF119" s="8">
        <f t="shared" si="68"/>
        <v>2779.823564355958</v>
      </c>
      <c r="AG119" s="10">
        <f t="shared" si="69"/>
        <v>19.85476926659084</v>
      </c>
      <c r="AI119" s="15">
        <f t="shared" si="70"/>
        <v>77.0125238135903</v>
      </c>
      <c r="AJ119" s="15">
        <f t="shared" si="79"/>
        <v>77</v>
      </c>
      <c r="AK119" s="15">
        <f t="shared" si="80"/>
        <v>77.54757562313371</v>
      </c>
      <c r="AL119" s="15">
        <f t="shared" si="71"/>
        <v>0.535051809543404</v>
      </c>
      <c r="AM119" s="15">
        <f t="shared" si="72"/>
        <v>77.5350518095434</v>
      </c>
    </row>
    <row r="120" spans="1:39" ht="12.75">
      <c r="A120" s="109"/>
      <c r="C120">
        <f t="shared" si="73"/>
        <v>135</v>
      </c>
      <c r="D120" s="4">
        <f t="shared" si="58"/>
        <v>810</v>
      </c>
      <c r="E120" s="15">
        <f t="shared" si="74"/>
        <v>0.125</v>
      </c>
      <c r="F120" s="15">
        <f t="shared" si="59"/>
        <v>16.875</v>
      </c>
      <c r="H120" s="15">
        <f t="shared" si="75"/>
        <v>0</v>
      </c>
      <c r="I120" s="15">
        <f t="shared" si="60"/>
        <v>0</v>
      </c>
      <c r="J120" s="15"/>
      <c r="K120" s="15">
        <f t="shared" si="61"/>
        <v>0.125</v>
      </c>
      <c r="L120" s="15">
        <f t="shared" si="62"/>
        <v>16.875</v>
      </c>
      <c r="O120">
        <f t="shared" si="63"/>
        <v>5.19</v>
      </c>
      <c r="P120" s="4">
        <f t="shared" si="76"/>
        <v>77.0151307725955</v>
      </c>
      <c r="R120" s="4">
        <f t="shared" si="77"/>
        <v>1247.2175742825266</v>
      </c>
      <c r="T120" s="15">
        <f t="shared" si="78"/>
        <v>8.556434438697899</v>
      </c>
      <c r="V120" s="3">
        <f t="shared" si="64"/>
        <v>0.01237456737703131</v>
      </c>
      <c r="Y120" s="1">
        <f t="shared" si="54"/>
        <v>8.095127736261618E-06</v>
      </c>
      <c r="Z120">
        <f t="shared" si="65"/>
        <v>13.58</v>
      </c>
      <c r="AA120">
        <f t="shared" si="66"/>
        <v>1</v>
      </c>
      <c r="AB120" s="8">
        <f t="shared" si="55"/>
        <v>695.8620348382891</v>
      </c>
      <c r="AC120" s="4">
        <f t="shared" si="56"/>
        <v>1444538.8660457546</v>
      </c>
      <c r="AD120" s="5">
        <f t="shared" si="57"/>
        <v>0.00912649808511707</v>
      </c>
      <c r="AE120" s="4">
        <f t="shared" si="67"/>
        <v>13500</v>
      </c>
      <c r="AF120" s="8">
        <f t="shared" si="68"/>
        <v>2718.219226248204</v>
      </c>
      <c r="AG120" s="10">
        <f t="shared" si="69"/>
        <v>19.827587074328356</v>
      </c>
      <c r="AI120" s="15">
        <f t="shared" si="70"/>
        <v>77.0151307725955</v>
      </c>
      <c r="AJ120" s="15">
        <f t="shared" si="79"/>
        <v>77</v>
      </c>
      <c r="AK120" s="15">
        <f t="shared" si="80"/>
        <v>77.54757562313371</v>
      </c>
      <c r="AL120" s="15">
        <f t="shared" si="71"/>
        <v>0.5324448505382122</v>
      </c>
      <c r="AM120" s="15">
        <f t="shared" si="72"/>
        <v>77.53244485053821</v>
      </c>
    </row>
    <row r="121" spans="1:39" ht="12.75">
      <c r="A121" s="109"/>
      <c r="C121">
        <f t="shared" si="73"/>
        <v>135</v>
      </c>
      <c r="D121" s="4">
        <f t="shared" si="58"/>
        <v>945</v>
      </c>
      <c r="E121" s="15">
        <f t="shared" si="74"/>
        <v>0.125</v>
      </c>
      <c r="F121" s="15">
        <f t="shared" si="59"/>
        <v>16.875</v>
      </c>
      <c r="H121" s="15">
        <f t="shared" si="75"/>
        <v>0</v>
      </c>
      <c r="I121" s="15">
        <f t="shared" si="60"/>
        <v>0</v>
      </c>
      <c r="J121" s="15"/>
      <c r="K121" s="15">
        <f t="shared" si="61"/>
        <v>0.125</v>
      </c>
      <c r="L121" s="15">
        <f t="shared" si="62"/>
        <v>16.875</v>
      </c>
      <c r="O121">
        <f t="shared" si="63"/>
        <v>5.19</v>
      </c>
      <c r="P121" s="4">
        <f t="shared" si="76"/>
        <v>77.0177739988773</v>
      </c>
      <c r="R121" s="4">
        <f t="shared" si="77"/>
        <v>1230.1047054051307</v>
      </c>
      <c r="T121" s="15">
        <f t="shared" si="78"/>
        <v>8.556434438697899</v>
      </c>
      <c r="V121" s="3">
        <f t="shared" si="64"/>
        <v>0.012357201852933772</v>
      </c>
      <c r="Y121" s="1">
        <f t="shared" si="54"/>
        <v>8.095284913069238E-06</v>
      </c>
      <c r="Z121">
        <f t="shared" si="65"/>
        <v>13.58</v>
      </c>
      <c r="AA121">
        <f t="shared" si="66"/>
        <v>1</v>
      </c>
      <c r="AB121" s="8">
        <f t="shared" si="55"/>
        <v>687.2786998860428</v>
      </c>
      <c r="AC121" s="4">
        <f t="shared" si="56"/>
        <v>1424690.9217961691</v>
      </c>
      <c r="AD121" s="5">
        <f t="shared" si="57"/>
        <v>0.009158119593866984</v>
      </c>
      <c r="AE121" s="4">
        <f t="shared" si="67"/>
        <v>13500</v>
      </c>
      <c r="AF121" s="8">
        <f t="shared" si="68"/>
        <v>2657.028564259875</v>
      </c>
      <c r="AG121" s="10">
        <f t="shared" si="69"/>
        <v>19.801016788685757</v>
      </c>
      <c r="AI121" s="15">
        <f t="shared" si="70"/>
        <v>77.0177739988773</v>
      </c>
      <c r="AJ121" s="15">
        <f t="shared" si="79"/>
        <v>77</v>
      </c>
      <c r="AK121" s="15">
        <f t="shared" si="80"/>
        <v>77.54757562313371</v>
      </c>
      <c r="AL121" s="15">
        <f t="shared" si="71"/>
        <v>0.5298016242564074</v>
      </c>
      <c r="AM121" s="15">
        <f t="shared" si="72"/>
        <v>77.52980162425641</v>
      </c>
    </row>
    <row r="122" spans="1:39" ht="12.75">
      <c r="A122" s="109"/>
      <c r="C122">
        <f t="shared" si="73"/>
        <v>135</v>
      </c>
      <c r="D122" s="4">
        <f t="shared" si="58"/>
        <v>1080</v>
      </c>
      <c r="E122" s="15">
        <f t="shared" si="74"/>
        <v>0.125</v>
      </c>
      <c r="F122" s="15">
        <f t="shared" si="59"/>
        <v>16.875</v>
      </c>
      <c r="H122" s="15">
        <f t="shared" si="75"/>
        <v>0</v>
      </c>
      <c r="I122" s="15">
        <f t="shared" si="60"/>
        <v>0</v>
      </c>
      <c r="J122" s="15"/>
      <c r="K122" s="15">
        <f t="shared" si="61"/>
        <v>0.125</v>
      </c>
      <c r="L122" s="15">
        <f t="shared" si="62"/>
        <v>16.875</v>
      </c>
      <c r="O122">
        <f t="shared" si="63"/>
        <v>5.19</v>
      </c>
      <c r="P122" s="4">
        <f t="shared" si="76"/>
        <v>77.02045451575202</v>
      </c>
      <c r="R122" s="4">
        <f t="shared" si="77"/>
        <v>1212.991836527735</v>
      </c>
      <c r="T122" s="15">
        <f t="shared" si="78"/>
        <v>8.556434438697899</v>
      </c>
      <c r="V122" s="3">
        <f t="shared" si="64"/>
        <v>0.012340212893219593</v>
      </c>
      <c r="Y122" s="1">
        <f t="shared" si="54"/>
        <v>8.095444307324677E-06</v>
      </c>
      <c r="Z122">
        <f t="shared" si="65"/>
        <v>13.58</v>
      </c>
      <c r="AA122">
        <f t="shared" si="66"/>
        <v>1</v>
      </c>
      <c r="AB122" s="8">
        <f t="shared" si="55"/>
        <v>678.6504969297937</v>
      </c>
      <c r="AC122" s="4">
        <f t="shared" si="56"/>
        <v>1404843.363455857</v>
      </c>
      <c r="AD122" s="5">
        <f t="shared" si="57"/>
        <v>0.009190295988597528</v>
      </c>
      <c r="AE122" s="4">
        <f t="shared" si="67"/>
        <v>13500</v>
      </c>
      <c r="AF122" s="8">
        <f t="shared" si="68"/>
        <v>2596.261879653521</v>
      </c>
      <c r="AG122" s="10">
        <f t="shared" si="69"/>
        <v>19.775054169889223</v>
      </c>
      <c r="AI122" s="15">
        <f t="shared" si="70"/>
        <v>77.02045451575202</v>
      </c>
      <c r="AJ122" s="15">
        <f t="shared" si="79"/>
        <v>77</v>
      </c>
      <c r="AK122" s="15">
        <f t="shared" si="80"/>
        <v>77.54757562313371</v>
      </c>
      <c r="AL122" s="15">
        <f t="shared" si="71"/>
        <v>0.5271211073816886</v>
      </c>
      <c r="AM122" s="15">
        <f t="shared" si="72"/>
        <v>77.52712110738169</v>
      </c>
    </row>
    <row r="123" spans="1:39" ht="12.75">
      <c r="A123" s="109"/>
      <c r="C123">
        <f t="shared" si="73"/>
        <v>135</v>
      </c>
      <c r="D123" s="4">
        <f t="shared" si="58"/>
        <v>1215</v>
      </c>
      <c r="E123" s="15">
        <f t="shared" si="74"/>
        <v>0.125</v>
      </c>
      <c r="F123" s="15">
        <f t="shared" si="59"/>
        <v>16.875</v>
      </c>
      <c r="H123" s="15">
        <f t="shared" si="75"/>
        <v>0</v>
      </c>
      <c r="I123" s="15">
        <f t="shared" si="60"/>
        <v>0</v>
      </c>
      <c r="J123" s="15"/>
      <c r="K123" s="15">
        <f t="shared" si="61"/>
        <v>0.125</v>
      </c>
      <c r="L123" s="15">
        <f t="shared" si="62"/>
        <v>16.875</v>
      </c>
      <c r="O123">
        <f t="shared" si="63"/>
        <v>5.19</v>
      </c>
      <c r="P123" s="4">
        <f t="shared" si="76"/>
        <v>77.02317339046648</v>
      </c>
      <c r="R123" s="4">
        <f t="shared" si="77"/>
        <v>1195.878967650339</v>
      </c>
      <c r="T123" s="15">
        <f t="shared" si="78"/>
        <v>8.556434438697899</v>
      </c>
      <c r="V123" s="3">
        <f t="shared" si="64"/>
        <v>0.01232359767031061</v>
      </c>
      <c r="Y123" s="1">
        <f t="shared" si="54"/>
        <v>8.0956059824907E-06</v>
      </c>
      <c r="Z123">
        <f t="shared" si="65"/>
        <v>13.58</v>
      </c>
      <c r="AA123">
        <f t="shared" si="66"/>
        <v>1</v>
      </c>
      <c r="AB123" s="8">
        <f t="shared" si="55"/>
        <v>669.9781850703686</v>
      </c>
      <c r="AC123" s="4">
        <f t="shared" si="56"/>
        <v>1384996.1964540046</v>
      </c>
      <c r="AD123" s="5">
        <f t="shared" si="57"/>
        <v>0.009223045043403062</v>
      </c>
      <c r="AE123" s="4">
        <f t="shared" si="67"/>
        <v>13500</v>
      </c>
      <c r="AF123" s="8">
        <f t="shared" si="68"/>
        <v>2535.9294544368204</v>
      </c>
      <c r="AG123" s="10">
        <f t="shared" si="69"/>
        <v>19.749694875344854</v>
      </c>
      <c r="AI123" s="15">
        <f t="shared" si="70"/>
        <v>77.02317339046648</v>
      </c>
      <c r="AJ123" s="15">
        <f t="shared" si="79"/>
        <v>77</v>
      </c>
      <c r="AK123" s="15">
        <f t="shared" si="80"/>
        <v>77.54757562313371</v>
      </c>
      <c r="AL123" s="15">
        <f t="shared" si="71"/>
        <v>0.524402232667228</v>
      </c>
      <c r="AM123" s="15">
        <f t="shared" si="72"/>
        <v>77.52440223266723</v>
      </c>
    </row>
    <row r="124" spans="1:39" ht="13.5" thickBot="1">
      <c r="A124" s="110"/>
      <c r="C124">
        <f t="shared" si="73"/>
        <v>135</v>
      </c>
      <c r="D124" s="4">
        <f t="shared" si="58"/>
        <v>1350</v>
      </c>
      <c r="E124" s="15">
        <f t="shared" si="74"/>
        <v>0.125</v>
      </c>
      <c r="F124" s="15">
        <f t="shared" si="59"/>
        <v>16.875</v>
      </c>
      <c r="H124" s="15">
        <f t="shared" si="75"/>
        <v>0</v>
      </c>
      <c r="I124" s="15">
        <f t="shared" si="60"/>
        <v>0</v>
      </c>
      <c r="J124" s="15"/>
      <c r="K124" s="15">
        <f t="shared" si="61"/>
        <v>0.125</v>
      </c>
      <c r="L124" s="15">
        <f t="shared" si="62"/>
        <v>16.875</v>
      </c>
      <c r="O124">
        <f t="shared" si="63"/>
        <v>5.19</v>
      </c>
      <c r="P124" s="4">
        <f t="shared" si="76"/>
        <v>77.02593173674917</v>
      </c>
      <c r="R124" s="4">
        <f t="shared" si="77"/>
        <v>1178.7660987729432</v>
      </c>
      <c r="T124" s="15">
        <f t="shared" si="78"/>
        <v>8.556434438697899</v>
      </c>
      <c r="V124" s="3">
        <f t="shared" si="64"/>
        <v>0.012307353285338683</v>
      </c>
      <c r="Y124" s="1">
        <f t="shared" si="54"/>
        <v>8.095770004794053E-06</v>
      </c>
      <c r="Z124">
        <f t="shared" si="65"/>
        <v>13.58</v>
      </c>
      <c r="AA124">
        <f t="shared" si="66"/>
        <v>1</v>
      </c>
      <c r="AB124" s="8">
        <f t="shared" si="55"/>
        <v>661.2625314718402</v>
      </c>
      <c r="AC124" s="4">
        <f t="shared" si="56"/>
        <v>1365149.4263749642</v>
      </c>
      <c r="AD124" s="5">
        <f t="shared" si="57"/>
        <v>0.009256385366603287</v>
      </c>
      <c r="AE124" s="4">
        <f t="shared" si="67"/>
        <v>13500</v>
      </c>
      <c r="AF124" s="8">
        <f t="shared" si="68"/>
        <v>2476.04154869617</v>
      </c>
      <c r="AG124" s="10">
        <f t="shared" si="69"/>
        <v>19.72493445985789</v>
      </c>
      <c r="AI124" s="15">
        <f t="shared" si="70"/>
        <v>77.02593173674917</v>
      </c>
      <c r="AJ124" s="15">
        <f t="shared" si="79"/>
        <v>77</v>
      </c>
      <c r="AK124" s="15">
        <f t="shared" si="80"/>
        <v>77.54757562313371</v>
      </c>
      <c r="AL124" s="15">
        <f t="shared" si="71"/>
        <v>0.5216438863845383</v>
      </c>
      <c r="AM124" s="15">
        <f t="shared" si="72"/>
        <v>77.52164388638454</v>
      </c>
    </row>
    <row r="125" spans="1:39" ht="12.75">
      <c r="A125" s="108"/>
      <c r="C125">
        <f t="shared" si="73"/>
        <v>135</v>
      </c>
      <c r="D125" s="4">
        <f t="shared" si="58"/>
        <v>1485</v>
      </c>
      <c r="E125" s="15">
        <f t="shared" si="74"/>
        <v>0.125</v>
      </c>
      <c r="F125" s="15">
        <f t="shared" si="59"/>
        <v>16.875</v>
      </c>
      <c r="H125" s="15">
        <f t="shared" si="75"/>
        <v>0</v>
      </c>
      <c r="I125" s="15">
        <f t="shared" si="60"/>
        <v>0</v>
      </c>
      <c r="J125" s="15"/>
      <c r="K125" s="15">
        <f t="shared" si="61"/>
        <v>0.125</v>
      </c>
      <c r="L125" s="15">
        <f t="shared" si="62"/>
        <v>16.875</v>
      </c>
      <c r="O125">
        <f t="shared" si="63"/>
        <v>5.19</v>
      </c>
      <c r="P125" s="4">
        <f t="shared" si="76"/>
        <v>77.02873071754915</v>
      </c>
      <c r="R125" s="4">
        <f t="shared" si="77"/>
        <v>1161.6532298955474</v>
      </c>
      <c r="T125" s="15">
        <f t="shared" si="78"/>
        <v>8.556434438697899</v>
      </c>
      <c r="V125" s="3">
        <f t="shared" si="64"/>
        <v>0.01229147676786882</v>
      </c>
      <c r="Y125" s="1">
        <f t="shared" si="54"/>
        <v>8.095936443388343E-06</v>
      </c>
      <c r="Z125">
        <f t="shared" si="65"/>
        <v>13.58</v>
      </c>
      <c r="AA125">
        <f t="shared" si="66"/>
        <v>1</v>
      </c>
      <c r="AB125" s="8">
        <f t="shared" si="55"/>
        <v>652.5043108437761</v>
      </c>
      <c r="AC125" s="4">
        <f t="shared" si="56"/>
        <v>1345303.0589650024</v>
      </c>
      <c r="AD125" s="5">
        <f t="shared" si="57"/>
        <v>0.009290336452694607</v>
      </c>
      <c r="AE125" s="4">
        <f t="shared" si="67"/>
        <v>13500</v>
      </c>
      <c r="AF125" s="8">
        <f t="shared" si="68"/>
        <v>2416.608398060355</v>
      </c>
      <c r="AG125" s="10">
        <f t="shared" si="69"/>
        <v>19.70076837587729</v>
      </c>
      <c r="AI125" s="15">
        <f t="shared" si="70"/>
        <v>77.02873071754915</v>
      </c>
      <c r="AJ125" s="15">
        <f t="shared" si="79"/>
        <v>77</v>
      </c>
      <c r="AK125" s="15">
        <f t="shared" si="80"/>
        <v>77.54757562313371</v>
      </c>
      <c r="AL125" s="15">
        <f t="shared" si="71"/>
        <v>0.5188449055845581</v>
      </c>
      <c r="AM125" s="15">
        <f t="shared" si="72"/>
        <v>77.51884490558456</v>
      </c>
    </row>
    <row r="126" spans="1:39" ht="12.75">
      <c r="A126" s="109"/>
      <c r="C126">
        <f t="shared" si="73"/>
        <v>135</v>
      </c>
      <c r="D126" s="4">
        <f t="shared" si="58"/>
        <v>1620</v>
      </c>
      <c r="E126" s="15">
        <f t="shared" si="74"/>
        <v>0.125</v>
      </c>
      <c r="F126" s="15">
        <f t="shared" si="59"/>
        <v>16.875</v>
      </c>
      <c r="H126" s="15">
        <f t="shared" si="75"/>
        <v>0</v>
      </c>
      <c r="I126" s="15">
        <f t="shared" si="60"/>
        <v>0</v>
      </c>
      <c r="J126" s="15"/>
      <c r="K126" s="15">
        <f t="shared" si="61"/>
        <v>0.125</v>
      </c>
      <c r="L126" s="15">
        <f t="shared" si="62"/>
        <v>16.875</v>
      </c>
      <c r="O126">
        <f t="shared" si="63"/>
        <v>5.19</v>
      </c>
      <c r="P126" s="4">
        <f t="shared" si="76"/>
        <v>77.03157154797982</v>
      </c>
      <c r="R126" s="4">
        <f t="shared" si="77"/>
        <v>1144.5403610181515</v>
      </c>
      <c r="T126" s="15">
        <f t="shared" si="78"/>
        <v>8.556434438697899</v>
      </c>
      <c r="V126" s="3">
        <f t="shared" si="64"/>
        <v>0.012275965075606842</v>
      </c>
      <c r="Y126" s="1">
        <f t="shared" si="54"/>
        <v>8.096105370529071E-06</v>
      </c>
      <c r="Z126">
        <f t="shared" si="65"/>
        <v>13.58</v>
      </c>
      <c r="AA126">
        <f t="shared" si="66"/>
        <v>1</v>
      </c>
      <c r="AB126" s="8">
        <f t="shared" si="55"/>
        <v>643.7043049154411</v>
      </c>
      <c r="AC126" s="4">
        <f t="shared" si="56"/>
        <v>1325457.1001394533</v>
      </c>
      <c r="AD126" s="5">
        <f t="shared" si="57"/>
        <v>0.009324918738357365</v>
      </c>
      <c r="AE126" s="4">
        <f t="shared" si="67"/>
        <v>13500</v>
      </c>
      <c r="AF126" s="8">
        <f t="shared" si="68"/>
        <v>2357.6402113033414</v>
      </c>
      <c r="AG126" s="10">
        <f t="shared" si="69"/>
        <v>19.677191973764256</v>
      </c>
      <c r="AI126" s="15">
        <f t="shared" si="70"/>
        <v>77.03157154797982</v>
      </c>
      <c r="AJ126" s="15">
        <f t="shared" si="79"/>
        <v>77</v>
      </c>
      <c r="AK126" s="15">
        <f t="shared" si="80"/>
        <v>77.54757562313371</v>
      </c>
      <c r="AL126" s="15">
        <f t="shared" si="71"/>
        <v>0.5160040751538872</v>
      </c>
      <c r="AM126" s="15">
        <f t="shared" si="72"/>
        <v>77.51600407515389</v>
      </c>
    </row>
    <row r="127" spans="1:39" ht="12.75">
      <c r="A127" s="109"/>
      <c r="C127">
        <f t="shared" si="73"/>
        <v>135</v>
      </c>
      <c r="D127" s="4">
        <f t="shared" si="58"/>
        <v>1755</v>
      </c>
      <c r="E127" s="15">
        <f t="shared" si="74"/>
        <v>0.125</v>
      </c>
      <c r="F127" s="15">
        <f t="shared" si="59"/>
        <v>16.875</v>
      </c>
      <c r="H127" s="15">
        <f t="shared" si="75"/>
        <v>0</v>
      </c>
      <c r="I127" s="15">
        <f t="shared" si="60"/>
        <v>0</v>
      </c>
      <c r="J127" s="15"/>
      <c r="K127" s="15">
        <f t="shared" si="61"/>
        <v>0.125</v>
      </c>
      <c r="L127" s="15">
        <f t="shared" si="62"/>
        <v>16.875</v>
      </c>
      <c r="O127">
        <f t="shared" si="63"/>
        <v>5.19</v>
      </c>
      <c r="P127" s="4">
        <f t="shared" si="76"/>
        <v>77.03445549848605</v>
      </c>
      <c r="R127" s="4">
        <f t="shared" si="77"/>
        <v>1127.4274921407557</v>
      </c>
      <c r="T127" s="15">
        <f t="shared" si="78"/>
        <v>8.556434438697899</v>
      </c>
      <c r="V127" s="3">
        <f t="shared" si="64"/>
        <v>0.01226081509408795</v>
      </c>
      <c r="Y127" s="1">
        <f t="shared" si="54"/>
        <v>8.096276861761974E-06</v>
      </c>
      <c r="Z127">
        <f t="shared" si="65"/>
        <v>13.58</v>
      </c>
      <c r="AA127">
        <f t="shared" si="66"/>
        <v>1</v>
      </c>
      <c r="AB127" s="8">
        <f t="shared" si="55"/>
        <v>634.8633019025202</v>
      </c>
      <c r="AC127" s="4">
        <f t="shared" si="56"/>
        <v>1305611.5559902927</v>
      </c>
      <c r="AD127" s="5">
        <f t="shared" si="57"/>
        <v>0.009360153662901691</v>
      </c>
      <c r="AE127" s="4">
        <f t="shared" si="67"/>
        <v>13500</v>
      </c>
      <c r="AF127" s="8">
        <f t="shared" si="68"/>
        <v>2299.147168095429</v>
      </c>
      <c r="AG127" s="10">
        <f t="shared" si="69"/>
        <v>19.654200502083302</v>
      </c>
      <c r="AI127" s="15">
        <f t="shared" si="70"/>
        <v>77.03445549848605</v>
      </c>
      <c r="AJ127" s="15">
        <f t="shared" si="79"/>
        <v>77</v>
      </c>
      <c r="AK127" s="15">
        <f t="shared" si="80"/>
        <v>77.54757562313371</v>
      </c>
      <c r="AL127" s="15">
        <f t="shared" si="71"/>
        <v>0.5131201246476564</v>
      </c>
      <c r="AM127" s="15">
        <f t="shared" si="72"/>
        <v>77.51312012464766</v>
      </c>
    </row>
    <row r="128" spans="1:39" ht="12.75">
      <c r="A128" s="109"/>
      <c r="C128">
        <f t="shared" si="73"/>
        <v>135</v>
      </c>
      <c r="D128" s="4">
        <f t="shared" si="58"/>
        <v>1890</v>
      </c>
      <c r="E128" s="15">
        <f t="shared" si="74"/>
        <v>0.125</v>
      </c>
      <c r="F128" s="15">
        <f t="shared" si="59"/>
        <v>16.875</v>
      </c>
      <c r="H128" s="15">
        <f t="shared" si="75"/>
        <v>0</v>
      </c>
      <c r="I128" s="15">
        <f t="shared" si="60"/>
        <v>0</v>
      </c>
      <c r="J128" s="15"/>
      <c r="K128" s="15">
        <f t="shared" si="61"/>
        <v>0.125</v>
      </c>
      <c r="L128" s="15">
        <f t="shared" si="62"/>
        <v>16.875</v>
      </c>
      <c r="O128">
        <f t="shared" si="63"/>
        <v>5.19</v>
      </c>
      <c r="P128" s="4">
        <f t="shared" si="76"/>
        <v>77.03738389825544</v>
      </c>
      <c r="R128" s="4">
        <f t="shared" si="77"/>
        <v>1110.3146232633599</v>
      </c>
      <c r="T128" s="15">
        <f t="shared" si="78"/>
        <v>8.556434438697899</v>
      </c>
      <c r="V128" s="3">
        <f t="shared" si="64"/>
        <v>0.012246023636342127</v>
      </c>
      <c r="Y128" s="1">
        <f t="shared" si="54"/>
        <v>8.096450996125861E-06</v>
      </c>
      <c r="Z128">
        <f t="shared" si="65"/>
        <v>13.58</v>
      </c>
      <c r="AA128">
        <f t="shared" si="66"/>
        <v>1</v>
      </c>
      <c r="AB128" s="8">
        <f t="shared" si="55"/>
        <v>625.9820959669404</v>
      </c>
      <c r="AC128" s="4">
        <f t="shared" si="56"/>
        <v>1285766.4327941746</v>
      </c>
      <c r="AD128" s="5">
        <f t="shared" si="57"/>
        <v>0.009396063733577127</v>
      </c>
      <c r="AE128" s="4">
        <f t="shared" si="67"/>
        <v>13500</v>
      </c>
      <c r="AF128" s="8">
        <f t="shared" si="68"/>
        <v>2241.1394169122136</v>
      </c>
      <c r="AG128" s="10">
        <f t="shared" si="69"/>
        <v>19.63178910791418</v>
      </c>
      <c r="AI128" s="15">
        <f t="shared" si="70"/>
        <v>77.03738389825544</v>
      </c>
      <c r="AJ128" s="15">
        <f t="shared" si="79"/>
        <v>77</v>
      </c>
      <c r="AK128" s="15">
        <f t="shared" si="80"/>
        <v>77.54757562313371</v>
      </c>
      <c r="AL128" s="15">
        <f t="shared" si="71"/>
        <v>0.5101917248782684</v>
      </c>
      <c r="AM128" s="15">
        <f t="shared" si="72"/>
        <v>77.51019172487827</v>
      </c>
    </row>
    <row r="129" spans="1:39" ht="12.75">
      <c r="A129" s="109"/>
      <c r="C129">
        <f t="shared" si="73"/>
        <v>135</v>
      </c>
      <c r="D129" s="4">
        <f t="shared" si="58"/>
        <v>2025</v>
      </c>
      <c r="E129" s="15">
        <f t="shared" si="74"/>
        <v>0.125</v>
      </c>
      <c r="F129" s="15">
        <f t="shared" si="59"/>
        <v>16.875</v>
      </c>
      <c r="H129" s="15">
        <f t="shared" si="75"/>
        <v>0</v>
      </c>
      <c r="I129" s="15">
        <f t="shared" si="60"/>
        <v>0</v>
      </c>
      <c r="J129" s="15"/>
      <c r="K129" s="15">
        <f t="shared" si="61"/>
        <v>0.125</v>
      </c>
      <c r="L129" s="15">
        <f t="shared" si="62"/>
        <v>16.875</v>
      </c>
      <c r="O129">
        <f t="shared" si="63"/>
        <v>5.19</v>
      </c>
      <c r="P129" s="4">
        <f t="shared" si="76"/>
        <v>77.04035813889644</v>
      </c>
      <c r="R129" s="4">
        <f t="shared" si="77"/>
        <v>1093.201754385964</v>
      </c>
      <c r="T129" s="15">
        <f t="shared" si="78"/>
        <v>8.556434438697899</v>
      </c>
      <c r="V129" s="3">
        <f t="shared" si="64"/>
        <v>0.012231587442531833</v>
      </c>
      <c r="Y129" s="1">
        <f t="shared" si="54"/>
        <v>8.096627856371338E-06</v>
      </c>
      <c r="Z129">
        <f t="shared" si="65"/>
        <v>13.58</v>
      </c>
      <c r="AA129">
        <f t="shared" si="66"/>
        <v>1</v>
      </c>
      <c r="AB129" s="8">
        <f t="shared" si="55"/>
        <v>617.0614866703716</v>
      </c>
      <c r="AC129" s="4">
        <f t="shared" si="56"/>
        <v>1265921.737020964</v>
      </c>
      <c r="AD129" s="5">
        <f t="shared" si="57"/>
        <v>0.009432672596219136</v>
      </c>
      <c r="AE129" s="4">
        <f t="shared" si="67"/>
        <v>13500</v>
      </c>
      <c r="AF129" s="8">
        <f t="shared" si="68"/>
        <v>2183.62707311106</v>
      </c>
      <c r="AG129" s="10">
        <f t="shared" si="69"/>
        <v>19.60995283718307</v>
      </c>
      <c r="AI129" s="15">
        <f t="shared" si="70"/>
        <v>77.04035813889644</v>
      </c>
      <c r="AJ129" s="15">
        <f t="shared" si="79"/>
        <v>77</v>
      </c>
      <c r="AK129" s="15">
        <f t="shared" si="80"/>
        <v>77.54757562313371</v>
      </c>
      <c r="AL129" s="15">
        <f t="shared" si="71"/>
        <v>0.5072174842372732</v>
      </c>
      <c r="AM129" s="15">
        <f t="shared" si="72"/>
        <v>77.50721748423727</v>
      </c>
    </row>
    <row r="130" spans="1:39" ht="12.75">
      <c r="A130" s="109"/>
      <c r="C130">
        <f t="shared" si="73"/>
        <v>135</v>
      </c>
      <c r="D130" s="4">
        <f t="shared" si="58"/>
        <v>2160</v>
      </c>
      <c r="E130" s="15">
        <f t="shared" si="74"/>
        <v>0.125</v>
      </c>
      <c r="F130" s="15">
        <f t="shared" si="59"/>
        <v>16.875</v>
      </c>
      <c r="H130" s="15">
        <f t="shared" si="75"/>
        <v>0</v>
      </c>
      <c r="I130" s="15">
        <f t="shared" si="60"/>
        <v>0</v>
      </c>
      <c r="J130" s="15"/>
      <c r="K130" s="15">
        <f t="shared" si="61"/>
        <v>0.125</v>
      </c>
      <c r="L130" s="15">
        <f t="shared" si="62"/>
        <v>16.875</v>
      </c>
      <c r="O130">
        <f t="shared" si="63"/>
        <v>5.19</v>
      </c>
      <c r="P130" s="4">
        <f t="shared" si="76"/>
        <v>77.04337967840911</v>
      </c>
      <c r="R130" s="4">
        <f t="shared" si="77"/>
        <v>1076.0888855085682</v>
      </c>
      <c r="T130" s="15">
        <f t="shared" si="78"/>
        <v>8.556434438697899</v>
      </c>
      <c r="V130" s="3">
        <f t="shared" si="64"/>
        <v>0.01221750317955709</v>
      </c>
      <c r="Y130" s="1">
        <f t="shared" si="54"/>
        <v>8.09680752919692E-06</v>
      </c>
      <c r="Z130">
        <f t="shared" si="65"/>
        <v>13.58</v>
      </c>
      <c r="AA130">
        <f t="shared" si="66"/>
        <v>1</v>
      </c>
      <c r="AB130" s="8">
        <f t="shared" si="55"/>
        <v>608.1022784219874</v>
      </c>
      <c r="AC130" s="4">
        <f t="shared" si="56"/>
        <v>1246077.4753427992</v>
      </c>
      <c r="AD130" s="5">
        <f t="shared" si="57"/>
        <v>0.009470005111759954</v>
      </c>
      <c r="AE130" s="4">
        <f t="shared" si="67"/>
        <v>13500</v>
      </c>
      <c r="AF130" s="8">
        <f t="shared" si="68"/>
        <v>2126.620217185038</v>
      </c>
      <c r="AG130" s="10">
        <f t="shared" si="69"/>
        <v>19.588686635011218</v>
      </c>
      <c r="AI130" s="15">
        <f t="shared" si="70"/>
        <v>77.04337967840911</v>
      </c>
      <c r="AJ130" s="15">
        <f t="shared" si="79"/>
        <v>77</v>
      </c>
      <c r="AK130" s="15">
        <f t="shared" si="80"/>
        <v>77.54757562313371</v>
      </c>
      <c r="AL130" s="15">
        <f t="shared" si="71"/>
        <v>0.5041959447246</v>
      </c>
      <c r="AM130" s="15">
        <f t="shared" si="72"/>
        <v>77.5041959447246</v>
      </c>
    </row>
    <row r="131" spans="1:39" ht="12.75">
      <c r="A131" s="109"/>
      <c r="C131">
        <f t="shared" si="73"/>
        <v>135</v>
      </c>
      <c r="D131" s="4">
        <f t="shared" si="58"/>
        <v>2295</v>
      </c>
      <c r="E131" s="15">
        <f t="shared" si="74"/>
        <v>0.125</v>
      </c>
      <c r="F131" s="15">
        <f t="shared" si="59"/>
        <v>16.875</v>
      </c>
      <c r="H131" s="15">
        <f t="shared" si="75"/>
        <v>0</v>
      </c>
      <c r="I131" s="15">
        <f t="shared" si="60"/>
        <v>0</v>
      </c>
      <c r="J131" s="15"/>
      <c r="K131" s="15">
        <f t="shared" si="61"/>
        <v>0.125</v>
      </c>
      <c r="L131" s="15">
        <f t="shared" si="62"/>
        <v>16.875</v>
      </c>
      <c r="O131">
        <f t="shared" si="63"/>
        <v>5.19</v>
      </c>
      <c r="P131" s="4">
        <f t="shared" si="76"/>
        <v>77.04645004547658</v>
      </c>
      <c r="R131" s="4">
        <f t="shared" si="77"/>
        <v>1058.9760166311723</v>
      </c>
      <c r="T131" s="15">
        <f t="shared" si="78"/>
        <v>8.556434438697899</v>
      </c>
      <c r="V131" s="3">
        <f t="shared" si="64"/>
        <v>0.012203767440622546</v>
      </c>
      <c r="Y131" s="1">
        <f t="shared" si="54"/>
        <v>8.096990105504218E-06</v>
      </c>
      <c r="Z131">
        <f t="shared" si="65"/>
        <v>13.58</v>
      </c>
      <c r="AA131">
        <f t="shared" si="66"/>
        <v>1</v>
      </c>
      <c r="AB131" s="8">
        <f t="shared" si="55"/>
        <v>599.1052799210646</v>
      </c>
      <c r="AC131" s="4">
        <f t="shared" si="56"/>
        <v>1226233.6546437354</v>
      </c>
      <c r="AD131" s="5">
        <f t="shared" si="57"/>
        <v>0.009508087439192627</v>
      </c>
      <c r="AE131" s="4">
        <f t="shared" si="67"/>
        <v>13500</v>
      </c>
      <c r="AF131" s="8">
        <f t="shared" si="68"/>
        <v>2070.1288932046004</v>
      </c>
      <c r="AG131" s="10">
        <f t="shared" si="69"/>
        <v>19.567985346079173</v>
      </c>
      <c r="AI131" s="15">
        <f t="shared" si="70"/>
        <v>77.04645004547658</v>
      </c>
      <c r="AJ131" s="15">
        <f t="shared" si="79"/>
        <v>77</v>
      </c>
      <c r="AK131" s="15">
        <f t="shared" si="80"/>
        <v>77.54757562313371</v>
      </c>
      <c r="AL131" s="15">
        <f t="shared" si="71"/>
        <v>0.5011255776571346</v>
      </c>
      <c r="AM131" s="15">
        <f t="shared" si="72"/>
        <v>77.50112557765713</v>
      </c>
    </row>
    <row r="132" spans="1:39" ht="12.75">
      <c r="A132" s="109"/>
      <c r="C132">
        <f t="shared" si="73"/>
        <v>135</v>
      </c>
      <c r="D132" s="4">
        <f t="shared" si="58"/>
        <v>2430</v>
      </c>
      <c r="E132" s="15">
        <f t="shared" si="74"/>
        <v>0.125</v>
      </c>
      <c r="F132" s="15">
        <f t="shared" si="59"/>
        <v>16.875</v>
      </c>
      <c r="H132" s="15">
        <f t="shared" si="75"/>
        <v>0</v>
      </c>
      <c r="I132" s="15">
        <f t="shared" si="60"/>
        <v>0</v>
      </c>
      <c r="J132" s="15"/>
      <c r="K132" s="15">
        <f t="shared" si="61"/>
        <v>0.125</v>
      </c>
      <c r="L132" s="15">
        <f t="shared" si="62"/>
        <v>16.875</v>
      </c>
      <c r="O132">
        <f t="shared" si="63"/>
        <v>5.19</v>
      </c>
      <c r="P132" s="4">
        <f t="shared" si="76"/>
        <v>77.04957084410903</v>
      </c>
      <c r="R132" s="4">
        <f t="shared" si="77"/>
        <v>1041.8631477537765</v>
      </c>
      <c r="T132" s="15">
        <f t="shared" si="78"/>
        <v>8.556434438697899</v>
      </c>
      <c r="V132" s="3">
        <f t="shared" si="64"/>
        <v>0.012190376744760461</v>
      </c>
      <c r="Y132" s="1">
        <f t="shared" si="54"/>
        <v>8.097175680674099E-06</v>
      </c>
      <c r="Z132">
        <f t="shared" si="65"/>
        <v>13.58</v>
      </c>
      <c r="AA132">
        <f t="shared" si="66"/>
        <v>1</v>
      </c>
      <c r="AB132" s="8">
        <f t="shared" si="55"/>
        <v>590.0713035949975</v>
      </c>
      <c r="AC132" s="4">
        <f t="shared" si="56"/>
        <v>1206390.2820300069</v>
      </c>
      <c r="AD132" s="5">
        <f t="shared" si="57"/>
        <v>0.009546947125646675</v>
      </c>
      <c r="AE132" s="4">
        <f t="shared" si="67"/>
        <v>13500</v>
      </c>
      <c r="AF132" s="8">
        <f t="shared" si="68"/>
        <v>2014.163107457567</v>
      </c>
      <c r="AG132" s="10">
        <f t="shared" si="69"/>
        <v>19.547843715004596</v>
      </c>
      <c r="AI132" s="15">
        <f t="shared" si="70"/>
        <v>77.04957084410903</v>
      </c>
      <c r="AJ132" s="15">
        <f t="shared" si="79"/>
        <v>77</v>
      </c>
      <c r="AK132" s="15">
        <f t="shared" si="80"/>
        <v>77.54757562313371</v>
      </c>
      <c r="AL132" s="15">
        <f t="shared" si="71"/>
        <v>0.4980047790246829</v>
      </c>
      <c r="AM132" s="15">
        <f t="shared" si="72"/>
        <v>77.49800477902468</v>
      </c>
    </row>
    <row r="133" spans="1:39" ht="12.75">
      <c r="A133" s="109"/>
      <c r="C133">
        <f t="shared" si="73"/>
        <v>135</v>
      </c>
      <c r="D133" s="4">
        <f t="shared" si="58"/>
        <v>2565</v>
      </c>
      <c r="E133" s="15">
        <f t="shared" si="74"/>
        <v>0.125</v>
      </c>
      <c r="F133" s="15">
        <f t="shared" si="59"/>
        <v>16.875</v>
      </c>
      <c r="H133" s="15">
        <f t="shared" si="75"/>
        <v>0</v>
      </c>
      <c r="I133" s="15">
        <f t="shared" si="60"/>
        <v>0</v>
      </c>
      <c r="J133" s="15"/>
      <c r="K133" s="15">
        <f t="shared" si="61"/>
        <v>0.125</v>
      </c>
      <c r="L133" s="15">
        <f t="shared" si="62"/>
        <v>16.875</v>
      </c>
      <c r="O133">
        <f t="shared" si="63"/>
        <v>5.19</v>
      </c>
      <c r="P133" s="4">
        <f t="shared" si="76"/>
        <v>77.05274375867536</v>
      </c>
      <c r="R133" s="4">
        <f t="shared" si="77"/>
        <v>1024.7502788763807</v>
      </c>
      <c r="T133" s="15">
        <f t="shared" si="78"/>
        <v>8.556434438697899</v>
      </c>
      <c r="V133" s="3">
        <f t="shared" si="64"/>
        <v>0.012177327536303052</v>
      </c>
      <c r="Y133" s="1">
        <f t="shared" si="54"/>
        <v>8.097364354865872E-06</v>
      </c>
      <c r="Z133">
        <f t="shared" si="65"/>
        <v>13.58</v>
      </c>
      <c r="AA133">
        <f t="shared" si="66"/>
        <v>1</v>
      </c>
      <c r="AB133" s="8">
        <f t="shared" si="55"/>
        <v>581.0011650332992</v>
      </c>
      <c r="AC133" s="4">
        <f t="shared" si="56"/>
        <v>1186547.3648409664</v>
      </c>
      <c r="AD133" s="5">
        <f t="shared" si="57"/>
        <v>0.009586613204313284</v>
      </c>
      <c r="AE133" s="4">
        <f t="shared" si="67"/>
        <v>13500</v>
      </c>
      <c r="AF133" s="8">
        <f t="shared" si="68"/>
        <v>1958.732827298425</v>
      </c>
      <c r="AG133" s="10">
        <f t="shared" si="69"/>
        <v>19.528256386731613</v>
      </c>
      <c r="AI133" s="15">
        <f t="shared" si="70"/>
        <v>77.05274375867536</v>
      </c>
      <c r="AJ133" s="15">
        <f t="shared" si="79"/>
        <v>77</v>
      </c>
      <c r="AK133" s="15">
        <f t="shared" si="80"/>
        <v>77.54757562313371</v>
      </c>
      <c r="AL133" s="15">
        <f t="shared" si="71"/>
        <v>0.49483186445834804</v>
      </c>
      <c r="AM133" s="15">
        <f t="shared" si="72"/>
        <v>77.49483186445835</v>
      </c>
    </row>
    <row r="134" spans="1:39" ht="13.5" thickBot="1">
      <c r="A134" s="110"/>
      <c r="C134">
        <f t="shared" si="73"/>
        <v>135</v>
      </c>
      <c r="D134" s="4">
        <f t="shared" si="58"/>
        <v>2700</v>
      </c>
      <c r="E134" s="15">
        <f t="shared" si="74"/>
        <v>0.125</v>
      </c>
      <c r="F134" s="15">
        <f t="shared" si="59"/>
        <v>16.875</v>
      </c>
      <c r="H134" s="15">
        <f t="shared" si="75"/>
        <v>0</v>
      </c>
      <c r="I134" s="15">
        <f t="shared" si="60"/>
        <v>0</v>
      </c>
      <c r="J134" s="15"/>
      <c r="K134" s="15">
        <f t="shared" si="61"/>
        <v>0.125</v>
      </c>
      <c r="L134" s="15">
        <f t="shared" si="62"/>
        <v>16.875</v>
      </c>
      <c r="O134">
        <f t="shared" si="63"/>
        <v>5.19</v>
      </c>
      <c r="P134" s="4">
        <f t="shared" si="76"/>
        <v>77.05597055936224</v>
      </c>
      <c r="R134" s="4">
        <f t="shared" si="77"/>
        <v>1007.6374099989848</v>
      </c>
      <c r="T134" s="15">
        <f t="shared" si="78"/>
        <v>8.556434438697899</v>
      </c>
      <c r="V134" s="3">
        <f t="shared" si="64"/>
        <v>0.012164616184296822</v>
      </c>
      <c r="Y134" s="1">
        <f t="shared" si="54"/>
        <v>8.097556233341915E-06</v>
      </c>
      <c r="Z134">
        <f t="shared" si="65"/>
        <v>13.58</v>
      </c>
      <c r="AA134">
        <f t="shared" si="66"/>
        <v>1</v>
      </c>
      <c r="AB134" s="8">
        <f t="shared" si="55"/>
        <v>571.895682418154</v>
      </c>
      <c r="AC134" s="4">
        <f t="shared" si="56"/>
        <v>1166704.9106607542</v>
      </c>
      <c r="AD134" s="5">
        <f t="shared" si="57"/>
        <v>0.009627116301047976</v>
      </c>
      <c r="AE134" s="4">
        <f t="shared" si="67"/>
        <v>13500</v>
      </c>
      <c r="AF134" s="8">
        <f t="shared" si="68"/>
        <v>1903.8479802183379</v>
      </c>
      <c r="AG134" s="10">
        <f t="shared" si="69"/>
        <v>19.50921790692943</v>
      </c>
      <c r="AI134" s="15">
        <f t="shared" si="70"/>
        <v>77.05597055936224</v>
      </c>
      <c r="AJ134" s="15">
        <f t="shared" si="79"/>
        <v>77</v>
      </c>
      <c r="AK134" s="15">
        <f t="shared" si="80"/>
        <v>77.54757562313371</v>
      </c>
      <c r="AL134" s="15">
        <f t="shared" si="71"/>
        <v>0.4916050637714733</v>
      </c>
      <c r="AM134" s="15">
        <f t="shared" si="72"/>
        <v>77.49160506377147</v>
      </c>
    </row>
    <row r="135" spans="1:39" ht="12.75">
      <c r="A135" s="108"/>
      <c r="C135">
        <f t="shared" si="73"/>
        <v>135</v>
      </c>
      <c r="D135" s="4">
        <f t="shared" si="58"/>
        <v>2835</v>
      </c>
      <c r="E135" s="15">
        <f t="shared" si="74"/>
        <v>0.125</v>
      </c>
      <c r="F135" s="15">
        <f t="shared" si="59"/>
        <v>16.875</v>
      </c>
      <c r="H135" s="15">
        <f t="shared" si="75"/>
        <v>0</v>
      </c>
      <c r="I135" s="15">
        <f t="shared" si="60"/>
        <v>0</v>
      </c>
      <c r="J135" s="15"/>
      <c r="K135" s="15">
        <f t="shared" si="61"/>
        <v>0.125</v>
      </c>
      <c r="L135" s="15">
        <f t="shared" si="62"/>
        <v>16.875</v>
      </c>
      <c r="O135">
        <f t="shared" si="63"/>
        <v>5.19</v>
      </c>
      <c r="P135" s="4">
        <f t="shared" si="76"/>
        <v>77.05925310810457</v>
      </c>
      <c r="R135" s="4">
        <f t="shared" si="77"/>
        <v>990.524541121589</v>
      </c>
      <c r="T135" s="15">
        <f t="shared" si="78"/>
        <v>8.556434438697899</v>
      </c>
      <c r="V135" s="3">
        <f t="shared" si="64"/>
        <v>0.012152238981850758</v>
      </c>
      <c r="Y135" s="1">
        <f t="shared" si="54"/>
        <v>8.09775142682033E-06</v>
      </c>
      <c r="Z135">
        <f t="shared" si="65"/>
        <v>13.58</v>
      </c>
      <c r="AA135">
        <f t="shared" si="66"/>
        <v>1</v>
      </c>
      <c r="AB135" s="8">
        <f t="shared" si="55"/>
        <v>562.7556759520729</v>
      </c>
      <c r="AC135" s="4">
        <f t="shared" si="56"/>
        <v>1146862.9273307533</v>
      </c>
      <c r="AD135" s="5">
        <f t="shared" si="57"/>
        <v>0.009668488750582021</v>
      </c>
      <c r="AE135" s="4">
        <f t="shared" si="67"/>
        <v>13500</v>
      </c>
      <c r="AF135" s="8">
        <f t="shared" si="68"/>
        <v>1849.5184531477569</v>
      </c>
      <c r="AG135" s="10">
        <f t="shared" si="69"/>
        <v>19.49072272239795</v>
      </c>
      <c r="AI135" s="15">
        <f t="shared" si="70"/>
        <v>77.05925310810457</v>
      </c>
      <c r="AJ135" s="15">
        <f t="shared" si="79"/>
        <v>77</v>
      </c>
      <c r="AK135" s="15">
        <f t="shared" si="80"/>
        <v>77.54757562313371</v>
      </c>
      <c r="AL135" s="15">
        <f t="shared" si="71"/>
        <v>0.4883225150291395</v>
      </c>
      <c r="AM135" s="15">
        <f t="shared" si="72"/>
        <v>77.48832251502914</v>
      </c>
    </row>
    <row r="136" spans="1:39" ht="12.75">
      <c r="A136" s="109"/>
      <c r="C136">
        <f t="shared" si="73"/>
        <v>135</v>
      </c>
      <c r="D136" s="4">
        <f t="shared" si="58"/>
        <v>2970</v>
      </c>
      <c r="E136" s="15">
        <f t="shared" si="74"/>
        <v>0.125</v>
      </c>
      <c r="F136" s="15">
        <f t="shared" si="59"/>
        <v>16.875</v>
      </c>
      <c r="H136" s="15">
        <f t="shared" si="75"/>
        <v>0</v>
      </c>
      <c r="I136" s="15">
        <f t="shared" si="60"/>
        <v>0</v>
      </c>
      <c r="J136" s="15"/>
      <c r="K136" s="15">
        <f t="shared" si="61"/>
        <v>0.125</v>
      </c>
      <c r="L136" s="15">
        <f t="shared" si="62"/>
        <v>16.875</v>
      </c>
      <c r="O136">
        <f t="shared" si="63"/>
        <v>5.19</v>
      </c>
      <c r="P136" s="4">
        <f t="shared" si="76"/>
        <v>77.0625933650374</v>
      </c>
      <c r="R136" s="4">
        <f t="shared" si="77"/>
        <v>973.4116722441931</v>
      </c>
      <c r="T136" s="15">
        <f t="shared" si="78"/>
        <v>8.556434438697899</v>
      </c>
      <c r="V136" s="3">
        <f t="shared" si="64"/>
        <v>0.01214019214540935</v>
      </c>
      <c r="Y136" s="1">
        <f t="shared" si="54"/>
        <v>8.097950051858583E-06</v>
      </c>
      <c r="Z136">
        <f t="shared" si="65"/>
        <v>13.58</v>
      </c>
      <c r="AA136">
        <f t="shared" si="66"/>
        <v>1</v>
      </c>
      <c r="AB136" s="8">
        <f t="shared" si="55"/>
        <v>553.5819672831997</v>
      </c>
      <c r="AC136" s="4">
        <f t="shared" si="56"/>
        <v>1127021.4229629165</v>
      </c>
      <c r="AD136" s="5">
        <f t="shared" si="57"/>
        <v>0.009710764723391538</v>
      </c>
      <c r="AE136" s="4">
        <f t="shared" si="67"/>
        <v>13500</v>
      </c>
      <c r="AF136" s="8">
        <f t="shared" si="68"/>
        <v>1795.754092004115</v>
      </c>
      <c r="AG136" s="10">
        <f t="shared" si="69"/>
        <v>19.47276518147791</v>
      </c>
      <c r="AI136" s="15">
        <f t="shared" si="70"/>
        <v>77.0625933650374</v>
      </c>
      <c r="AJ136" s="15">
        <f t="shared" si="79"/>
        <v>77</v>
      </c>
      <c r="AK136" s="15">
        <f t="shared" si="80"/>
        <v>77.54757562313371</v>
      </c>
      <c r="AL136" s="15">
        <f t="shared" si="71"/>
        <v>0.48498225809630924</v>
      </c>
      <c r="AM136" s="15">
        <f t="shared" si="72"/>
        <v>77.48498225809631</v>
      </c>
    </row>
    <row r="137" spans="1:39" ht="12.75">
      <c r="A137" s="109"/>
      <c r="C137">
        <f t="shared" si="73"/>
        <v>135</v>
      </c>
      <c r="D137" s="4">
        <f t="shared" si="58"/>
        <v>3105</v>
      </c>
      <c r="E137" s="15">
        <f t="shared" si="74"/>
        <v>0.125</v>
      </c>
      <c r="F137" s="15">
        <f t="shared" si="59"/>
        <v>16.875</v>
      </c>
      <c r="H137" s="15">
        <f t="shared" si="75"/>
        <v>0</v>
      </c>
      <c r="I137" s="15">
        <f t="shared" si="60"/>
        <v>0</v>
      </c>
      <c r="J137" s="15"/>
      <c r="K137" s="15">
        <f t="shared" si="61"/>
        <v>0.125</v>
      </c>
      <c r="L137" s="15">
        <f t="shared" si="62"/>
        <v>16.875</v>
      </c>
      <c r="O137">
        <f t="shared" si="63"/>
        <v>5.19</v>
      </c>
      <c r="P137" s="4">
        <f t="shared" si="76"/>
        <v>77.065993395525</v>
      </c>
      <c r="R137" s="4">
        <f t="shared" si="77"/>
        <v>956.2988033667973</v>
      </c>
      <c r="T137" s="15">
        <f t="shared" si="78"/>
        <v>8.556434438697899</v>
      </c>
      <c r="V137" s="3">
        <f t="shared" si="64"/>
        <v>0.012128471813940372</v>
      </c>
      <c r="Y137" s="1">
        <f t="shared" si="54"/>
        <v>8.098152231271498E-06</v>
      </c>
      <c r="Z137">
        <f t="shared" si="65"/>
        <v>13.58</v>
      </c>
      <c r="AA137">
        <f t="shared" si="66"/>
        <v>1</v>
      </c>
      <c r="AB137" s="8">
        <f t="shared" si="55"/>
        <v>544.3753789287916</v>
      </c>
      <c r="AC137" s="4">
        <f t="shared" si="56"/>
        <v>1107180.4059540192</v>
      </c>
      <c r="AD137" s="5">
        <f t="shared" si="57"/>
        <v>0.00975398036440866</v>
      </c>
      <c r="AE137" s="4">
        <f t="shared" si="67"/>
        <v>13500</v>
      </c>
      <c r="AF137" s="8">
        <f t="shared" si="68"/>
        <v>1742.5647014976491</v>
      </c>
      <c r="AG137" s="10">
        <f t="shared" si="69"/>
        <v>19.455339534462933</v>
      </c>
      <c r="AI137" s="15">
        <f t="shared" si="70"/>
        <v>77.065993395525</v>
      </c>
      <c r="AJ137" s="15">
        <f t="shared" si="79"/>
        <v>77</v>
      </c>
      <c r="AK137" s="15">
        <f t="shared" si="80"/>
        <v>77.54757562313371</v>
      </c>
      <c r="AL137" s="15">
        <f t="shared" si="71"/>
        <v>0.48158222760871183</v>
      </c>
      <c r="AM137" s="15">
        <f t="shared" si="72"/>
        <v>77.48158222760871</v>
      </c>
    </row>
    <row r="138" spans="1:39" ht="12.75">
      <c r="A138" s="109"/>
      <c r="C138">
        <f t="shared" si="73"/>
        <v>135</v>
      </c>
      <c r="D138" s="4">
        <f t="shared" si="58"/>
        <v>3240</v>
      </c>
      <c r="E138" s="15">
        <f t="shared" si="74"/>
        <v>0.125</v>
      </c>
      <c r="F138" s="15">
        <f t="shared" si="59"/>
        <v>16.875</v>
      </c>
      <c r="H138" s="15">
        <f t="shared" si="75"/>
        <v>0</v>
      </c>
      <c r="I138" s="15">
        <f t="shared" si="60"/>
        <v>0</v>
      </c>
      <c r="J138" s="15"/>
      <c r="K138" s="15">
        <f t="shared" si="61"/>
        <v>0.125</v>
      </c>
      <c r="L138" s="15">
        <f t="shared" si="62"/>
        <v>16.875</v>
      </c>
      <c r="O138">
        <f t="shared" si="63"/>
        <v>5.19</v>
      </c>
      <c r="P138" s="4">
        <f t="shared" si="76"/>
        <v>77.06945537783042</v>
      </c>
      <c r="R138" s="4">
        <f t="shared" si="77"/>
        <v>939.1859344894015</v>
      </c>
      <c r="T138" s="15">
        <f t="shared" si="78"/>
        <v>8.556434438697899</v>
      </c>
      <c r="V138" s="3">
        <f t="shared" si="64"/>
        <v>0.012117074048026182</v>
      </c>
      <c r="Y138" s="1">
        <f t="shared" si="54"/>
        <v>8.098358094587307E-06</v>
      </c>
      <c r="Z138">
        <f t="shared" si="65"/>
        <v>13.58</v>
      </c>
      <c r="AA138">
        <f t="shared" si="66"/>
        <v>1</v>
      </c>
      <c r="AB138" s="8">
        <f t="shared" si="55"/>
        <v>535.1367336973916</v>
      </c>
      <c r="AC138" s="4">
        <f t="shared" si="56"/>
        <v>1087339.8850009358</v>
      </c>
      <c r="AD138" s="5">
        <f t="shared" si="57"/>
        <v>0.00979817394491445</v>
      </c>
      <c r="AE138" s="4">
        <f t="shared" si="67"/>
        <v>13500</v>
      </c>
      <c r="AF138" s="8">
        <f t="shared" si="68"/>
        <v>1689.9600452092106</v>
      </c>
      <c r="AG138" s="10">
        <f t="shared" si="69"/>
        <v>19.43843993401084</v>
      </c>
      <c r="AI138" s="15">
        <f t="shared" si="70"/>
        <v>77.06945537783042</v>
      </c>
      <c r="AJ138" s="15">
        <f t="shared" si="79"/>
        <v>77</v>
      </c>
      <c r="AK138" s="15">
        <f t="shared" si="80"/>
        <v>77.54757562313371</v>
      </c>
      <c r="AL138" s="15">
        <f t="shared" si="71"/>
        <v>0.47812024530328756</v>
      </c>
      <c r="AM138" s="15">
        <f t="shared" si="72"/>
        <v>77.47812024530329</v>
      </c>
    </row>
    <row r="139" spans="1:39" ht="12.75">
      <c r="A139" s="109"/>
      <c r="C139">
        <f t="shared" si="73"/>
        <v>135</v>
      </c>
      <c r="D139" s="4">
        <f t="shared" si="58"/>
        <v>3375</v>
      </c>
      <c r="E139" s="15">
        <f t="shared" si="74"/>
        <v>0.125</v>
      </c>
      <c r="F139" s="15">
        <f t="shared" si="59"/>
        <v>16.875</v>
      </c>
      <c r="H139" s="15">
        <f t="shared" si="75"/>
        <v>0</v>
      </c>
      <c r="I139" s="15">
        <f t="shared" si="60"/>
        <v>0</v>
      </c>
      <c r="J139" s="15"/>
      <c r="K139" s="15">
        <f t="shared" si="61"/>
        <v>0.125</v>
      </c>
      <c r="L139" s="15">
        <f t="shared" si="62"/>
        <v>16.875</v>
      </c>
      <c r="O139">
        <f t="shared" si="63"/>
        <v>5.19</v>
      </c>
      <c r="P139" s="4">
        <f t="shared" si="76"/>
        <v>77.07298161149667</v>
      </c>
      <c r="R139" s="4">
        <f t="shared" si="77"/>
        <v>922.0730656120056</v>
      </c>
      <c r="T139" s="15">
        <f t="shared" si="78"/>
        <v>8.556434438697899</v>
      </c>
      <c r="V139" s="3">
        <f t="shared" si="64"/>
        <v>0.012105994828845987</v>
      </c>
      <c r="Y139" s="1">
        <f t="shared" si="54"/>
        <v>8.098567778546038E-06</v>
      </c>
      <c r="Z139">
        <f t="shared" si="65"/>
        <v>13.58</v>
      </c>
      <c r="AA139">
        <f t="shared" si="66"/>
        <v>1</v>
      </c>
      <c r="AB139" s="8">
        <f t="shared" si="55"/>
        <v>525.8668541101814</v>
      </c>
      <c r="AC139" s="4">
        <f t="shared" si="56"/>
        <v>1067499.8691170304</v>
      </c>
      <c r="AD139" s="5">
        <f t="shared" si="57"/>
        <v>0.009843386029132359</v>
      </c>
      <c r="AE139" s="4">
        <f t="shared" si="67"/>
        <v>13500</v>
      </c>
      <c r="AF139" s="8">
        <f t="shared" si="68"/>
        <v>1637.949845954642</v>
      </c>
      <c r="AG139" s="10">
        <f t="shared" si="69"/>
        <v>19.422060435551295</v>
      </c>
      <c r="AI139" s="15">
        <f t="shared" si="70"/>
        <v>77.07298161149667</v>
      </c>
      <c r="AJ139" s="15">
        <f t="shared" si="79"/>
        <v>77</v>
      </c>
      <c r="AK139" s="15">
        <f t="shared" si="80"/>
        <v>77.54757562313371</v>
      </c>
      <c r="AL139" s="15">
        <f t="shared" si="71"/>
        <v>0.47459401163703774</v>
      </c>
      <c r="AM139" s="15">
        <f t="shared" si="72"/>
        <v>77.47459401163704</v>
      </c>
    </row>
    <row r="140" spans="1:39" ht="12.75">
      <c r="A140" s="109"/>
      <c r="C140">
        <f t="shared" si="73"/>
        <v>135</v>
      </c>
      <c r="D140" s="4">
        <f t="shared" si="58"/>
        <v>3510</v>
      </c>
      <c r="E140" s="15">
        <f t="shared" si="74"/>
        <v>0.125</v>
      </c>
      <c r="F140" s="15">
        <f t="shared" si="59"/>
        <v>16.875</v>
      </c>
      <c r="H140" s="15">
        <f t="shared" si="75"/>
        <v>0</v>
      </c>
      <c r="I140" s="15">
        <f t="shared" si="60"/>
        <v>0</v>
      </c>
      <c r="J140" s="15"/>
      <c r="K140" s="15">
        <f t="shared" si="61"/>
        <v>0.125</v>
      </c>
      <c r="L140" s="15">
        <f t="shared" si="62"/>
        <v>16.875</v>
      </c>
      <c r="O140">
        <f t="shared" si="63"/>
        <v>5.19</v>
      </c>
      <c r="P140" s="4">
        <f t="shared" si="76"/>
        <v>77.07657452652037</v>
      </c>
      <c r="R140" s="4">
        <f t="shared" si="77"/>
        <v>904.9601967346098</v>
      </c>
      <c r="T140" s="15">
        <f t="shared" si="78"/>
        <v>8.556434438697899</v>
      </c>
      <c r="V140" s="3">
        <f t="shared" si="64"/>
        <v>0.012095230057034933</v>
      </c>
      <c r="Y140" s="1">
        <f t="shared" si="54"/>
        <v>8.098781427645008E-06</v>
      </c>
      <c r="Z140">
        <f t="shared" si="65"/>
        <v>13.58</v>
      </c>
      <c r="AA140">
        <f t="shared" si="66"/>
        <v>1</v>
      </c>
      <c r="AB140" s="8">
        <f t="shared" si="55"/>
        <v>516.5665618219932</v>
      </c>
      <c r="AC140" s="4">
        <f t="shared" si="56"/>
        <v>1047660.367649762</v>
      </c>
      <c r="AD140" s="5">
        <f t="shared" si="57"/>
        <v>0.009889659657247765</v>
      </c>
      <c r="AE140" s="4">
        <f t="shared" si="67"/>
        <v>13500</v>
      </c>
      <c r="AF140" s="8">
        <f t="shared" si="68"/>
        <v>1586.5437864513358</v>
      </c>
      <c r="AG140" s="10">
        <f t="shared" si="69"/>
        <v>19.406194997686782</v>
      </c>
      <c r="AI140" s="15">
        <f t="shared" si="70"/>
        <v>77.07657452652037</v>
      </c>
      <c r="AJ140" s="15">
        <f t="shared" si="79"/>
        <v>77</v>
      </c>
      <c r="AK140" s="15">
        <f t="shared" si="80"/>
        <v>77.54757562313371</v>
      </c>
      <c r="AL140" s="15">
        <f t="shared" si="71"/>
        <v>0.47100109661333533</v>
      </c>
      <c r="AM140" s="15">
        <f t="shared" si="72"/>
        <v>77.47100109661334</v>
      </c>
    </row>
    <row r="141" spans="1:39" ht="12.75">
      <c r="A141" s="109"/>
      <c r="C141">
        <f t="shared" si="73"/>
        <v>135</v>
      </c>
      <c r="D141" s="4">
        <f t="shared" si="58"/>
        <v>3645</v>
      </c>
      <c r="E141" s="15">
        <f t="shared" si="74"/>
        <v>0.125</v>
      </c>
      <c r="F141" s="15">
        <f t="shared" si="59"/>
        <v>16.875</v>
      </c>
      <c r="H141" s="15">
        <f t="shared" si="75"/>
        <v>0</v>
      </c>
      <c r="I141" s="15">
        <f t="shared" si="60"/>
        <v>0</v>
      </c>
      <c r="J141" s="15"/>
      <c r="K141" s="15">
        <f t="shared" si="61"/>
        <v>0.125</v>
      </c>
      <c r="L141" s="15">
        <f t="shared" si="62"/>
        <v>16.875</v>
      </c>
      <c r="O141">
        <f t="shared" si="63"/>
        <v>5.19</v>
      </c>
      <c r="P141" s="4">
        <f t="shared" si="76"/>
        <v>77.08023669340953</v>
      </c>
      <c r="R141" s="4">
        <f t="shared" si="77"/>
        <v>887.8473278572139</v>
      </c>
      <c r="T141" s="15">
        <f t="shared" si="78"/>
        <v>8.556434438697899</v>
      </c>
      <c r="V141" s="3">
        <f t="shared" si="64"/>
        <v>0.012084775551404213</v>
      </c>
      <c r="Y141" s="1">
        <f t="shared" si="54"/>
        <v>8.098999194736905E-06</v>
      </c>
      <c r="Z141">
        <f t="shared" si="65"/>
        <v>13.58</v>
      </c>
      <c r="AA141">
        <f t="shared" si="66"/>
        <v>1</v>
      </c>
      <c r="AB141" s="8">
        <f t="shared" si="55"/>
        <v>507.2366770424213</v>
      </c>
      <c r="AC141" s="4">
        <f t="shared" si="56"/>
        <v>1027821.3902996173</v>
      </c>
      <c r="AD141" s="5">
        <f t="shared" si="57"/>
        <v>0.009937040546818675</v>
      </c>
      <c r="AE141" s="4">
        <f t="shared" si="67"/>
        <v>13500</v>
      </c>
      <c r="AF141" s="8">
        <f t="shared" si="68"/>
        <v>1535.7515103035566</v>
      </c>
      <c r="AG141" s="10">
        <f t="shared" si="69"/>
        <v>19.39083748258375</v>
      </c>
      <c r="AI141" s="15">
        <f t="shared" si="70"/>
        <v>77.08023669340953</v>
      </c>
      <c r="AJ141" s="15">
        <f t="shared" si="79"/>
        <v>77</v>
      </c>
      <c r="AK141" s="15">
        <f t="shared" si="80"/>
        <v>77.54757562313371</v>
      </c>
      <c r="AL141" s="15">
        <f t="shared" si="71"/>
        <v>0.46733892972417834</v>
      </c>
      <c r="AM141" s="15">
        <f t="shared" si="72"/>
        <v>77.46733892972418</v>
      </c>
    </row>
    <row r="142" spans="1:39" ht="12.75">
      <c r="A142" s="109"/>
      <c r="C142">
        <f t="shared" si="73"/>
        <v>135</v>
      </c>
      <c r="D142" s="4">
        <f t="shared" si="58"/>
        <v>3780</v>
      </c>
      <c r="E142" s="15">
        <f t="shared" si="74"/>
        <v>0.125</v>
      </c>
      <c r="F142" s="15">
        <f t="shared" si="59"/>
        <v>16.875</v>
      </c>
      <c r="H142" s="15">
        <f t="shared" si="75"/>
        <v>0</v>
      </c>
      <c r="I142" s="15">
        <f t="shared" si="60"/>
        <v>0</v>
      </c>
      <c r="J142" s="15"/>
      <c r="K142" s="15">
        <f t="shared" si="61"/>
        <v>0.125</v>
      </c>
      <c r="L142" s="15">
        <f t="shared" si="62"/>
        <v>16.875</v>
      </c>
      <c r="O142">
        <f t="shared" si="63"/>
        <v>5.19</v>
      </c>
      <c r="P142" s="4">
        <f t="shared" si="76"/>
        <v>77.08397083422959</v>
      </c>
      <c r="R142" s="4">
        <f t="shared" si="77"/>
        <v>870.7344589798181</v>
      </c>
      <c r="T142" s="15">
        <f t="shared" si="78"/>
        <v>8.556434438697899</v>
      </c>
      <c r="V142" s="3">
        <f t="shared" si="64"/>
        <v>0.012074627047504283</v>
      </c>
      <c r="Y142" s="1">
        <f t="shared" si="54"/>
        <v>8.099221241686628E-06</v>
      </c>
      <c r="Z142">
        <f t="shared" si="65"/>
        <v>13.58</v>
      </c>
      <c r="AA142">
        <f t="shared" si="66"/>
        <v>1</v>
      </c>
      <c r="AB142" s="8">
        <f t="shared" si="55"/>
        <v>497.87801795746014</v>
      </c>
      <c r="AC142" s="4">
        <f t="shared" si="56"/>
        <v>1007982.9471405098</v>
      </c>
      <c r="AD142" s="5">
        <f t="shared" si="57"/>
        <v>0.009985577314820613</v>
      </c>
      <c r="AE142" s="4">
        <f t="shared" si="67"/>
        <v>13500</v>
      </c>
      <c r="AF142" s="8">
        <f t="shared" si="68"/>
        <v>1485.582623324431</v>
      </c>
      <c r="AG142" s="10">
        <f t="shared" si="69"/>
        <v>19.375981656350504</v>
      </c>
      <c r="AI142" s="15">
        <f t="shared" si="70"/>
        <v>77.08397083422959</v>
      </c>
      <c r="AJ142" s="15">
        <f t="shared" si="79"/>
        <v>77</v>
      </c>
      <c r="AK142" s="15">
        <f t="shared" si="80"/>
        <v>77.54757562313371</v>
      </c>
      <c r="AL142" s="15">
        <f t="shared" si="71"/>
        <v>0.4636047889041208</v>
      </c>
      <c r="AM142" s="15">
        <f t="shared" si="72"/>
        <v>77.46360478890412</v>
      </c>
    </row>
    <row r="143" spans="1:39" ht="12.75">
      <c r="A143" s="109"/>
      <c r="C143">
        <f t="shared" si="73"/>
        <v>135</v>
      </c>
      <c r="D143" s="4">
        <f t="shared" si="58"/>
        <v>3915</v>
      </c>
      <c r="E143" s="15">
        <f t="shared" si="74"/>
        <v>0.125</v>
      </c>
      <c r="F143" s="15">
        <f t="shared" si="59"/>
        <v>16.875</v>
      </c>
      <c r="H143" s="15">
        <f t="shared" si="75"/>
        <v>0</v>
      </c>
      <c r="I143" s="15">
        <f t="shared" si="60"/>
        <v>0</v>
      </c>
      <c r="J143" s="15"/>
      <c r="K143" s="15">
        <f t="shared" si="61"/>
        <v>0.125</v>
      </c>
      <c r="L143" s="15">
        <f t="shared" si="62"/>
        <v>16.875</v>
      </c>
      <c r="O143">
        <f t="shared" si="63"/>
        <v>5.19</v>
      </c>
      <c r="P143" s="4">
        <f t="shared" si="76"/>
        <v>77.08777983475676</v>
      </c>
      <c r="R143" s="4">
        <f t="shared" si="77"/>
        <v>853.6215901024223</v>
      </c>
      <c r="T143" s="15">
        <f t="shared" si="78"/>
        <v>8.556434438697899</v>
      </c>
      <c r="V143" s="3">
        <f t="shared" si="64"/>
        <v>0.012064780196010932</v>
      </c>
      <c r="Y143" s="1">
        <f t="shared" si="54"/>
        <v>8.099447740093976E-06</v>
      </c>
      <c r="Z143">
        <f t="shared" si="65"/>
        <v>13.58</v>
      </c>
      <c r="AA143">
        <f t="shared" si="66"/>
        <v>1</v>
      </c>
      <c r="AB143" s="8">
        <f t="shared" si="55"/>
        <v>488.4914001520557</v>
      </c>
      <c r="AC143" s="4">
        <f t="shared" si="56"/>
        <v>988145.0486417708</v>
      </c>
      <c r="AD143" s="5">
        <f t="shared" si="57"/>
        <v>0.010035321722892418</v>
      </c>
      <c r="AE143" s="4">
        <f t="shared" si="67"/>
        <v>13500</v>
      </c>
      <c r="AF143" s="8">
        <f t="shared" si="68"/>
        <v>1436.0466952138122</v>
      </c>
      <c r="AG143" s="10">
        <f t="shared" si="69"/>
        <v>19.361621189398367</v>
      </c>
      <c r="AI143" s="15">
        <f t="shared" si="70"/>
        <v>77.08777983475676</v>
      </c>
      <c r="AJ143" s="15">
        <f t="shared" si="79"/>
        <v>77</v>
      </c>
      <c r="AK143" s="15">
        <f t="shared" si="80"/>
        <v>77.54757562313371</v>
      </c>
      <c r="AL143" s="15">
        <f t="shared" si="71"/>
        <v>0.459795788376951</v>
      </c>
      <c r="AM143" s="15">
        <f t="shared" si="72"/>
        <v>77.45979578837695</v>
      </c>
    </row>
    <row r="144" spans="1:39" ht="13.5" thickBot="1">
      <c r="A144" s="110"/>
      <c r="C144">
        <f t="shared" si="73"/>
        <v>135</v>
      </c>
      <c r="D144" s="4">
        <f t="shared" si="58"/>
        <v>4050</v>
      </c>
      <c r="E144" s="15">
        <f t="shared" si="74"/>
        <v>0.125</v>
      </c>
      <c r="F144" s="15">
        <f t="shared" si="59"/>
        <v>16.875</v>
      </c>
      <c r="H144" s="15">
        <f t="shared" si="75"/>
        <v>0</v>
      </c>
      <c r="I144" s="15">
        <f t="shared" si="60"/>
        <v>0</v>
      </c>
      <c r="J144" s="15"/>
      <c r="K144" s="15">
        <f t="shared" si="61"/>
        <v>0.125</v>
      </c>
      <c r="L144" s="15">
        <f t="shared" si="62"/>
        <v>16.875</v>
      </c>
      <c r="O144">
        <f t="shared" si="63"/>
        <v>5.19</v>
      </c>
      <c r="P144" s="4">
        <f t="shared" si="76"/>
        <v>77.09166675787448</v>
      </c>
      <c r="R144" s="4">
        <f t="shared" si="77"/>
        <v>836.5087212250264</v>
      </c>
      <c r="T144" s="15">
        <f t="shared" si="78"/>
        <v>8.556434438697899</v>
      </c>
      <c r="V144" s="3">
        <f t="shared" si="64"/>
        <v>0.012055230560911344</v>
      </c>
      <c r="Y144" s="1">
        <f t="shared" si="54"/>
        <v>8.099678872090248E-06</v>
      </c>
      <c r="Z144">
        <f t="shared" si="65"/>
        <v>13.58</v>
      </c>
      <c r="AA144">
        <f t="shared" si="66"/>
        <v>1</v>
      </c>
      <c r="AB144" s="8">
        <f t="shared" si="55"/>
        <v>479.07763603392846</v>
      </c>
      <c r="AC144" s="4">
        <f t="shared" si="56"/>
        <v>968307.7056919143</v>
      </c>
      <c r="AD144" s="5">
        <f t="shared" si="57"/>
        <v>0.010086328948727533</v>
      </c>
      <c r="AE144" s="4">
        <f t="shared" si="67"/>
        <v>13500</v>
      </c>
      <c r="AF144" s="8">
        <f t="shared" si="68"/>
        <v>1387.1532616128725</v>
      </c>
      <c r="AG144" s="10">
        <f t="shared" si="69"/>
        <v>19.347749656782238</v>
      </c>
      <c r="AI144" s="15">
        <f t="shared" si="70"/>
        <v>77.09166675787448</v>
      </c>
      <c r="AJ144" s="15">
        <f t="shared" si="79"/>
        <v>77</v>
      </c>
      <c r="AK144" s="15">
        <f t="shared" si="80"/>
        <v>77.54757562313371</v>
      </c>
      <c r="AL144" s="15">
        <f t="shared" si="71"/>
        <v>0.45590886525923224</v>
      </c>
      <c r="AM144" s="15">
        <f t="shared" si="72"/>
        <v>77.45590886525923</v>
      </c>
    </row>
    <row r="145" spans="1:39" ht="12.75">
      <c r="A145" s="108"/>
      <c r="C145">
        <f t="shared" si="73"/>
        <v>135</v>
      </c>
      <c r="D145" s="4">
        <f t="shared" si="58"/>
        <v>4185</v>
      </c>
      <c r="E145" s="15">
        <f t="shared" si="74"/>
        <v>0.125</v>
      </c>
      <c r="F145" s="15">
        <f t="shared" si="59"/>
        <v>16.875</v>
      </c>
      <c r="H145" s="15">
        <f t="shared" si="75"/>
        <v>0</v>
      </c>
      <c r="I145" s="15">
        <f t="shared" si="60"/>
        <v>0</v>
      </c>
      <c r="J145" s="15"/>
      <c r="K145" s="15">
        <f t="shared" si="61"/>
        <v>0.125</v>
      </c>
      <c r="L145" s="15">
        <f t="shared" si="62"/>
        <v>16.875</v>
      </c>
      <c r="O145">
        <f t="shared" si="63"/>
        <v>5.19</v>
      </c>
      <c r="P145" s="4">
        <f t="shared" si="76"/>
        <v>77.09563485836875</v>
      </c>
      <c r="R145" s="4">
        <f t="shared" si="77"/>
        <v>819.3958523476306</v>
      </c>
      <c r="T145" s="15">
        <f t="shared" si="78"/>
        <v>8.556434438697899</v>
      </c>
      <c r="V145" s="3">
        <f t="shared" si="64"/>
        <v>0.012045973617463993</v>
      </c>
      <c r="Y145" s="1">
        <f t="shared" si="54"/>
        <v>8.09991483121804E-06</v>
      </c>
      <c r="Z145">
        <f t="shared" si="65"/>
        <v>13.58</v>
      </c>
      <c r="AA145">
        <f t="shared" si="66"/>
        <v>1</v>
      </c>
      <c r="AB145" s="8">
        <f t="shared" si="55"/>
        <v>469.6375342589853</v>
      </c>
      <c r="AC145" s="4">
        <f t="shared" si="56"/>
        <v>948470.9296243358</v>
      </c>
      <c r="AD145" s="5">
        <f t="shared" si="57"/>
        <v>0.010138657886997979</v>
      </c>
      <c r="AE145" s="4">
        <f t="shared" si="67"/>
        <v>13500</v>
      </c>
      <c r="AF145" s="8">
        <f t="shared" si="68"/>
        <v>1338.911826558088</v>
      </c>
      <c r="AG145" s="10">
        <f t="shared" si="69"/>
        <v>19.334360538516655</v>
      </c>
      <c r="AI145" s="15">
        <f t="shared" si="70"/>
        <v>77.09563485836875</v>
      </c>
      <c r="AJ145" s="15">
        <f t="shared" si="79"/>
        <v>77</v>
      </c>
      <c r="AK145" s="15">
        <f t="shared" si="80"/>
        <v>77.54757562313371</v>
      </c>
      <c r="AL145" s="15">
        <f t="shared" si="71"/>
        <v>0.4519407647649558</v>
      </c>
      <c r="AM145" s="15">
        <f t="shared" si="72"/>
        <v>77.45194076476496</v>
      </c>
    </row>
    <row r="146" spans="1:39" ht="12.75">
      <c r="A146" s="109"/>
      <c r="C146">
        <f t="shared" si="73"/>
        <v>135</v>
      </c>
      <c r="D146" s="4">
        <f t="shared" si="58"/>
        <v>4320</v>
      </c>
      <c r="E146" s="15">
        <f t="shared" si="74"/>
        <v>0.125</v>
      </c>
      <c r="F146" s="15">
        <f t="shared" si="59"/>
        <v>16.875</v>
      </c>
      <c r="H146" s="15">
        <f t="shared" si="75"/>
        <v>0</v>
      </c>
      <c r="I146" s="15">
        <f t="shared" si="60"/>
        <v>0</v>
      </c>
      <c r="J146" s="15"/>
      <c r="K146" s="15">
        <f t="shared" si="61"/>
        <v>0.125</v>
      </c>
      <c r="L146" s="15">
        <f t="shared" si="62"/>
        <v>16.875</v>
      </c>
      <c r="O146">
        <f t="shared" si="63"/>
        <v>5.19</v>
      </c>
      <c r="P146" s="4">
        <f t="shared" si="76"/>
        <v>77.09968759930143</v>
      </c>
      <c r="R146" s="4">
        <f t="shared" si="77"/>
        <v>802.2829834702347</v>
      </c>
      <c r="T146" s="15">
        <f t="shared" si="78"/>
        <v>8.556434438697899</v>
      </c>
      <c r="V146" s="3">
        <f t="shared" si="64"/>
        <v>0.01203700474990262</v>
      </c>
      <c r="Y146" s="1">
        <f t="shared" si="54"/>
        <v>8.10015582340486E-06</v>
      </c>
      <c r="Z146">
        <f t="shared" si="65"/>
        <v>13.58</v>
      </c>
      <c r="AA146">
        <f t="shared" si="66"/>
        <v>1</v>
      </c>
      <c r="AB146" s="8">
        <f t="shared" si="55"/>
        <v>460.17189915860024</v>
      </c>
      <c r="AC146" s="4">
        <f t="shared" si="56"/>
        <v>928634.732245161</v>
      </c>
      <c r="AD146" s="5">
        <f t="shared" si="57"/>
        <v>0.010192371483717745</v>
      </c>
      <c r="AE146" s="4">
        <f t="shared" si="67"/>
        <v>13500</v>
      </c>
      <c r="AF146" s="8">
        <f t="shared" si="68"/>
        <v>1291.3318653593315</v>
      </c>
      <c r="AG146" s="10">
        <f t="shared" si="69"/>
        <v>19.321447219863064</v>
      </c>
      <c r="AI146" s="15">
        <f t="shared" si="70"/>
        <v>77.09968759930143</v>
      </c>
      <c r="AJ146" s="15">
        <f t="shared" si="79"/>
        <v>77</v>
      </c>
      <c r="AK146" s="15">
        <f t="shared" si="80"/>
        <v>77.54757562313371</v>
      </c>
      <c r="AL146" s="15">
        <f t="shared" si="71"/>
        <v>0.4478880238322773</v>
      </c>
      <c r="AM146" s="15">
        <f t="shared" si="72"/>
        <v>77.44788802383228</v>
      </c>
    </row>
    <row r="147" spans="1:39" ht="12.75">
      <c r="A147" s="109"/>
      <c r="C147">
        <f t="shared" si="73"/>
        <v>135</v>
      </c>
      <c r="D147" s="4">
        <f t="shared" si="58"/>
        <v>4455</v>
      </c>
      <c r="E147" s="15">
        <f t="shared" si="74"/>
        <v>0.125</v>
      </c>
      <c r="F147" s="15">
        <f t="shared" si="59"/>
        <v>16.875</v>
      </c>
      <c r="H147" s="15">
        <f t="shared" si="75"/>
        <v>0</v>
      </c>
      <c r="I147" s="15">
        <f t="shared" si="60"/>
        <v>0</v>
      </c>
      <c r="J147" s="15"/>
      <c r="K147" s="15">
        <f t="shared" si="61"/>
        <v>0.125</v>
      </c>
      <c r="L147" s="15">
        <f t="shared" si="62"/>
        <v>16.875</v>
      </c>
      <c r="O147">
        <f t="shared" si="63"/>
        <v>5.19</v>
      </c>
      <c r="P147" s="4">
        <f t="shared" si="76"/>
        <v>77.10382867016783</v>
      </c>
      <c r="R147" s="4">
        <f t="shared" si="77"/>
        <v>785.1701145928389</v>
      </c>
      <c r="T147" s="15">
        <f t="shared" si="78"/>
        <v>8.556434438697899</v>
      </c>
      <c r="V147" s="3">
        <f t="shared" si="64"/>
        <v>0.012028319248850193</v>
      </c>
      <c r="Y147" s="1">
        <f t="shared" si="54"/>
        <v>8.100402068042858E-06</v>
      </c>
      <c r="Z147">
        <f t="shared" si="65"/>
        <v>13.58</v>
      </c>
      <c r="AA147">
        <f t="shared" si="66"/>
        <v>1</v>
      </c>
      <c r="AB147" s="8">
        <f t="shared" si="55"/>
        <v>450.6815301689951</v>
      </c>
      <c r="AC147" s="4">
        <f t="shared" si="56"/>
        <v>908799.1258634696</v>
      </c>
      <c r="AD147" s="5">
        <f t="shared" si="57"/>
        <v>0.010247537108565226</v>
      </c>
      <c r="AE147" s="4">
        <f t="shared" si="67"/>
        <v>13500</v>
      </c>
      <c r="AF147" s="8">
        <f t="shared" si="68"/>
        <v>1244.42282792925</v>
      </c>
      <c r="AG147" s="10">
        <f t="shared" si="69"/>
        <v>19.30900299158377</v>
      </c>
      <c r="AI147" s="15">
        <f t="shared" si="70"/>
        <v>77.10382867016783</v>
      </c>
      <c r="AJ147" s="15">
        <f t="shared" si="79"/>
        <v>77</v>
      </c>
      <c r="AK147" s="15">
        <f t="shared" si="80"/>
        <v>77.54757562313371</v>
      </c>
      <c r="AL147" s="15">
        <f t="shared" si="71"/>
        <v>0.4437469529658813</v>
      </c>
      <c r="AM147" s="15">
        <f t="shared" si="72"/>
        <v>77.44374695296588</v>
      </c>
    </row>
    <row r="148" spans="1:39" ht="12.75">
      <c r="A148" s="109"/>
      <c r="C148">
        <f t="shared" si="73"/>
        <v>135</v>
      </c>
      <c r="D148" s="4">
        <f t="shared" si="58"/>
        <v>4590</v>
      </c>
      <c r="E148" s="15">
        <f t="shared" si="74"/>
        <v>0.125</v>
      </c>
      <c r="F148" s="15">
        <f t="shared" si="59"/>
        <v>16.875</v>
      </c>
      <c r="H148" s="15">
        <f t="shared" si="75"/>
        <v>0</v>
      </c>
      <c r="I148" s="15">
        <f t="shared" si="60"/>
        <v>0</v>
      </c>
      <c r="J148" s="15"/>
      <c r="K148" s="15">
        <f t="shared" si="61"/>
        <v>0.125</v>
      </c>
      <c r="L148" s="15">
        <f t="shared" si="62"/>
        <v>16.875</v>
      </c>
      <c r="O148">
        <f t="shared" si="63"/>
        <v>5.19</v>
      </c>
      <c r="P148" s="4">
        <f t="shared" si="76"/>
        <v>77.10806200707708</v>
      </c>
      <c r="R148" s="4">
        <f t="shared" si="77"/>
        <v>768.0572457154431</v>
      </c>
      <c r="T148" s="15">
        <f t="shared" si="78"/>
        <v>8.556434438697899</v>
      </c>
      <c r="V148" s="3">
        <f t="shared" si="64"/>
        <v>0.012019912308403694</v>
      </c>
      <c r="Y148" s="1">
        <f t="shared" si="54"/>
        <v>8.100653799188832E-06</v>
      </c>
      <c r="Z148">
        <f t="shared" si="65"/>
        <v>13.58</v>
      </c>
      <c r="AA148">
        <f t="shared" si="66"/>
        <v>1</v>
      </c>
      <c r="AB148" s="8">
        <f t="shared" si="55"/>
        <v>441.16722126289983</v>
      </c>
      <c r="AC148" s="4">
        <f t="shared" si="56"/>
        <v>888964.1233241478</v>
      </c>
      <c r="AD148" s="5">
        <f t="shared" si="57"/>
        <v>0.010304226970408175</v>
      </c>
      <c r="AE148" s="4">
        <f t="shared" si="67"/>
        <v>13500</v>
      </c>
      <c r="AF148" s="8">
        <f t="shared" si="68"/>
        <v>1198.1941425937584</v>
      </c>
      <c r="AG148" s="10">
        <f t="shared" si="69"/>
        <v>19.297021050157834</v>
      </c>
      <c r="AI148" s="15">
        <f t="shared" si="70"/>
        <v>77.10806200707708</v>
      </c>
      <c r="AJ148" s="15">
        <f t="shared" si="79"/>
        <v>77</v>
      </c>
      <c r="AK148" s="15">
        <f t="shared" si="80"/>
        <v>77.54757562313371</v>
      </c>
      <c r="AL148" s="15">
        <f t="shared" si="71"/>
        <v>0.43951361605662953</v>
      </c>
      <c r="AM148" s="15">
        <f t="shared" si="72"/>
        <v>77.43951361605663</v>
      </c>
    </row>
    <row r="149" spans="1:39" ht="12.75">
      <c r="A149" s="109"/>
      <c r="C149">
        <f t="shared" si="73"/>
        <v>135</v>
      </c>
      <c r="D149" s="4">
        <f t="shared" si="58"/>
        <v>4725</v>
      </c>
      <c r="E149" s="15">
        <f t="shared" si="74"/>
        <v>0.125</v>
      </c>
      <c r="F149" s="15">
        <f t="shared" si="59"/>
        <v>16.875</v>
      </c>
      <c r="H149" s="15">
        <f t="shared" si="75"/>
        <v>0</v>
      </c>
      <c r="I149" s="15">
        <f t="shared" si="60"/>
        <v>0</v>
      </c>
      <c r="J149" s="15"/>
      <c r="K149" s="15">
        <f t="shared" si="61"/>
        <v>0.125</v>
      </c>
      <c r="L149" s="15">
        <f t="shared" si="62"/>
        <v>16.875</v>
      </c>
      <c r="O149">
        <f t="shared" si="63"/>
        <v>5.19</v>
      </c>
      <c r="P149" s="4">
        <f t="shared" si="76"/>
        <v>77.11239181523197</v>
      </c>
      <c r="R149" s="4">
        <f t="shared" si="77"/>
        <v>750.9443768380472</v>
      </c>
      <c r="T149" s="15">
        <f t="shared" si="78"/>
        <v>8.556434438697899</v>
      </c>
      <c r="V149" s="3">
        <f t="shared" si="64"/>
        <v>0.01201177902284459</v>
      </c>
      <c r="Y149" s="1">
        <f t="shared" si="54"/>
        <v>8.100911266900955E-06</v>
      </c>
      <c r="Z149">
        <f t="shared" si="65"/>
        <v>13.58</v>
      </c>
      <c r="AA149">
        <f t="shared" si="66"/>
        <v>1</v>
      </c>
      <c r="AB149" s="8">
        <f t="shared" si="55"/>
        <v>431.62976038361865</v>
      </c>
      <c r="AC149" s="4">
        <f t="shared" si="56"/>
        <v>869129.7380436726</v>
      </c>
      <c r="AD149" s="5">
        <f t="shared" si="57"/>
        <v>0.010362518582134125</v>
      </c>
      <c r="AE149" s="4">
        <f t="shared" si="67"/>
        <v>13500</v>
      </c>
      <c r="AF149" s="8">
        <f t="shared" si="68"/>
        <v>1152.6552204167124</v>
      </c>
      <c r="AG149" s="10">
        <f t="shared" si="69"/>
        <v>19.285494497953668</v>
      </c>
      <c r="AI149" s="15">
        <f t="shared" si="70"/>
        <v>77.11239181523197</v>
      </c>
      <c r="AJ149" s="15">
        <f t="shared" si="79"/>
        <v>77</v>
      </c>
      <c r="AK149" s="15">
        <f t="shared" si="80"/>
        <v>77.54757562313371</v>
      </c>
      <c r="AL149" s="15">
        <f t="shared" si="71"/>
        <v>0.43518380790173694</v>
      </c>
      <c r="AM149" s="15">
        <f t="shared" si="72"/>
        <v>77.43518380790174</v>
      </c>
    </row>
    <row r="150" spans="1:39" ht="12.75">
      <c r="A150" s="109"/>
      <c r="C150">
        <f t="shared" si="73"/>
        <v>135</v>
      </c>
      <c r="D150" s="4">
        <f t="shared" si="58"/>
        <v>4860</v>
      </c>
      <c r="E150" s="15">
        <f t="shared" si="74"/>
        <v>0.125</v>
      </c>
      <c r="F150" s="15">
        <f t="shared" si="59"/>
        <v>16.875</v>
      </c>
      <c r="H150" s="15">
        <f t="shared" si="75"/>
        <v>0</v>
      </c>
      <c r="I150" s="15">
        <f t="shared" si="60"/>
        <v>0</v>
      </c>
      <c r="J150" s="15"/>
      <c r="K150" s="15">
        <f t="shared" si="61"/>
        <v>0.125</v>
      </c>
      <c r="L150" s="15">
        <f t="shared" si="62"/>
        <v>16.875</v>
      </c>
      <c r="O150">
        <f t="shared" si="63"/>
        <v>5.19</v>
      </c>
      <c r="P150" s="4">
        <f t="shared" si="76"/>
        <v>77.11682259402987</v>
      </c>
      <c r="R150" s="4">
        <f t="shared" si="77"/>
        <v>733.8315079606514</v>
      </c>
      <c r="T150" s="15">
        <f t="shared" si="78"/>
        <v>8.556434438697899</v>
      </c>
      <c r="V150" s="3">
        <f t="shared" si="64"/>
        <v>0.012003914382922734</v>
      </c>
      <c r="Y150" s="1">
        <f t="shared" si="54"/>
        <v>8.101174738731393E-06</v>
      </c>
      <c r="Z150">
        <f t="shared" si="65"/>
        <v>13.58</v>
      </c>
      <c r="AA150">
        <f t="shared" si="66"/>
        <v>1</v>
      </c>
      <c r="AB150" s="8">
        <f t="shared" si="55"/>
        <v>422.0699288815647</v>
      </c>
      <c r="AC150" s="4">
        <f t="shared" si="56"/>
        <v>849295.9840491507</v>
      </c>
      <c r="AD150" s="5">
        <f t="shared" si="57"/>
        <v>0.010422495281912412</v>
      </c>
      <c r="AE150" s="4">
        <f t="shared" si="67"/>
        <v>13500</v>
      </c>
      <c r="AF150" s="8">
        <f t="shared" si="68"/>
        <v>1107.815460075421</v>
      </c>
      <c r="AG150" s="10">
        <f t="shared" si="69"/>
        <v>19.274416343352915</v>
      </c>
      <c r="AI150" s="15">
        <f t="shared" si="70"/>
        <v>77.11682259402987</v>
      </c>
      <c r="AJ150" s="15">
        <f t="shared" si="79"/>
        <v>77</v>
      </c>
      <c r="AK150" s="15">
        <f t="shared" si="80"/>
        <v>77.54757562313371</v>
      </c>
      <c r="AL150" s="15">
        <f t="shared" si="71"/>
        <v>0.4307530291038404</v>
      </c>
      <c r="AM150" s="15">
        <f t="shared" si="72"/>
        <v>77.43075302910384</v>
      </c>
    </row>
    <row r="151" spans="1:39" ht="12.75">
      <c r="A151" s="109"/>
      <c r="C151">
        <f t="shared" si="73"/>
        <v>135</v>
      </c>
      <c r="D151" s="4">
        <f t="shared" si="58"/>
        <v>4995</v>
      </c>
      <c r="E151" s="15">
        <f t="shared" si="74"/>
        <v>0.125</v>
      </c>
      <c r="F151" s="15">
        <f t="shared" si="59"/>
        <v>16.875</v>
      </c>
      <c r="H151" s="15">
        <f t="shared" si="75"/>
        <v>0</v>
      </c>
      <c r="I151" s="15">
        <f t="shared" si="60"/>
        <v>0</v>
      </c>
      <c r="J151" s="15"/>
      <c r="K151" s="15">
        <f t="shared" si="61"/>
        <v>0.125</v>
      </c>
      <c r="L151" s="15">
        <f t="shared" si="62"/>
        <v>16.875</v>
      </c>
      <c r="O151">
        <f t="shared" si="63"/>
        <v>5.19</v>
      </c>
      <c r="P151" s="4">
        <f t="shared" si="76"/>
        <v>77.1213591651603</v>
      </c>
      <c r="R151" s="4">
        <f t="shared" si="77"/>
        <v>716.7186390832555</v>
      </c>
      <c r="T151" s="15">
        <f t="shared" si="78"/>
        <v>8.556434438697899</v>
      </c>
      <c r="V151" s="3">
        <f t="shared" si="64"/>
        <v>0.011996313271653127</v>
      </c>
      <c r="Y151" s="1">
        <f t="shared" si="54"/>
        <v>8.101444501397091E-06</v>
      </c>
      <c r="Z151">
        <f t="shared" si="65"/>
        <v>13.58</v>
      </c>
      <c r="AA151">
        <f t="shared" si="66"/>
        <v>1</v>
      </c>
      <c r="AB151" s="8">
        <f t="shared" si="55"/>
        <v>412.4885009532514</v>
      </c>
      <c r="AC151" s="4">
        <f t="shared" si="56"/>
        <v>829462.8760209989</v>
      </c>
      <c r="AD151" s="5">
        <f t="shared" si="57"/>
        <v>0.010484246819236846</v>
      </c>
      <c r="AE151" s="4">
        <f t="shared" si="67"/>
        <v>13500</v>
      </c>
      <c r="AF151" s="8">
        <f t="shared" si="68"/>
        <v>1063.6842533278366</v>
      </c>
      <c r="AG151" s="10">
        <f t="shared" si="69"/>
        <v>19.263779500819638</v>
      </c>
      <c r="AI151" s="15">
        <f t="shared" si="70"/>
        <v>77.1213591651603</v>
      </c>
      <c r="AJ151" s="15">
        <f t="shared" si="79"/>
        <v>77</v>
      </c>
      <c r="AK151" s="15">
        <f t="shared" si="80"/>
        <v>77.54757562313371</v>
      </c>
      <c r="AL151" s="15">
        <f t="shared" si="71"/>
        <v>0.42621645797341046</v>
      </c>
      <c r="AM151" s="15">
        <f t="shared" si="72"/>
        <v>77.42621645797341</v>
      </c>
    </row>
    <row r="152" spans="1:39" ht="12.75">
      <c r="A152" s="109"/>
      <c r="C152">
        <f t="shared" si="73"/>
        <v>135</v>
      </c>
      <c r="D152" s="4">
        <f t="shared" si="58"/>
        <v>5130</v>
      </c>
      <c r="E152" s="15">
        <f t="shared" si="74"/>
        <v>0.125</v>
      </c>
      <c r="F152" s="15">
        <f t="shared" si="59"/>
        <v>16.875</v>
      </c>
      <c r="H152" s="15">
        <f t="shared" si="75"/>
        <v>0</v>
      </c>
      <c r="I152" s="15">
        <f t="shared" si="60"/>
        <v>0</v>
      </c>
      <c r="J152" s="15"/>
      <c r="K152" s="15">
        <f t="shared" si="61"/>
        <v>0.125</v>
      </c>
      <c r="L152" s="15">
        <f t="shared" si="62"/>
        <v>16.875</v>
      </c>
      <c r="O152">
        <f t="shared" si="63"/>
        <v>5.19</v>
      </c>
      <c r="P152" s="4">
        <f t="shared" si="76"/>
        <v>77.12600670413893</v>
      </c>
      <c r="R152" s="4">
        <f t="shared" si="77"/>
        <v>699.6057702058597</v>
      </c>
      <c r="T152" s="15">
        <f t="shared" si="78"/>
        <v>8.556434438697899</v>
      </c>
      <c r="V152" s="3">
        <f t="shared" si="64"/>
        <v>0.011988970459554743</v>
      </c>
      <c r="Y152" s="1">
        <f t="shared" si="54"/>
        <v>8.101720862654917E-06</v>
      </c>
      <c r="Z152">
        <f t="shared" si="65"/>
        <v>13.58</v>
      </c>
      <c r="AA152">
        <f t="shared" si="66"/>
        <v>1</v>
      </c>
      <c r="AB152" s="8">
        <f t="shared" si="55"/>
        <v>402.88624308265935</v>
      </c>
      <c r="AC152" s="4">
        <f t="shared" si="56"/>
        <v>809630.4293396963</v>
      </c>
      <c r="AD152" s="5">
        <f t="shared" si="57"/>
        <v>0.01054787001556591</v>
      </c>
      <c r="AE152" s="4">
        <f t="shared" si="67"/>
        <v>13500</v>
      </c>
      <c r="AF152" s="8">
        <f t="shared" si="68"/>
        <v>1020.2709911171455</v>
      </c>
      <c r="AG152" s="10">
        <f t="shared" si="69"/>
        <v>19.253576790908465</v>
      </c>
      <c r="AI152" s="15">
        <f t="shared" si="70"/>
        <v>77.12600670413893</v>
      </c>
      <c r="AJ152" s="15">
        <f t="shared" si="79"/>
        <v>77</v>
      </c>
      <c r="AK152" s="15">
        <f t="shared" si="80"/>
        <v>77.54757562313371</v>
      </c>
      <c r="AL152" s="15">
        <f t="shared" si="71"/>
        <v>0.42156891899477955</v>
      </c>
      <c r="AM152" s="15">
        <f t="shared" si="72"/>
        <v>77.42156891899478</v>
      </c>
    </row>
    <row r="153" spans="1:39" ht="12.75">
      <c r="A153" s="109"/>
      <c r="C153">
        <f t="shared" si="73"/>
        <v>135</v>
      </c>
      <c r="D153" s="4">
        <f t="shared" si="58"/>
        <v>5265</v>
      </c>
      <c r="E153" s="15">
        <f t="shared" si="74"/>
        <v>0.125</v>
      </c>
      <c r="F153" s="15">
        <f t="shared" si="59"/>
        <v>16.875</v>
      </c>
      <c r="H153" s="15">
        <f t="shared" si="75"/>
        <v>0</v>
      </c>
      <c r="I153" s="15">
        <f t="shared" si="60"/>
        <v>0</v>
      </c>
      <c r="J153" s="15"/>
      <c r="K153" s="15">
        <f t="shared" si="61"/>
        <v>0.125</v>
      </c>
      <c r="L153" s="15">
        <f t="shared" si="62"/>
        <v>16.875</v>
      </c>
      <c r="O153">
        <f t="shared" si="63"/>
        <v>5.19</v>
      </c>
      <c r="P153" s="4">
        <f t="shared" si="76"/>
        <v>77.13077077579503</v>
      </c>
      <c r="R153" s="4">
        <f t="shared" si="77"/>
        <v>682.4929013284639</v>
      </c>
      <c r="T153" s="15">
        <f t="shared" si="78"/>
        <v>8.556434438697899</v>
      </c>
      <c r="V153" s="3">
        <f t="shared" si="64"/>
        <v>0.011981880599248821</v>
      </c>
      <c r="Y153" s="1">
        <f t="shared" si="54"/>
        <v>8.102004153411876E-06</v>
      </c>
      <c r="Z153">
        <f t="shared" si="65"/>
        <v>13.58</v>
      </c>
      <c r="AA153">
        <f t="shared" si="66"/>
        <v>1</v>
      </c>
      <c r="AB153" s="8">
        <f t="shared" si="55"/>
        <v>393.2639134848004</v>
      </c>
      <c r="AC153" s="4">
        <f t="shared" si="56"/>
        <v>789798.6601371116</v>
      </c>
      <c r="AD153" s="5">
        <f t="shared" si="57"/>
        <v>0.010613469511145843</v>
      </c>
      <c r="AE153" s="4">
        <f t="shared" si="67"/>
        <v>13500</v>
      </c>
      <c r="AF153" s="8">
        <f t="shared" si="68"/>
        <v>977.5850703650578</v>
      </c>
      <c r="AG153" s="10">
        <f t="shared" si="69"/>
        <v>19.243800940204814</v>
      </c>
      <c r="AI153" s="15">
        <f t="shared" si="70"/>
        <v>77.13077077579503</v>
      </c>
      <c r="AJ153" s="15">
        <f t="shared" si="79"/>
        <v>77</v>
      </c>
      <c r="AK153" s="15">
        <f t="shared" si="80"/>
        <v>77.54757562313371</v>
      </c>
      <c r="AL153" s="15">
        <f t="shared" si="71"/>
        <v>0.41680484733868184</v>
      </c>
      <c r="AM153" s="15">
        <f t="shared" si="72"/>
        <v>77.41680484733868</v>
      </c>
    </row>
    <row r="154" spans="1:39" ht="13.5" thickBot="1">
      <c r="A154" s="110"/>
      <c r="C154">
        <f t="shared" si="73"/>
        <v>135</v>
      </c>
      <c r="D154" s="4">
        <f t="shared" si="58"/>
        <v>5400</v>
      </c>
      <c r="E154" s="15">
        <f t="shared" si="74"/>
        <v>0.125</v>
      </c>
      <c r="F154" s="15">
        <f t="shared" si="59"/>
        <v>16.875</v>
      </c>
      <c r="H154" s="15">
        <f t="shared" si="75"/>
        <v>0</v>
      </c>
      <c r="I154" s="15">
        <f t="shared" si="60"/>
        <v>0</v>
      </c>
      <c r="J154" s="15"/>
      <c r="K154" s="15">
        <f t="shared" si="61"/>
        <v>0.125</v>
      </c>
      <c r="L154" s="15">
        <f t="shared" si="62"/>
        <v>16.875</v>
      </c>
      <c r="O154">
        <f t="shared" si="63"/>
        <v>5.19</v>
      </c>
      <c r="P154" s="4">
        <f t="shared" si="76"/>
        <v>77.13565737432238</v>
      </c>
      <c r="R154" s="4">
        <f t="shared" si="77"/>
        <v>665.380032451068</v>
      </c>
      <c r="T154" s="15">
        <f t="shared" si="78"/>
        <v>8.556434438697899</v>
      </c>
      <c r="V154" s="3">
        <f t="shared" si="64"/>
        <v>0.011975038219319327</v>
      </c>
      <c r="Y154" s="1">
        <f t="shared" si="54"/>
        <v>8.102294730106705E-06</v>
      </c>
      <c r="Z154">
        <f t="shared" si="65"/>
        <v>13.58</v>
      </c>
      <c r="AA154">
        <f t="shared" si="66"/>
        <v>1</v>
      </c>
      <c r="AB154" s="8">
        <f t="shared" si="55"/>
        <v>383.6222615512054</v>
      </c>
      <c r="AC154" s="4">
        <f t="shared" si="56"/>
        <v>769967.5853529694</v>
      </c>
      <c r="AD154" s="5">
        <f t="shared" si="57"/>
        <v>0.010681158611742448</v>
      </c>
      <c r="AE154" s="4">
        <f t="shared" si="67"/>
        <v>13500</v>
      </c>
      <c r="AF154" s="8">
        <f t="shared" si="68"/>
        <v>935.6359015116254</v>
      </c>
      <c r="AG154" s="10">
        <f t="shared" si="69"/>
        <v>19.2344445811897</v>
      </c>
      <c r="AI154" s="15">
        <f t="shared" si="70"/>
        <v>77.13565737432238</v>
      </c>
      <c r="AJ154" s="15">
        <f t="shared" si="79"/>
        <v>77</v>
      </c>
      <c r="AK154" s="15">
        <f t="shared" si="80"/>
        <v>77.54757562313371</v>
      </c>
      <c r="AL154" s="15">
        <f t="shared" si="71"/>
        <v>0.41191824881133243</v>
      </c>
      <c r="AM154" s="15">
        <f t="shared" si="72"/>
        <v>77.41191824881133</v>
      </c>
    </row>
    <row r="155" spans="1:39" ht="12.75">
      <c r="A155" s="108"/>
      <c r="C155">
        <f t="shared" si="73"/>
        <v>135</v>
      </c>
      <c r="D155" s="4">
        <f t="shared" si="58"/>
        <v>5535</v>
      </c>
      <c r="E155" s="15">
        <f t="shared" si="74"/>
        <v>0.125</v>
      </c>
      <c r="F155" s="15">
        <f t="shared" si="59"/>
        <v>16.875</v>
      </c>
      <c r="H155" s="15">
        <f t="shared" si="75"/>
        <v>0</v>
      </c>
      <c r="I155" s="15">
        <f t="shared" si="60"/>
        <v>0</v>
      </c>
      <c r="J155" s="15"/>
      <c r="K155" s="15">
        <f t="shared" si="61"/>
        <v>0.125</v>
      </c>
      <c r="L155" s="15">
        <f t="shared" si="62"/>
        <v>16.875</v>
      </c>
      <c r="O155">
        <f t="shared" si="63"/>
        <v>5.19</v>
      </c>
      <c r="P155" s="4">
        <f t="shared" si="76"/>
        <v>77.14067296861653</v>
      </c>
      <c r="R155" s="4">
        <f t="shared" si="77"/>
        <v>648.2671635736722</v>
      </c>
      <c r="T155" s="15">
        <f t="shared" si="78"/>
        <v>8.556434438697899</v>
      </c>
      <c r="V155" s="3">
        <f t="shared" si="64"/>
        <v>0.011968437717320885</v>
      </c>
      <c r="Y155" s="1">
        <f t="shared" si="54"/>
        <v>8.102592977405813E-06</v>
      </c>
      <c r="Z155">
        <f t="shared" si="65"/>
        <v>13.58</v>
      </c>
      <c r="AA155">
        <f t="shared" si="66"/>
        <v>1</v>
      </c>
      <c r="AB155" s="8">
        <f t="shared" si="55"/>
        <v>373.9620272969503</v>
      </c>
      <c r="AC155" s="4">
        <f t="shared" si="56"/>
        <v>750137.2227971252</v>
      </c>
      <c r="AD155" s="5">
        <f t="shared" si="57"/>
        <v>0.010751060251609643</v>
      </c>
      <c r="AE155" s="4">
        <f t="shared" si="67"/>
        <v>13500</v>
      </c>
      <c r="AF155" s="8">
        <f t="shared" si="68"/>
        <v>894.4329168670256</v>
      </c>
      <c r="AG155" s="10">
        <f t="shared" si="69"/>
        <v>19.22550025202103</v>
      </c>
      <c r="AI155" s="15">
        <f t="shared" si="70"/>
        <v>77.14067296861653</v>
      </c>
      <c r="AJ155" s="15">
        <f t="shared" si="79"/>
        <v>77</v>
      </c>
      <c r="AK155" s="15">
        <f t="shared" si="80"/>
        <v>77.54757562313371</v>
      </c>
      <c r="AL155" s="15">
        <f t="shared" si="71"/>
        <v>0.4069026545171823</v>
      </c>
      <c r="AM155" s="15">
        <f t="shared" si="72"/>
        <v>77.40690265451718</v>
      </c>
    </row>
    <row r="156" spans="1:39" ht="12.75">
      <c r="A156" s="109"/>
      <c r="C156">
        <f t="shared" si="73"/>
        <v>135</v>
      </c>
      <c r="D156" s="4">
        <f t="shared" si="58"/>
        <v>5670</v>
      </c>
      <c r="E156" s="15">
        <f t="shared" si="74"/>
        <v>0.125</v>
      </c>
      <c r="F156" s="15">
        <f t="shared" si="59"/>
        <v>16.875</v>
      </c>
      <c r="H156" s="15">
        <f t="shared" si="75"/>
        <v>0</v>
      </c>
      <c r="I156" s="15">
        <f t="shared" si="60"/>
        <v>0</v>
      </c>
      <c r="J156" s="15"/>
      <c r="K156" s="15">
        <f t="shared" si="61"/>
        <v>0.125</v>
      </c>
      <c r="L156" s="15">
        <f t="shared" si="62"/>
        <v>16.875</v>
      </c>
      <c r="O156">
        <f t="shared" si="63"/>
        <v>5.19</v>
      </c>
      <c r="P156" s="4">
        <f t="shared" si="76"/>
        <v>77.14582455375827</v>
      </c>
      <c r="R156" s="4">
        <f t="shared" si="77"/>
        <v>631.1542946962763</v>
      </c>
      <c r="T156" s="15">
        <f t="shared" si="78"/>
        <v>8.556434438697899</v>
      </c>
      <c r="V156" s="3">
        <f t="shared" si="64"/>
        <v>0.011962073351798178</v>
      </c>
      <c r="Y156" s="1">
        <f t="shared" si="54"/>
        <v>8.102899311264681E-06</v>
      </c>
      <c r="Z156">
        <f t="shared" si="65"/>
        <v>13.58</v>
      </c>
      <c r="AA156">
        <f t="shared" si="66"/>
        <v>1</v>
      </c>
      <c r="AB156" s="8">
        <f t="shared" si="55"/>
        <v>364.2839408087024</v>
      </c>
      <c r="AC156" s="4">
        <f t="shared" si="56"/>
        <v>730307.5912184098</v>
      </c>
      <c r="AD156" s="5">
        <f t="shared" si="57"/>
        <v>0.010823308092201315</v>
      </c>
      <c r="AE156" s="4">
        <f t="shared" si="67"/>
        <v>13500</v>
      </c>
      <c r="AF156" s="8">
        <f t="shared" si="68"/>
        <v>853.9855798495873</v>
      </c>
      <c r="AG156" s="10">
        <f t="shared" si="69"/>
        <v>19.216960396222532</v>
      </c>
      <c r="AI156" s="15">
        <f t="shared" si="70"/>
        <v>77.14582455375827</v>
      </c>
      <c r="AJ156" s="15">
        <f t="shared" si="79"/>
        <v>77</v>
      </c>
      <c r="AK156" s="15">
        <f t="shared" si="80"/>
        <v>77.54757562313371</v>
      </c>
      <c r="AL156" s="15">
        <f t="shared" si="71"/>
        <v>0.40175106937543603</v>
      </c>
      <c r="AM156" s="15">
        <f t="shared" si="72"/>
        <v>77.40175106937544</v>
      </c>
    </row>
    <row r="157" spans="1:39" ht="12.75">
      <c r="A157" s="109"/>
      <c r="C157">
        <f t="shared" si="73"/>
        <v>135</v>
      </c>
      <c r="D157" s="4">
        <f t="shared" si="58"/>
        <v>5805</v>
      </c>
      <c r="E157" s="15">
        <f t="shared" si="74"/>
        <v>0.125</v>
      </c>
      <c r="F157" s="15">
        <f t="shared" si="59"/>
        <v>16.875</v>
      </c>
      <c r="H157" s="15">
        <f t="shared" si="75"/>
        <v>0</v>
      </c>
      <c r="I157" s="15">
        <f t="shared" si="60"/>
        <v>0</v>
      </c>
      <c r="J157" s="15"/>
      <c r="K157" s="15">
        <f t="shared" si="61"/>
        <v>0.125</v>
      </c>
      <c r="L157" s="15">
        <f t="shared" si="62"/>
        <v>16.875</v>
      </c>
      <c r="O157">
        <f t="shared" si="63"/>
        <v>5.19</v>
      </c>
      <c r="P157" s="4">
        <f t="shared" si="76"/>
        <v>77.15111970967119</v>
      </c>
      <c r="R157" s="4">
        <f t="shared" si="77"/>
        <v>614.0414258188805</v>
      </c>
      <c r="T157" s="15">
        <f t="shared" si="78"/>
        <v>8.556434438697899</v>
      </c>
      <c r="V157" s="3">
        <f t="shared" si="64"/>
        <v>0.011955939233154815</v>
      </c>
      <c r="Y157" s="1">
        <f t="shared" si="54"/>
        <v>8.103214182415888E-06</v>
      </c>
      <c r="Z157">
        <f t="shared" si="65"/>
        <v>13.58</v>
      </c>
      <c r="AA157">
        <f t="shared" si="66"/>
        <v>1</v>
      </c>
      <c r="AB157" s="8">
        <f t="shared" si="55"/>
        <v>354.58872169312167</v>
      </c>
      <c r="AC157" s="4">
        <f t="shared" si="56"/>
        <v>710478.7103809372</v>
      </c>
      <c r="AD157" s="5">
        <f t="shared" si="57"/>
        <v>0.010898047780035513</v>
      </c>
      <c r="AE157" s="4">
        <f t="shared" si="67"/>
        <v>13500</v>
      </c>
      <c r="AF157" s="8">
        <f t="shared" si="68"/>
        <v>814.3033951947543</v>
      </c>
      <c r="AG157" s="10">
        <f t="shared" si="69"/>
        <v>19.208817362270583</v>
      </c>
      <c r="AI157" s="15">
        <f t="shared" si="70"/>
        <v>77.15111970967119</v>
      </c>
      <c r="AJ157" s="15">
        <f t="shared" si="79"/>
        <v>77</v>
      </c>
      <c r="AK157" s="15">
        <f t="shared" si="80"/>
        <v>77.54757562313371</v>
      </c>
      <c r="AL157" s="15">
        <f t="shared" si="71"/>
        <v>0.39645591346251763</v>
      </c>
      <c r="AM157" s="15">
        <f t="shared" si="72"/>
        <v>77.39645591346252</v>
      </c>
    </row>
    <row r="158" spans="1:39" ht="12.75">
      <c r="A158" s="109"/>
      <c r="C158">
        <f t="shared" si="73"/>
        <v>135</v>
      </c>
      <c r="D158" s="4">
        <f t="shared" si="58"/>
        <v>5940</v>
      </c>
      <c r="E158" s="15">
        <f t="shared" si="74"/>
        <v>0.125</v>
      </c>
      <c r="F158" s="15">
        <f t="shared" si="59"/>
        <v>16.875</v>
      </c>
      <c r="H158" s="15">
        <f t="shared" si="75"/>
        <v>0</v>
      </c>
      <c r="I158" s="15">
        <f t="shared" si="60"/>
        <v>0</v>
      </c>
      <c r="J158" s="15"/>
      <c r="K158" s="15">
        <f t="shared" si="61"/>
        <v>0.125</v>
      </c>
      <c r="L158" s="15">
        <f t="shared" si="62"/>
        <v>16.875</v>
      </c>
      <c r="O158">
        <f t="shared" si="63"/>
        <v>5.19</v>
      </c>
      <c r="P158" s="4">
        <f t="shared" si="76"/>
        <v>77.15656666818724</v>
      </c>
      <c r="R158" s="4">
        <f t="shared" si="77"/>
        <v>596.9285569414847</v>
      </c>
      <c r="T158" s="15">
        <f t="shared" si="78"/>
        <v>8.556434438697899</v>
      </c>
      <c r="V158" s="3">
        <f t="shared" si="64"/>
        <v>0.011950029313177712</v>
      </c>
      <c r="Y158" s="1">
        <f t="shared" si="54"/>
        <v>8.103538080357086E-06</v>
      </c>
      <c r="Z158">
        <f t="shared" si="65"/>
        <v>13.58</v>
      </c>
      <c r="AA158">
        <f t="shared" si="66"/>
        <v>1</v>
      </c>
      <c r="AB158" s="8">
        <f t="shared" si="55"/>
        <v>344.87707852477973</v>
      </c>
      <c r="AC158" s="4">
        <f t="shared" si="56"/>
        <v>690650.601148909</v>
      </c>
      <c r="AD158" s="5">
        <f t="shared" si="57"/>
        <v>0.010975438391935705</v>
      </c>
      <c r="AE158" s="4">
        <f t="shared" si="67"/>
        <v>13500</v>
      </c>
      <c r="AF158" s="8">
        <f t="shared" si="68"/>
        <v>775.3959202318885</v>
      </c>
      <c r="AG158" s="10">
        <f t="shared" si="69"/>
        <v>19.201063403068265</v>
      </c>
      <c r="AI158" s="15">
        <f t="shared" si="70"/>
        <v>77.15656666818724</v>
      </c>
      <c r="AJ158" s="15">
        <f t="shared" si="79"/>
        <v>77</v>
      </c>
      <c r="AK158" s="15">
        <f t="shared" si="80"/>
        <v>77.54757562313371</v>
      </c>
      <c r="AL158" s="15">
        <f t="shared" si="71"/>
        <v>0.3910089549464715</v>
      </c>
      <c r="AM158" s="15">
        <f t="shared" si="72"/>
        <v>77.39100895494647</v>
      </c>
    </row>
    <row r="159" spans="1:39" ht="12.75">
      <c r="A159" s="109"/>
      <c r="C159">
        <f t="shared" si="73"/>
        <v>135</v>
      </c>
      <c r="D159" s="4">
        <f t="shared" si="58"/>
        <v>6075</v>
      </c>
      <c r="E159" s="15">
        <f t="shared" si="74"/>
        <v>0.125</v>
      </c>
      <c r="F159" s="15">
        <f t="shared" si="59"/>
        <v>16.875</v>
      </c>
      <c r="H159" s="15">
        <f t="shared" si="75"/>
        <v>0</v>
      </c>
      <c r="I159" s="15">
        <f t="shared" si="60"/>
        <v>0</v>
      </c>
      <c r="J159" s="15"/>
      <c r="K159" s="15">
        <f t="shared" si="61"/>
        <v>0.125</v>
      </c>
      <c r="L159" s="15">
        <f t="shared" si="62"/>
        <v>16.875</v>
      </c>
      <c r="O159">
        <f t="shared" si="63"/>
        <v>5.19</v>
      </c>
      <c r="P159" s="4">
        <f t="shared" si="76"/>
        <v>77.16217439000926</v>
      </c>
      <c r="R159" s="4">
        <f t="shared" si="77"/>
        <v>579.8156880640888</v>
      </c>
      <c r="T159" s="15">
        <f t="shared" si="78"/>
        <v>8.556434438697899</v>
      </c>
      <c r="V159" s="3">
        <f t="shared" si="64"/>
        <v>0.011944337372983744</v>
      </c>
      <c r="Y159" s="1">
        <f t="shared" si="54"/>
        <v>8.10387153792751E-06</v>
      </c>
      <c r="Z159">
        <f t="shared" si="65"/>
        <v>13.58</v>
      </c>
      <c r="AA159">
        <f t="shared" si="66"/>
        <v>1</v>
      </c>
      <c r="AB159" s="8">
        <f t="shared" si="55"/>
        <v>335.14970829255896</v>
      </c>
      <c r="AC159" s="4">
        <f t="shared" si="56"/>
        <v>670823.285581142</v>
      </c>
      <c r="AD159" s="5">
        <f t="shared" si="57"/>
        <v>0.011055654101850013</v>
      </c>
      <c r="AE159" s="4">
        <f t="shared" si="67"/>
        <v>13500</v>
      </c>
      <c r="AF159" s="8">
        <f t="shared" si="68"/>
        <v>737.2727773402432</v>
      </c>
      <c r="AG159" s="10">
        <f t="shared" si="69"/>
        <v>19.193690675294864</v>
      </c>
      <c r="AI159" s="15">
        <f t="shared" si="70"/>
        <v>77.16217439000926</v>
      </c>
      <c r="AJ159" s="15">
        <f t="shared" si="79"/>
        <v>77</v>
      </c>
      <c r="AK159" s="15">
        <f t="shared" si="80"/>
        <v>77.54757562313371</v>
      </c>
      <c r="AL159" s="15">
        <f t="shared" si="71"/>
        <v>0.38540123312445473</v>
      </c>
      <c r="AM159" s="15">
        <f t="shared" si="72"/>
        <v>77.38540123312445</v>
      </c>
    </row>
    <row r="160" spans="1:39" ht="12.75">
      <c r="A160" s="109"/>
      <c r="C160">
        <f t="shared" si="73"/>
        <v>135</v>
      </c>
      <c r="D160" s="4">
        <f t="shared" si="58"/>
        <v>6210</v>
      </c>
      <c r="E160" s="15">
        <f t="shared" si="74"/>
        <v>0.125</v>
      </c>
      <c r="F160" s="15">
        <f t="shared" si="59"/>
        <v>16.875</v>
      </c>
      <c r="H160" s="15">
        <f t="shared" si="75"/>
        <v>0</v>
      </c>
      <c r="I160" s="15">
        <f t="shared" si="60"/>
        <v>0</v>
      </c>
      <c r="J160" s="15"/>
      <c r="K160" s="15">
        <f t="shared" si="61"/>
        <v>0.125</v>
      </c>
      <c r="L160" s="15">
        <f t="shared" si="62"/>
        <v>16.875</v>
      </c>
      <c r="O160">
        <f t="shared" si="63"/>
        <v>5.19</v>
      </c>
      <c r="P160" s="4">
        <f t="shared" si="76"/>
        <v>77.16795265337642</v>
      </c>
      <c r="R160" s="4">
        <f t="shared" si="77"/>
        <v>562.702819186693</v>
      </c>
      <c r="T160" s="15">
        <f t="shared" si="78"/>
        <v>8.556434438697899</v>
      </c>
      <c r="V160" s="3">
        <f t="shared" si="64"/>
        <v>0.011938857009106397</v>
      </c>
      <c r="Y160" s="1">
        <f t="shared" si="54"/>
        <v>8.104215136580375E-06</v>
      </c>
      <c r="Z160">
        <f t="shared" si="65"/>
        <v>13.58</v>
      </c>
      <c r="AA160">
        <f t="shared" si="66"/>
        <v>1</v>
      </c>
      <c r="AB160" s="8">
        <f t="shared" si="55"/>
        <v>325.4072958432559</v>
      </c>
      <c r="AC160" s="4">
        <f t="shared" si="56"/>
        <v>650996.7870367438</v>
      </c>
      <c r="AD160" s="5">
        <f t="shared" si="57"/>
        <v>0.011138886110908996</v>
      </c>
      <c r="AE160" s="4">
        <f t="shared" si="67"/>
        <v>13500</v>
      </c>
      <c r="AF160" s="8">
        <f t="shared" si="68"/>
        <v>699.9436677125227</v>
      </c>
      <c r="AG160" s="10">
        <f t="shared" si="69"/>
        <v>19.186691238617737</v>
      </c>
      <c r="AI160" s="15">
        <f t="shared" si="70"/>
        <v>77.16795265337642</v>
      </c>
      <c r="AJ160" s="15">
        <f t="shared" si="79"/>
        <v>77</v>
      </c>
      <c r="AK160" s="15">
        <f t="shared" si="80"/>
        <v>77.54757562313371</v>
      </c>
      <c r="AL160" s="15">
        <f t="shared" si="71"/>
        <v>0.3796229697572926</v>
      </c>
      <c r="AM160" s="15">
        <f t="shared" si="72"/>
        <v>77.37962296975729</v>
      </c>
    </row>
    <row r="161" spans="1:39" ht="12.75">
      <c r="A161" s="109"/>
      <c r="C161">
        <f t="shared" si="73"/>
        <v>135</v>
      </c>
      <c r="D161" s="4">
        <f t="shared" si="58"/>
        <v>6345</v>
      </c>
      <c r="E161" s="15">
        <f t="shared" si="74"/>
        <v>0.125</v>
      </c>
      <c r="F161" s="15">
        <f t="shared" si="59"/>
        <v>16.875</v>
      </c>
      <c r="H161" s="15">
        <f t="shared" si="75"/>
        <v>0</v>
      </c>
      <c r="I161" s="15">
        <f t="shared" si="60"/>
        <v>0</v>
      </c>
      <c r="J161" s="15"/>
      <c r="K161" s="15">
        <f t="shared" si="61"/>
        <v>0.125</v>
      </c>
      <c r="L161" s="15">
        <f t="shared" si="62"/>
        <v>16.875</v>
      </c>
      <c r="O161">
        <f t="shared" si="63"/>
        <v>5.19</v>
      </c>
      <c r="P161" s="4">
        <f t="shared" si="76"/>
        <v>77.17391215663497</v>
      </c>
      <c r="R161" s="4">
        <f t="shared" si="77"/>
        <v>545.5899503092971</v>
      </c>
      <c r="T161" s="15">
        <f t="shared" si="78"/>
        <v>8.556434438697899</v>
      </c>
      <c r="V161" s="3">
        <f t="shared" si="64"/>
        <v>0.011933581617379138</v>
      </c>
      <c r="Y161" s="1">
        <f t="shared" si="54"/>
        <v>8.104569512482142E-06</v>
      </c>
      <c r="Z161">
        <f t="shared" si="65"/>
        <v>13.58</v>
      </c>
      <c r="AA161">
        <f t="shared" si="66"/>
        <v>1</v>
      </c>
      <c r="AB161" s="8">
        <f t="shared" si="55"/>
        <v>315.650513320836</v>
      </c>
      <c r="AC161" s="4">
        <f t="shared" si="56"/>
        <v>631171.1302936374</v>
      </c>
      <c r="AD161" s="5">
        <f t="shared" si="57"/>
        <v>0.01122534489175088</v>
      </c>
      <c r="AE161" s="4">
        <f t="shared" si="67"/>
        <v>13500</v>
      </c>
      <c r="AF161" s="8">
        <f t="shared" si="68"/>
        <v>663.4183865747964</v>
      </c>
      <c r="AG161" s="10">
        <f t="shared" si="69"/>
        <v>19.180057054751988</v>
      </c>
      <c r="AI161" s="15">
        <f t="shared" si="70"/>
        <v>77.17391215663497</v>
      </c>
      <c r="AJ161" s="15">
        <f t="shared" si="79"/>
        <v>77</v>
      </c>
      <c r="AK161" s="15">
        <f t="shared" si="80"/>
        <v>77.54757562313371</v>
      </c>
      <c r="AL161" s="15">
        <f t="shared" si="71"/>
        <v>0.3736634664987406</v>
      </c>
      <c r="AM161" s="15">
        <f t="shared" si="72"/>
        <v>77.37366346649874</v>
      </c>
    </row>
    <row r="162" spans="1:39" ht="12.75">
      <c r="A162" s="109"/>
      <c r="C162">
        <f t="shared" si="73"/>
        <v>135</v>
      </c>
      <c r="D162" s="4">
        <f t="shared" si="58"/>
        <v>6480</v>
      </c>
      <c r="E162" s="15">
        <f t="shared" si="74"/>
        <v>0.125</v>
      </c>
      <c r="F162" s="15">
        <f t="shared" si="59"/>
        <v>16.875</v>
      </c>
      <c r="H162" s="15">
        <f t="shared" si="75"/>
        <v>0</v>
      </c>
      <c r="I162" s="15">
        <f t="shared" si="60"/>
        <v>0</v>
      </c>
      <c r="J162" s="15"/>
      <c r="K162" s="15">
        <f t="shared" si="61"/>
        <v>0.125</v>
      </c>
      <c r="L162" s="15">
        <f t="shared" si="62"/>
        <v>16.875</v>
      </c>
      <c r="O162">
        <f t="shared" si="63"/>
        <v>5.19</v>
      </c>
      <c r="P162" s="4">
        <f t="shared" si="76"/>
        <v>77.18006463741597</v>
      </c>
      <c r="R162" s="4">
        <f t="shared" si="77"/>
        <v>528.4770814319013</v>
      </c>
      <c r="T162" s="15">
        <f t="shared" si="78"/>
        <v>8.556434438697899</v>
      </c>
      <c r="V162" s="3">
        <f t="shared" si="64"/>
        <v>0.01192850437419534</v>
      </c>
      <c r="Y162" s="1">
        <f t="shared" si="54"/>
        <v>8.104935363599303E-06</v>
      </c>
      <c r="Z162">
        <f t="shared" si="65"/>
        <v>13.58</v>
      </c>
      <c r="AA162">
        <f t="shared" si="66"/>
        <v>1</v>
      </c>
      <c r="AB162" s="8">
        <f t="shared" si="55"/>
        <v>305.880019599452</v>
      </c>
      <c r="AC162" s="4">
        <f t="shared" si="56"/>
        <v>611346.3416819433</v>
      </c>
      <c r="AD162" s="5">
        <f t="shared" si="57"/>
        <v>0.011315262809985864</v>
      </c>
      <c r="AE162" s="4">
        <f t="shared" si="67"/>
        <v>13500</v>
      </c>
      <c r="AF162" s="8">
        <f t="shared" si="68"/>
        <v>627.7068400358464</v>
      </c>
      <c r="AG162" s="10">
        <f t="shared" si="69"/>
        <v>19.17377998635163</v>
      </c>
      <c r="AI162" s="15">
        <f t="shared" si="70"/>
        <v>77.18006463741597</v>
      </c>
      <c r="AJ162" s="15">
        <f t="shared" si="79"/>
        <v>77</v>
      </c>
      <c r="AK162" s="15">
        <f t="shared" si="80"/>
        <v>77.54757562313371</v>
      </c>
      <c r="AL162" s="15">
        <f t="shared" si="71"/>
        <v>0.3675109857177432</v>
      </c>
      <c r="AM162" s="15">
        <f t="shared" si="72"/>
        <v>77.36751098571774</v>
      </c>
    </row>
    <row r="163" spans="1:39" ht="12.75">
      <c r="A163" s="109"/>
      <c r="C163">
        <f t="shared" si="73"/>
        <v>135</v>
      </c>
      <c r="D163" s="4">
        <f t="shared" si="58"/>
        <v>6615</v>
      </c>
      <c r="E163" s="15">
        <f t="shared" si="74"/>
        <v>0.125</v>
      </c>
      <c r="F163" s="15">
        <f t="shared" si="59"/>
        <v>16.875</v>
      </c>
      <c r="H163" s="15">
        <f t="shared" si="75"/>
        <v>0</v>
      </c>
      <c r="I163" s="15">
        <f t="shared" si="60"/>
        <v>0</v>
      </c>
      <c r="J163" s="15"/>
      <c r="K163" s="15">
        <f t="shared" si="61"/>
        <v>0.125</v>
      </c>
      <c r="L163" s="15">
        <f t="shared" si="62"/>
        <v>16.875</v>
      </c>
      <c r="O163">
        <f t="shared" si="63"/>
        <v>5.19</v>
      </c>
      <c r="P163" s="4">
        <f t="shared" si="76"/>
        <v>77.18642301175441</v>
      </c>
      <c r="R163" s="4">
        <f t="shared" si="77"/>
        <v>511.3642125545055</v>
      </c>
      <c r="T163" s="15">
        <f t="shared" si="78"/>
        <v>8.556434438697899</v>
      </c>
      <c r="V163" s="3">
        <f t="shared" si="64"/>
        <v>0.011923618214627242</v>
      </c>
      <c r="Y163" s="1">
        <f t="shared" si="54"/>
        <v>8.105313457970964E-06</v>
      </c>
      <c r="Z163">
        <f t="shared" si="65"/>
        <v>13.58</v>
      </c>
      <c r="AA163">
        <f t="shared" si="66"/>
        <v>1</v>
      </c>
      <c r="AB163" s="8">
        <f t="shared" si="55"/>
        <v>296.0964597079389</v>
      </c>
      <c r="AC163" s="4">
        <f t="shared" si="56"/>
        <v>591522.4492346284</v>
      </c>
      <c r="AD163" s="5">
        <f t="shared" si="57"/>
        <v>0.011408897200744778</v>
      </c>
      <c r="AE163" s="4">
        <f t="shared" si="67"/>
        <v>13500</v>
      </c>
      <c r="AF163" s="8">
        <f t="shared" si="68"/>
        <v>592.8190637682546</v>
      </c>
      <c r="AG163" s="10">
        <f t="shared" si="69"/>
        <v>19.167851795713947</v>
      </c>
      <c r="AI163" s="15">
        <f t="shared" si="70"/>
        <v>77.18642301175441</v>
      </c>
      <c r="AJ163" s="15">
        <f t="shared" si="79"/>
        <v>77</v>
      </c>
      <c r="AK163" s="15">
        <f t="shared" si="80"/>
        <v>77.54757562313371</v>
      </c>
      <c r="AL163" s="15">
        <f t="shared" si="71"/>
        <v>0.3611526113792962</v>
      </c>
      <c r="AM163" s="15">
        <f t="shared" si="72"/>
        <v>77.3611526113793</v>
      </c>
    </row>
    <row r="164" spans="1:39" ht="13.5" thickBot="1">
      <c r="A164" s="110"/>
      <c r="C164">
        <f t="shared" si="73"/>
        <v>135</v>
      </c>
      <c r="D164" s="4">
        <f t="shared" si="58"/>
        <v>6750</v>
      </c>
      <c r="E164" s="15">
        <f t="shared" si="74"/>
        <v>0.125</v>
      </c>
      <c r="F164" s="15">
        <f t="shared" si="59"/>
        <v>16.875</v>
      </c>
      <c r="H164" s="15">
        <f t="shared" si="75"/>
        <v>0</v>
      </c>
      <c r="I164" s="15">
        <f t="shared" si="60"/>
        <v>0</v>
      </c>
      <c r="J164" s="15"/>
      <c r="K164" s="15">
        <f t="shared" si="61"/>
        <v>0.125</v>
      </c>
      <c r="L164" s="15">
        <f t="shared" si="62"/>
        <v>16.875</v>
      </c>
      <c r="O164">
        <f t="shared" si="63"/>
        <v>5.19</v>
      </c>
      <c r="P164" s="4">
        <f t="shared" si="76"/>
        <v>77.19300153729269</v>
      </c>
      <c r="R164" s="4">
        <f t="shared" si="77"/>
        <v>494.25134367710973</v>
      </c>
      <c r="T164" s="15">
        <f t="shared" si="78"/>
        <v>8.556434438697899</v>
      </c>
      <c r="V164" s="3">
        <f t="shared" si="64"/>
        <v>0.011918915806762366</v>
      </c>
      <c r="Y164" s="1">
        <f t="shared" si="54"/>
        <v>8.105704643413572E-06</v>
      </c>
      <c r="Z164">
        <f t="shared" si="65"/>
        <v>13.58</v>
      </c>
      <c r="AA164">
        <f t="shared" si="66"/>
        <v>1</v>
      </c>
      <c r="AB164" s="8">
        <f t="shared" si="55"/>
        <v>286.3004642430108</v>
      </c>
      <c r="AC164" s="4">
        <f t="shared" si="56"/>
        <v>571699.4828583073</v>
      </c>
      <c r="AD164" s="5">
        <f t="shared" si="57"/>
        <v>0.01150653399758472</v>
      </c>
      <c r="AE164" s="4">
        <f t="shared" si="67"/>
        <v>13500</v>
      </c>
      <c r="AF164" s="8">
        <f t="shared" si="68"/>
        <v>558.7652437588333</v>
      </c>
      <c r="AG164" s="10">
        <f t="shared" si="69"/>
        <v>19.16226414327636</v>
      </c>
      <c r="AI164" s="15">
        <f t="shared" si="70"/>
        <v>77.19300153729269</v>
      </c>
      <c r="AJ164" s="15">
        <f t="shared" si="79"/>
        <v>77</v>
      </c>
      <c r="AK164" s="15">
        <f t="shared" si="80"/>
        <v>77.54757562313371</v>
      </c>
      <c r="AL164" s="15">
        <f t="shared" si="71"/>
        <v>0.3545740858410227</v>
      </c>
      <c r="AM164" s="15">
        <f t="shared" si="72"/>
        <v>77.35457408584102</v>
      </c>
    </row>
    <row r="165" spans="1:39" ht="12.75">
      <c r="A165" s="108"/>
      <c r="C165">
        <f t="shared" si="73"/>
        <v>135</v>
      </c>
      <c r="D165" s="4">
        <f t="shared" si="58"/>
        <v>6885</v>
      </c>
      <c r="E165" s="15">
        <f t="shared" si="74"/>
        <v>0.125</v>
      </c>
      <c r="F165" s="15">
        <f t="shared" si="59"/>
        <v>16.875</v>
      </c>
      <c r="H165" s="15">
        <f t="shared" si="75"/>
        <v>0</v>
      </c>
      <c r="I165" s="15">
        <f t="shared" si="60"/>
        <v>0</v>
      </c>
      <c r="J165" s="15"/>
      <c r="K165" s="15">
        <f t="shared" si="61"/>
        <v>0.125</v>
      </c>
      <c r="L165" s="15">
        <f t="shared" si="62"/>
        <v>16.875</v>
      </c>
      <c r="O165">
        <f t="shared" si="63"/>
        <v>5.19</v>
      </c>
      <c r="P165" s="4">
        <f t="shared" si="76"/>
        <v>77.19981600575086</v>
      </c>
      <c r="R165" s="4">
        <f t="shared" si="77"/>
        <v>477.13847479971395</v>
      </c>
      <c r="T165" s="15">
        <f t="shared" si="78"/>
        <v>8.556434438697899</v>
      </c>
      <c r="V165" s="3">
        <f t="shared" si="64"/>
        <v>0.011914389521456209</v>
      </c>
      <c r="Y165" s="1">
        <f t="shared" si="54"/>
        <v>8.106109858965968E-06</v>
      </c>
      <c r="Z165">
        <f t="shared" si="65"/>
        <v>13.58</v>
      </c>
      <c r="AA165">
        <f t="shared" si="66"/>
        <v>1</v>
      </c>
      <c r="AB165" s="8">
        <f t="shared" si="55"/>
        <v>276.4926487677899</v>
      </c>
      <c r="AC165" s="4">
        <f t="shared" si="56"/>
        <v>551877.4745276787</v>
      </c>
      <c r="AD165" s="5">
        <f t="shared" si="57"/>
        <v>0.011608492035998204</v>
      </c>
      <c r="AE165" s="4">
        <f t="shared" si="67"/>
        <v>13500</v>
      </c>
      <c r="AF165" s="8">
        <f t="shared" si="68"/>
        <v>525.5557394088756</v>
      </c>
      <c r="AG165" s="10">
        <f t="shared" si="69"/>
        <v>19.15700858588227</v>
      </c>
      <c r="AI165" s="15">
        <f t="shared" si="70"/>
        <v>77.19981600575086</v>
      </c>
      <c r="AJ165" s="15">
        <f t="shared" si="79"/>
        <v>77</v>
      </c>
      <c r="AK165" s="15">
        <f t="shared" si="80"/>
        <v>77.54757562313371</v>
      </c>
      <c r="AL165" s="15">
        <f t="shared" si="71"/>
        <v>0.3477596173828488</v>
      </c>
      <c r="AM165" s="15">
        <f t="shared" si="72"/>
        <v>77.34775961738285</v>
      </c>
    </row>
    <row r="166" spans="1:39" ht="12.75">
      <c r="A166" s="109"/>
      <c r="C166">
        <f t="shared" si="73"/>
        <v>135</v>
      </c>
      <c r="D166" s="4">
        <f t="shared" si="58"/>
        <v>7020</v>
      </c>
      <c r="E166" s="15">
        <f t="shared" si="74"/>
        <v>0.125</v>
      </c>
      <c r="F166" s="15">
        <f t="shared" si="59"/>
        <v>16.875</v>
      </c>
      <c r="H166" s="15">
        <f t="shared" si="75"/>
        <v>0</v>
      </c>
      <c r="I166" s="15">
        <f t="shared" si="60"/>
        <v>0</v>
      </c>
      <c r="J166" s="15"/>
      <c r="K166" s="15">
        <f t="shared" si="61"/>
        <v>0.125</v>
      </c>
      <c r="L166" s="15">
        <f t="shared" si="62"/>
        <v>16.875</v>
      </c>
      <c r="O166">
        <f t="shared" si="63"/>
        <v>5.19</v>
      </c>
      <c r="P166" s="4">
        <f t="shared" si="76"/>
        <v>77.20688397119636</v>
      </c>
      <c r="R166" s="4">
        <f t="shared" si="77"/>
        <v>460.02560592231816</v>
      </c>
      <c r="T166" s="15">
        <f t="shared" si="78"/>
        <v>8.556434438697899</v>
      </c>
      <c r="V166" s="3">
        <f t="shared" si="64"/>
        <v>0.011910031396493105</v>
      </c>
      <c r="Y166" s="1">
        <f t="shared" si="54"/>
        <v>8.10653014846322E-06</v>
      </c>
      <c r="Z166">
        <f t="shared" si="65"/>
        <v>13.58</v>
      </c>
      <c r="AA166">
        <f t="shared" si="66"/>
        <v>1</v>
      </c>
      <c r="AB166" s="8">
        <f t="shared" si="55"/>
        <v>266.67361319156777</v>
      </c>
      <c r="AC166" s="4">
        <f t="shared" si="56"/>
        <v>532056.4585078422</v>
      </c>
      <c r="AD166" s="5">
        <f t="shared" si="57"/>
        <v>0.011715128186311256</v>
      </c>
      <c r="AE166" s="4">
        <f t="shared" si="67"/>
        <v>13500</v>
      </c>
      <c r="AF166" s="8">
        <f t="shared" si="68"/>
        <v>493.2011093171343</v>
      </c>
      <c r="AG166" s="10">
        <f t="shared" si="69"/>
        <v>19.1520765747891</v>
      </c>
      <c r="AI166" s="15">
        <f t="shared" si="70"/>
        <v>77.20688397119636</v>
      </c>
      <c r="AJ166" s="15">
        <f t="shared" si="79"/>
        <v>77</v>
      </c>
      <c r="AK166" s="15">
        <f t="shared" si="80"/>
        <v>77.54757562313371</v>
      </c>
      <c r="AL166" s="15">
        <f t="shared" si="71"/>
        <v>0.3406916519373482</v>
      </c>
      <c r="AM166" s="15">
        <f t="shared" si="72"/>
        <v>77.34069165193735</v>
      </c>
    </row>
    <row r="167" spans="1:39" ht="12.75">
      <c r="A167" s="109"/>
      <c r="C167">
        <f t="shared" si="73"/>
        <v>135</v>
      </c>
      <c r="D167" s="4">
        <f t="shared" si="58"/>
        <v>7155</v>
      </c>
      <c r="E167" s="15">
        <f t="shared" si="74"/>
        <v>0.125</v>
      </c>
      <c r="F167" s="15">
        <f t="shared" si="59"/>
        <v>16.875</v>
      </c>
      <c r="H167" s="15">
        <f t="shared" si="75"/>
        <v>0</v>
      </c>
      <c r="I167" s="15">
        <f t="shared" si="60"/>
        <v>0</v>
      </c>
      <c r="J167" s="15"/>
      <c r="K167" s="15">
        <f t="shared" si="61"/>
        <v>0.125</v>
      </c>
      <c r="L167" s="15">
        <f t="shared" si="62"/>
        <v>16.875</v>
      </c>
      <c r="O167">
        <f t="shared" si="63"/>
        <v>5.19</v>
      </c>
      <c r="P167" s="4">
        <f t="shared" si="76"/>
        <v>77.214225022412</v>
      </c>
      <c r="R167" s="4">
        <f t="shared" si="77"/>
        <v>442.9127370449224</v>
      </c>
      <c r="T167" s="15">
        <f t="shared" si="78"/>
        <v>8.556434438697899</v>
      </c>
      <c r="V167" s="3">
        <f t="shared" si="64"/>
        <v>0.01190583309387672</v>
      </c>
      <c r="Y167" s="1">
        <f t="shared" si="54"/>
        <v>8.106966676732707E-06</v>
      </c>
      <c r="Z167">
        <f t="shared" si="65"/>
        <v>13.58</v>
      </c>
      <c r="AA167">
        <f t="shared" si="66"/>
        <v>1</v>
      </c>
      <c r="AB167" s="8">
        <f t="shared" si="55"/>
        <v>256.84394112577985</v>
      </c>
      <c r="AC167" s="4">
        <f t="shared" si="56"/>
        <v>512236.47160966974</v>
      </c>
      <c r="AD167" s="5">
        <f t="shared" si="57"/>
        <v>0.011826843513526645</v>
      </c>
      <c r="AE167" s="4">
        <f t="shared" si="67"/>
        <v>13500</v>
      </c>
      <c r="AF167" s="8">
        <f t="shared" si="68"/>
        <v>461.71214014287784</v>
      </c>
      <c r="AG167" s="10">
        <f t="shared" si="69"/>
        <v>19.147459453387672</v>
      </c>
      <c r="AI167" s="15">
        <f t="shared" si="70"/>
        <v>77.214225022412</v>
      </c>
      <c r="AJ167" s="15">
        <f t="shared" si="79"/>
        <v>77</v>
      </c>
      <c r="AK167" s="15">
        <f t="shared" si="80"/>
        <v>77.54757562313371</v>
      </c>
      <c r="AL167" s="15">
        <f t="shared" si="71"/>
        <v>0.3333506007217153</v>
      </c>
      <c r="AM167" s="15">
        <f t="shared" si="72"/>
        <v>77.33335060072172</v>
      </c>
    </row>
    <row r="168" spans="1:39" ht="12.75">
      <c r="A168" s="109"/>
      <c r="C168">
        <f t="shared" si="73"/>
        <v>135</v>
      </c>
      <c r="D168" s="4">
        <f t="shared" si="58"/>
        <v>7290</v>
      </c>
      <c r="E168" s="15">
        <f t="shared" si="74"/>
        <v>0.125</v>
      </c>
      <c r="F168" s="15">
        <f t="shared" si="59"/>
        <v>16.875</v>
      </c>
      <c r="H168" s="15">
        <f t="shared" si="75"/>
        <v>0</v>
      </c>
      <c r="I168" s="15">
        <f t="shared" si="60"/>
        <v>0</v>
      </c>
      <c r="J168" s="15"/>
      <c r="K168" s="15">
        <f t="shared" si="61"/>
        <v>0.125</v>
      </c>
      <c r="L168" s="15">
        <f t="shared" si="62"/>
        <v>16.875</v>
      </c>
      <c r="O168">
        <f t="shared" si="63"/>
        <v>5.19</v>
      </c>
      <c r="P168" s="4">
        <f t="shared" si="76"/>
        <v>77.22186110999628</v>
      </c>
      <c r="R168" s="4">
        <f t="shared" si="77"/>
        <v>425.7998681675266</v>
      </c>
      <c r="T168" s="15">
        <f t="shared" si="78"/>
        <v>8.556434438697899</v>
      </c>
      <c r="V168" s="3">
        <f t="shared" si="64"/>
        <v>0.011901785848614243</v>
      </c>
      <c r="Y168" s="1">
        <f t="shared" si="54"/>
        <v>8.107420749044818E-06</v>
      </c>
      <c r="Z168">
        <f t="shared" si="65"/>
        <v>13.58</v>
      </c>
      <c r="AA168">
        <f t="shared" si="66"/>
        <v>1</v>
      </c>
      <c r="AB168" s="8">
        <f t="shared" si="55"/>
        <v>247.00419921003063</v>
      </c>
      <c r="AC168" s="4">
        <f t="shared" si="56"/>
        <v>492417.5534846168</v>
      </c>
      <c r="AD168" s="5">
        <f t="shared" si="57"/>
        <v>0.01194409071842239</v>
      </c>
      <c r="AE168" s="4">
        <f t="shared" si="67"/>
        <v>13500</v>
      </c>
      <c r="AF168" s="8">
        <f t="shared" si="68"/>
        <v>431.0998790262885</v>
      </c>
      <c r="AG168" s="10">
        <f t="shared" si="69"/>
        <v>19.14314845459741</v>
      </c>
      <c r="AI168" s="15">
        <f t="shared" si="70"/>
        <v>77.22186110999628</v>
      </c>
      <c r="AJ168" s="15">
        <f t="shared" si="79"/>
        <v>77</v>
      </c>
      <c r="AK168" s="15">
        <f t="shared" si="80"/>
        <v>77.54757562313371</v>
      </c>
      <c r="AL168" s="15">
        <f t="shared" si="71"/>
        <v>0.3257145131374273</v>
      </c>
      <c r="AM168" s="15">
        <f t="shared" si="72"/>
        <v>77.32571451313743</v>
      </c>
    </row>
    <row r="169" spans="1:39" ht="12.75">
      <c r="A169" s="109"/>
      <c r="C169">
        <f t="shared" si="73"/>
        <v>135</v>
      </c>
      <c r="D169" s="4">
        <f t="shared" si="58"/>
        <v>7425</v>
      </c>
      <c r="E169" s="15">
        <f t="shared" si="74"/>
        <v>0.125</v>
      </c>
      <c r="F169" s="15">
        <f t="shared" si="59"/>
        <v>16.875</v>
      </c>
      <c r="H169" s="15">
        <f t="shared" si="75"/>
        <v>0</v>
      </c>
      <c r="I169" s="15">
        <f t="shared" si="60"/>
        <v>0</v>
      </c>
      <c r="J169" s="15"/>
      <c r="K169" s="15">
        <f t="shared" si="61"/>
        <v>0.125</v>
      </c>
      <c r="L169" s="15">
        <f t="shared" si="62"/>
        <v>16.875</v>
      </c>
      <c r="O169">
        <f t="shared" si="63"/>
        <v>5.19</v>
      </c>
      <c r="P169" s="4">
        <f t="shared" si="76"/>
        <v>77.22981694194678</v>
      </c>
      <c r="R169" s="4">
        <f t="shared" si="77"/>
        <v>408.6869992901308</v>
      </c>
      <c r="T169" s="15">
        <f t="shared" si="78"/>
        <v>8.556434438697899</v>
      </c>
      <c r="V169" s="3">
        <f t="shared" si="64"/>
        <v>0.011897880406882047</v>
      </c>
      <c r="Y169" s="1">
        <f t="shared" si="54"/>
        <v>8.107893834635924E-06</v>
      </c>
      <c r="Z169">
        <f t="shared" si="65"/>
        <v>13.58</v>
      </c>
      <c r="AA169">
        <f t="shared" si="66"/>
        <v>1</v>
      </c>
      <c r="AB169" s="8">
        <f t="shared" si="55"/>
        <v>237.15493640054808</v>
      </c>
      <c r="AC169" s="4">
        <f t="shared" si="56"/>
        <v>472599.7469668975</v>
      </c>
      <c r="AD169" s="5">
        <f t="shared" si="57"/>
        <v>0.01206738319028971</v>
      </c>
      <c r="AE169" s="4">
        <f t="shared" si="67"/>
        <v>13500</v>
      </c>
      <c r="AF169" s="8">
        <f t="shared" si="68"/>
        <v>401.37567014316255</v>
      </c>
      <c r="AG169" s="10">
        <f t="shared" si="69"/>
        <v>19.139134697895976</v>
      </c>
      <c r="AI169" s="15">
        <f t="shared" si="70"/>
        <v>77.22981694194678</v>
      </c>
      <c r="AJ169" s="15">
        <f t="shared" si="79"/>
        <v>77</v>
      </c>
      <c r="AK169" s="15">
        <f t="shared" si="80"/>
        <v>77.54757562313371</v>
      </c>
      <c r="AL169" s="15">
        <f t="shared" si="71"/>
        <v>0.3177586811869304</v>
      </c>
      <c r="AM169" s="15">
        <f t="shared" si="72"/>
        <v>77.31775868118693</v>
      </c>
    </row>
    <row r="170" spans="1:39" ht="12.75">
      <c r="A170" s="109"/>
      <c r="C170">
        <f t="shared" si="73"/>
        <v>135</v>
      </c>
      <c r="D170" s="4">
        <f t="shared" si="58"/>
        <v>7560</v>
      </c>
      <c r="E170" s="15">
        <f t="shared" si="74"/>
        <v>0.125</v>
      </c>
      <c r="F170" s="15">
        <f t="shared" si="59"/>
        <v>16.875</v>
      </c>
      <c r="H170" s="15">
        <f t="shared" si="75"/>
        <v>0</v>
      </c>
      <c r="I170" s="15">
        <f t="shared" si="60"/>
        <v>0</v>
      </c>
      <c r="J170" s="15"/>
      <c r="K170" s="15">
        <f t="shared" si="61"/>
        <v>0.125</v>
      </c>
      <c r="L170" s="15">
        <f t="shared" si="62"/>
        <v>16.875</v>
      </c>
      <c r="O170">
        <f t="shared" si="63"/>
        <v>5.19</v>
      </c>
      <c r="P170" s="4">
        <f t="shared" si="76"/>
        <v>77.23812046568385</v>
      </c>
      <c r="R170" s="4">
        <f t="shared" si="77"/>
        <v>391.57413041273503</v>
      </c>
      <c r="T170" s="15">
        <f t="shared" si="78"/>
        <v>8.556434438697899</v>
      </c>
      <c r="V170" s="3">
        <f t="shared" si="64"/>
        <v>0.011894106950817983</v>
      </c>
      <c r="Y170" s="1">
        <f t="shared" si="54"/>
        <v>8.108387595371423E-06</v>
      </c>
      <c r="Z170">
        <f t="shared" si="65"/>
        <v>13.58</v>
      </c>
      <c r="AA170">
        <f t="shared" si="66"/>
        <v>1</v>
      </c>
      <c r="AB170" s="8">
        <f t="shared" si="55"/>
        <v>227.29668321157283</v>
      </c>
      <c r="AC170" s="4">
        <f t="shared" si="56"/>
        <v>452783.09847293</v>
      </c>
      <c r="AD170" s="5">
        <f t="shared" si="57"/>
        <v>0.012197306104781864</v>
      </c>
      <c r="AE170" s="4">
        <f t="shared" si="67"/>
        <v>13500</v>
      </c>
      <c r="AF170" s="8">
        <f t="shared" si="68"/>
        <v>372.5511960963582</v>
      </c>
      <c r="AG170" s="10">
        <f t="shared" si="69"/>
        <v>19.135409185935014</v>
      </c>
      <c r="AI170" s="15">
        <f t="shared" si="70"/>
        <v>77.23812046568385</v>
      </c>
      <c r="AJ170" s="15">
        <f t="shared" si="79"/>
        <v>77</v>
      </c>
      <c r="AK170" s="15">
        <f t="shared" si="80"/>
        <v>77.54757562313371</v>
      </c>
      <c r="AL170" s="15">
        <f t="shared" si="71"/>
        <v>0.30945515744986096</v>
      </c>
      <c r="AM170" s="15">
        <f t="shared" si="72"/>
        <v>77.30945515744986</v>
      </c>
    </row>
    <row r="171" spans="1:39" ht="12.75">
      <c r="A171" s="109"/>
      <c r="C171">
        <f t="shared" si="73"/>
        <v>135</v>
      </c>
      <c r="D171" s="4">
        <f t="shared" si="58"/>
        <v>7695</v>
      </c>
      <c r="E171" s="15">
        <f t="shared" si="74"/>
        <v>0.125</v>
      </c>
      <c r="F171" s="15">
        <f t="shared" si="59"/>
        <v>16.875</v>
      </c>
      <c r="H171" s="15">
        <f t="shared" si="75"/>
        <v>0</v>
      </c>
      <c r="I171" s="15">
        <f t="shared" si="60"/>
        <v>0</v>
      </c>
      <c r="J171" s="15"/>
      <c r="K171" s="15">
        <f t="shared" si="61"/>
        <v>0.125</v>
      </c>
      <c r="L171" s="15">
        <f t="shared" si="62"/>
        <v>16.875</v>
      </c>
      <c r="O171">
        <f t="shared" si="63"/>
        <v>5.19</v>
      </c>
      <c r="P171" s="4">
        <f t="shared" si="76"/>
        <v>77.24680346021678</v>
      </c>
      <c r="R171" s="4">
        <f t="shared" si="77"/>
        <v>374.46126153533925</v>
      </c>
      <c r="T171" s="15">
        <f t="shared" si="78"/>
        <v>8.556434438697899</v>
      </c>
      <c r="V171" s="3">
        <f t="shared" si="64"/>
        <v>0.011890455006308724</v>
      </c>
      <c r="Y171" s="1">
        <f t="shared" si="54"/>
        <v>8.108903920958332E-06</v>
      </c>
      <c r="Z171">
        <f t="shared" si="65"/>
        <v>13.58</v>
      </c>
      <c r="AA171">
        <f t="shared" si="66"/>
        <v>1</v>
      </c>
      <c r="AB171" s="8">
        <f t="shared" si="55"/>
        <v>217.4299508977696</v>
      </c>
      <c r="AC171" s="4">
        <f t="shared" si="56"/>
        <v>432967.65847056115</v>
      </c>
      <c r="AD171" s="5">
        <f t="shared" si="57"/>
        <v>0.012334530141685326</v>
      </c>
      <c r="AE171" s="4">
        <f t="shared" si="67"/>
        <v>13500</v>
      </c>
      <c r="AF171" s="8">
        <f t="shared" si="68"/>
        <v>344.6385250057749</v>
      </c>
      <c r="AG171" s="10">
        <f t="shared" si="69"/>
        <v>19.131962800684956</v>
      </c>
      <c r="AI171" s="15">
        <f t="shared" si="70"/>
        <v>77.24680346021678</v>
      </c>
      <c r="AJ171" s="15">
        <f t="shared" si="79"/>
        <v>77</v>
      </c>
      <c r="AK171" s="15">
        <f t="shared" si="80"/>
        <v>77.54757562313371</v>
      </c>
      <c r="AL171" s="15">
        <f t="shared" si="71"/>
        <v>0.3007721629169282</v>
      </c>
      <c r="AM171" s="15">
        <f t="shared" si="72"/>
        <v>77.30077216291693</v>
      </c>
    </row>
    <row r="172" spans="1:39" ht="12.75">
      <c r="A172" s="109"/>
      <c r="C172">
        <f t="shared" si="73"/>
        <v>135</v>
      </c>
      <c r="D172" s="4">
        <f t="shared" si="58"/>
        <v>7830</v>
      </c>
      <c r="E172" s="15">
        <f t="shared" si="74"/>
        <v>0.125</v>
      </c>
      <c r="F172" s="15">
        <f t="shared" si="59"/>
        <v>16.875</v>
      </c>
      <c r="H172" s="15">
        <f t="shared" si="75"/>
        <v>0</v>
      </c>
      <c r="I172" s="15">
        <f t="shared" si="60"/>
        <v>0</v>
      </c>
      <c r="J172" s="15"/>
      <c r="K172" s="15">
        <f t="shared" si="61"/>
        <v>0.125</v>
      </c>
      <c r="L172" s="15">
        <f t="shared" si="62"/>
        <v>16.875</v>
      </c>
      <c r="O172">
        <f t="shared" si="63"/>
        <v>5.19</v>
      </c>
      <c r="P172" s="4">
        <f t="shared" si="76"/>
        <v>77.25590227009954</v>
      </c>
      <c r="R172" s="4">
        <f t="shared" si="77"/>
        <v>357.34839265794346</v>
      </c>
      <c r="T172" s="15">
        <f t="shared" si="78"/>
        <v>8.556434438697899</v>
      </c>
      <c r="V172" s="3">
        <f t="shared" si="64"/>
        <v>0.011886913328928942</v>
      </c>
      <c r="Y172" s="1">
        <f t="shared" si="54"/>
        <v>8.109444972589198E-06</v>
      </c>
      <c r="Z172">
        <f t="shared" si="65"/>
        <v>13.58</v>
      </c>
      <c r="AA172">
        <f t="shared" si="66"/>
        <v>1</v>
      </c>
      <c r="AB172" s="8">
        <f t="shared" si="55"/>
        <v>207.55523056256277</v>
      </c>
      <c r="AC172" s="4">
        <f t="shared" si="56"/>
        <v>413153.4820340093</v>
      </c>
      <c r="AD172" s="5">
        <f t="shared" si="57"/>
        <v>0.012479828593684197</v>
      </c>
      <c r="AE172" s="4">
        <f t="shared" si="67"/>
        <v>13500</v>
      </c>
      <c r="AF172" s="8">
        <f t="shared" si="68"/>
        <v>317.65016436284</v>
      </c>
      <c r="AG172" s="10">
        <f t="shared" si="69"/>
        <v>19.128786299041327</v>
      </c>
      <c r="AI172" s="15">
        <f t="shared" si="70"/>
        <v>77.25590227009954</v>
      </c>
      <c r="AJ172" s="15">
        <f t="shared" si="79"/>
        <v>77</v>
      </c>
      <c r="AK172" s="15">
        <f t="shared" si="80"/>
        <v>77.54757562313371</v>
      </c>
      <c r="AL172" s="15">
        <f t="shared" si="71"/>
        <v>0.2916733530341702</v>
      </c>
      <c r="AM172" s="15">
        <f t="shared" si="72"/>
        <v>77.29167335303417</v>
      </c>
    </row>
    <row r="173" spans="1:39" ht="12.75">
      <c r="A173" s="109"/>
      <c r="C173">
        <f t="shared" si="73"/>
        <v>135</v>
      </c>
      <c r="D173" s="4">
        <f t="shared" si="58"/>
        <v>7965</v>
      </c>
      <c r="E173" s="15">
        <f t="shared" si="74"/>
        <v>0.125</v>
      </c>
      <c r="F173" s="15">
        <f t="shared" si="59"/>
        <v>16.875</v>
      </c>
      <c r="H173" s="15">
        <f t="shared" si="75"/>
        <v>0</v>
      </c>
      <c r="I173" s="15">
        <f t="shared" si="60"/>
        <v>0</v>
      </c>
      <c r="J173" s="15"/>
      <c r="K173" s="15">
        <f t="shared" si="61"/>
        <v>0.125</v>
      </c>
      <c r="L173" s="15">
        <f t="shared" si="62"/>
        <v>16.875</v>
      </c>
      <c r="O173">
        <f t="shared" si="63"/>
        <v>5.19</v>
      </c>
      <c r="P173" s="4">
        <f t="shared" si="76"/>
        <v>77.26545872396589</v>
      </c>
      <c r="R173" s="4">
        <f t="shared" si="77"/>
        <v>340.2355237805477</v>
      </c>
      <c r="T173" s="15">
        <f t="shared" si="78"/>
        <v>8.556434438697899</v>
      </c>
      <c r="V173" s="3">
        <f t="shared" si="64"/>
        <v>0.011883469761491051</v>
      </c>
      <c r="Y173" s="1">
        <f t="shared" si="54"/>
        <v>8.110013237561907E-06</v>
      </c>
      <c r="Z173">
        <f t="shared" si="65"/>
        <v>13.58</v>
      </c>
      <c r="AA173">
        <f t="shared" si="66"/>
        <v>1</v>
      </c>
      <c r="AB173" s="8">
        <f t="shared" si="55"/>
        <v>197.6729921730797</v>
      </c>
      <c r="AC173" s="4">
        <f t="shared" si="56"/>
        <v>393340.6295050335</v>
      </c>
      <c r="AD173" s="5">
        <f t="shared" si="57"/>
        <v>0.012634098913480425</v>
      </c>
      <c r="AE173" s="4">
        <f t="shared" si="67"/>
        <v>13500</v>
      </c>
      <c r="AF173" s="8">
        <f t="shared" si="68"/>
        <v>291.5991229799427</v>
      </c>
      <c r="AG173" s="10">
        <f t="shared" si="69"/>
        <v>19.125870307811528</v>
      </c>
      <c r="AI173" s="15">
        <f t="shared" si="70"/>
        <v>77.26545872396589</v>
      </c>
      <c r="AJ173" s="15">
        <f t="shared" si="79"/>
        <v>77</v>
      </c>
      <c r="AK173" s="15">
        <f t="shared" si="80"/>
        <v>77.54757562313371</v>
      </c>
      <c r="AL173" s="15">
        <f t="shared" si="71"/>
        <v>0.2821168991678178</v>
      </c>
      <c r="AM173" s="15">
        <f t="shared" si="72"/>
        <v>77.28211689916782</v>
      </c>
    </row>
    <row r="174" spans="1:39" ht="13.5" thickBot="1">
      <c r="A174" s="110"/>
      <c r="C174">
        <f t="shared" si="73"/>
        <v>135</v>
      </c>
      <c r="D174" s="4">
        <f t="shared" si="58"/>
        <v>8100</v>
      </c>
      <c r="E174" s="15">
        <f t="shared" si="74"/>
        <v>0.125</v>
      </c>
      <c r="F174" s="15">
        <f t="shared" si="59"/>
        <v>16.875</v>
      </c>
      <c r="H174" s="15">
        <f t="shared" si="75"/>
        <v>0</v>
      </c>
      <c r="I174" s="15">
        <f t="shared" si="60"/>
        <v>0</v>
      </c>
      <c r="J174" s="15"/>
      <c r="K174" s="15">
        <f t="shared" si="61"/>
        <v>0.125</v>
      </c>
      <c r="L174" s="15">
        <f t="shared" si="62"/>
        <v>16.875</v>
      </c>
      <c r="O174">
        <f t="shared" si="63"/>
        <v>5.19</v>
      </c>
      <c r="P174" s="4">
        <f t="shared" si="76"/>
        <v>77.27552129629676</v>
      </c>
      <c r="R174" s="4">
        <f t="shared" si="77"/>
        <v>323.1226549031519</v>
      </c>
      <c r="T174" s="15">
        <f t="shared" si="78"/>
        <v>8.556434438697899</v>
      </c>
      <c r="V174" s="3">
        <f t="shared" si="64"/>
        <v>0.011880111054248538</v>
      </c>
      <c r="Y174" s="1">
        <f t="shared" si="54"/>
        <v>8.11061159836299E-06</v>
      </c>
      <c r="Z174">
        <f t="shared" si="65"/>
        <v>13.58</v>
      </c>
      <c r="AA174">
        <f t="shared" si="66"/>
        <v>1</v>
      </c>
      <c r="AB174" s="8">
        <f t="shared" si="55"/>
        <v>187.7836834567002</v>
      </c>
      <c r="AC174" s="4">
        <f t="shared" si="56"/>
        <v>373529.1672870346</v>
      </c>
      <c r="AD174" s="5">
        <f t="shared" si="57"/>
        <v>0.012798390141457136</v>
      </c>
      <c r="AE174" s="4">
        <f t="shared" si="67"/>
        <v>13500</v>
      </c>
      <c r="AF174" s="8">
        <f t="shared" si="68"/>
        <v>266.4989827115998</v>
      </c>
      <c r="AG174" s="10">
        <f t="shared" si="69"/>
        <v>19.12320531798441</v>
      </c>
      <c r="AI174" s="15">
        <f t="shared" si="70"/>
        <v>77.27552129629676</v>
      </c>
      <c r="AJ174" s="15">
        <f t="shared" si="79"/>
        <v>77</v>
      </c>
      <c r="AK174" s="15">
        <f t="shared" si="80"/>
        <v>77.54757562313371</v>
      </c>
      <c r="AL174" s="15">
        <f t="shared" si="71"/>
        <v>0.2720543268369511</v>
      </c>
      <c r="AM174" s="15">
        <f t="shared" si="72"/>
        <v>77.27205432683695</v>
      </c>
    </row>
    <row r="175" spans="1:39" ht="12.75">
      <c r="A175" s="108"/>
      <c r="C175">
        <f t="shared" si="73"/>
        <v>135</v>
      </c>
      <c r="D175" s="4">
        <f t="shared" si="58"/>
        <v>8235</v>
      </c>
      <c r="E175" s="15">
        <f t="shared" si="74"/>
        <v>0.125</v>
      </c>
      <c r="F175" s="15">
        <f t="shared" si="59"/>
        <v>16.875</v>
      </c>
      <c r="H175" s="15">
        <f t="shared" si="75"/>
        <v>0</v>
      </c>
      <c r="I175" s="15">
        <f t="shared" si="60"/>
        <v>0</v>
      </c>
      <c r="K175" s="15">
        <f t="shared" si="61"/>
        <v>0.125</v>
      </c>
      <c r="L175" s="15">
        <f t="shared" si="62"/>
        <v>16.875</v>
      </c>
      <c r="O175">
        <f t="shared" si="63"/>
        <v>5.19</v>
      </c>
      <c r="P175" s="4">
        <f t="shared" si="76"/>
        <v>77.28614659403293</v>
      </c>
      <c r="R175" s="4">
        <f t="shared" si="77"/>
        <v>306.0097860257561</v>
      </c>
      <c r="T175" s="15">
        <f t="shared" si="78"/>
        <v>8.556434438697899</v>
      </c>
      <c r="V175" s="3">
        <f t="shared" si="64"/>
        <v>0.011876822635301649</v>
      </c>
      <c r="Y175" s="1">
        <f t="shared" si="54"/>
        <v>8.111243421067573E-06</v>
      </c>
      <c r="Z175">
        <f t="shared" si="65"/>
        <v>13.58</v>
      </c>
      <c r="AA175">
        <f t="shared" si="66"/>
        <v>1</v>
      </c>
      <c r="AB175" s="8">
        <f t="shared" si="55"/>
        <v>177.8877286464585</v>
      </c>
      <c r="AC175" s="4">
        <f t="shared" si="56"/>
        <v>353719.1688072665</v>
      </c>
      <c r="AD175" s="5">
        <f t="shared" si="57"/>
        <v>0.012973938229584885</v>
      </c>
      <c r="AE175" s="4">
        <f t="shared" si="67"/>
        <v>13500</v>
      </c>
      <c r="AF175" s="8">
        <f t="shared" si="68"/>
        <v>242.36398208335865</v>
      </c>
      <c r="AG175" s="10">
        <f t="shared" si="69"/>
        <v>19.120781678163578</v>
      </c>
      <c r="AI175" s="15">
        <f t="shared" si="70"/>
        <v>77.28614659403293</v>
      </c>
      <c r="AJ175" s="15">
        <f t="shared" si="79"/>
        <v>77</v>
      </c>
      <c r="AK175" s="15">
        <f t="shared" si="80"/>
        <v>77.54757562313371</v>
      </c>
      <c r="AL175" s="15">
        <f t="shared" si="71"/>
        <v>0.2614290291007819</v>
      </c>
      <c r="AM175" s="15">
        <f t="shared" si="72"/>
        <v>77.26142902910078</v>
      </c>
    </row>
    <row r="176" spans="1:39" ht="12.75">
      <c r="A176" s="109"/>
      <c r="C176">
        <f t="shared" si="73"/>
        <v>135</v>
      </c>
      <c r="D176" s="4">
        <f t="shared" si="58"/>
        <v>8370</v>
      </c>
      <c r="E176" s="15">
        <f t="shared" si="74"/>
        <v>0.125</v>
      </c>
      <c r="F176" s="15">
        <f t="shared" si="59"/>
        <v>16.875</v>
      </c>
      <c r="H176" s="15">
        <f t="shared" si="75"/>
        <v>0</v>
      </c>
      <c r="I176" s="15">
        <f t="shared" si="60"/>
        <v>0</v>
      </c>
      <c r="K176" s="15">
        <f t="shared" si="61"/>
        <v>0.125</v>
      </c>
      <c r="L176" s="15">
        <f t="shared" si="62"/>
        <v>16.875</v>
      </c>
      <c r="O176">
        <f t="shared" si="63"/>
        <v>5.19</v>
      </c>
      <c r="P176" s="4">
        <f t="shared" si="76"/>
        <v>77.29740128348686</v>
      </c>
      <c r="R176" s="4">
        <f t="shared" si="77"/>
        <v>288.89691714836033</v>
      </c>
      <c r="T176" s="15">
        <f t="shared" si="78"/>
        <v>8.556434438697899</v>
      </c>
      <c r="V176" s="3">
        <f t="shared" si="64"/>
        <v>0.011873588313607665</v>
      </c>
      <c r="Y176" s="1">
        <f t="shared" si="54"/>
        <v>8.111912669921264E-06</v>
      </c>
      <c r="Z176">
        <f t="shared" si="65"/>
        <v>13.58</v>
      </c>
      <c r="AA176">
        <f t="shared" si="66"/>
        <v>1</v>
      </c>
      <c r="AB176" s="8">
        <f t="shared" si="55"/>
        <v>167.98552703178765</v>
      </c>
      <c r="AC176" s="4">
        <f t="shared" si="56"/>
        <v>333910.7156941396</v>
      </c>
      <c r="AD176" s="5">
        <f t="shared" si="57"/>
        <v>0.013162212125425139</v>
      </c>
      <c r="AE176" s="4">
        <f t="shared" si="67"/>
        <v>13500</v>
      </c>
      <c r="AF176" s="8">
        <f t="shared" si="68"/>
        <v>219.20911458154376</v>
      </c>
      <c r="AG176" s="10">
        <f t="shared" si="69"/>
        <v>19.118589587017762</v>
      </c>
      <c r="AI176" s="15">
        <f t="shared" si="70"/>
        <v>77.29740128348686</v>
      </c>
      <c r="AJ176" s="15">
        <f t="shared" si="79"/>
        <v>77</v>
      </c>
      <c r="AK176" s="15">
        <f t="shared" si="80"/>
        <v>77.54757562313371</v>
      </c>
      <c r="AL176" s="15">
        <f t="shared" si="71"/>
        <v>0.250174339646847</v>
      </c>
      <c r="AM176" s="15">
        <f t="shared" si="72"/>
        <v>77.25017433964685</v>
      </c>
    </row>
    <row r="177" spans="1:39" ht="12.75">
      <c r="A177" s="109"/>
      <c r="C177">
        <f t="shared" si="73"/>
        <v>135</v>
      </c>
      <c r="D177" s="4">
        <f t="shared" si="58"/>
        <v>8505</v>
      </c>
      <c r="E177" s="15">
        <f t="shared" si="74"/>
        <v>0.125</v>
      </c>
      <c r="F177" s="15">
        <f t="shared" si="59"/>
        <v>16.875</v>
      </c>
      <c r="H177" s="15">
        <f t="shared" si="75"/>
        <v>0</v>
      </c>
      <c r="I177" s="15">
        <f t="shared" si="60"/>
        <v>0</v>
      </c>
      <c r="K177" s="15">
        <f t="shared" si="61"/>
        <v>0.125</v>
      </c>
      <c r="L177" s="15">
        <f t="shared" si="62"/>
        <v>16.875</v>
      </c>
      <c r="O177">
        <f t="shared" si="63"/>
        <v>5.19</v>
      </c>
      <c r="P177" s="4">
        <f t="shared" si="76"/>
        <v>77.30936462389404</v>
      </c>
      <c r="R177" s="4">
        <f t="shared" si="77"/>
        <v>271.78404827096455</v>
      </c>
      <c r="T177" s="15">
        <f t="shared" si="78"/>
        <v>8.556434438697899</v>
      </c>
      <c r="V177" s="3">
        <f t="shared" si="64"/>
        <v>0.011870389889263443</v>
      </c>
      <c r="Y177" s="1">
        <f t="shared" si="54"/>
        <v>8.112624057995234E-06</v>
      </c>
      <c r="Z177">
        <f t="shared" si="65"/>
        <v>13.58</v>
      </c>
      <c r="AA177">
        <f t="shared" si="66"/>
        <v>1</v>
      </c>
      <c r="AB177" s="8">
        <f t="shared" si="55"/>
        <v>158.07745125594136</v>
      </c>
      <c r="AC177" s="4">
        <f t="shared" si="56"/>
        <v>314103.8992332907</v>
      </c>
      <c r="AD177" s="5">
        <f t="shared" si="57"/>
        <v>0.01336497475946576</v>
      </c>
      <c r="AE177" s="4">
        <f t="shared" si="67"/>
        <v>13500</v>
      </c>
      <c r="AF177" s="8">
        <f t="shared" si="68"/>
        <v>197.05024519868275</v>
      </c>
      <c r="AG177" s="10">
        <f t="shared" si="69"/>
        <v>19.116619084565777</v>
      </c>
      <c r="AI177" s="15">
        <f t="shared" si="70"/>
        <v>77.30936462389404</v>
      </c>
      <c r="AJ177" s="15">
        <f t="shared" si="79"/>
        <v>77</v>
      </c>
      <c r="AK177" s="15">
        <f t="shared" si="80"/>
        <v>77.54757562313371</v>
      </c>
      <c r="AL177" s="15">
        <f t="shared" si="71"/>
        <v>0.23821099923966926</v>
      </c>
      <c r="AM177" s="15">
        <f t="shared" si="72"/>
        <v>77.23821099923967</v>
      </c>
    </row>
    <row r="178" spans="1:39" ht="12.75">
      <c r="A178" s="109"/>
      <c r="C178">
        <f t="shared" si="73"/>
        <v>135</v>
      </c>
      <c r="D178" s="4">
        <f t="shared" si="58"/>
        <v>8640</v>
      </c>
      <c r="E178" s="15">
        <f t="shared" si="74"/>
        <v>0.125</v>
      </c>
      <c r="F178" s="15">
        <f t="shared" si="59"/>
        <v>16.875</v>
      </c>
      <c r="H178" s="15">
        <f t="shared" si="75"/>
        <v>0</v>
      </c>
      <c r="I178" s="15">
        <f t="shared" si="60"/>
        <v>0</v>
      </c>
      <c r="K178" s="15">
        <f t="shared" si="61"/>
        <v>0.125</v>
      </c>
      <c r="L178" s="15">
        <f t="shared" si="62"/>
        <v>16.875</v>
      </c>
      <c r="O178">
        <f t="shared" si="63"/>
        <v>5.19</v>
      </c>
      <c r="P178" s="4">
        <f t="shared" si="76"/>
        <v>77.32213185218602</v>
      </c>
      <c r="R178" s="4">
        <f t="shared" si="77"/>
        <v>254.67117939356876</v>
      </c>
      <c r="T178" s="15">
        <f t="shared" si="78"/>
        <v>8.556434438697899</v>
      </c>
      <c r="V178" s="3">
        <f t="shared" si="64"/>
        <v>0.011867206633843157</v>
      </c>
      <c r="Y178" s="1">
        <f aca="true" t="shared" si="81" ref="Y178:Y188">(3.5155+0.059464*P178)*10^-6</f>
        <v>8.113383248458388E-06</v>
      </c>
      <c r="Z178">
        <f t="shared" si="65"/>
        <v>13.58</v>
      </c>
      <c r="AA178">
        <f t="shared" si="66"/>
        <v>1</v>
      </c>
      <c r="AB178" s="8">
        <f aca="true" t="shared" si="82" ref="AB178:AB188">4*R178/(V178*3.14159*Z178^2*AA178)</f>
        <v>148.16384527964078</v>
      </c>
      <c r="AC178" s="4">
        <f aca="true" t="shared" si="83" ref="AC178:AC188">V178*AB178*Z178/Y178/10</f>
        <v>294298.822190131</v>
      </c>
      <c r="AD178" s="5">
        <f aca="true" t="shared" si="84" ref="AD178:AD188">4*(0.0791/AC178^0.25)</f>
        <v>0.013584365051665345</v>
      </c>
      <c r="AE178" s="4">
        <f t="shared" si="67"/>
        <v>13500</v>
      </c>
      <c r="AF178" s="8">
        <f t="shared" si="68"/>
        <v>175.904249996522</v>
      </c>
      <c r="AG178" s="10">
        <f t="shared" si="69"/>
        <v>19.11486004206581</v>
      </c>
      <c r="AI178" s="15">
        <f t="shared" si="70"/>
        <v>77.32213185218602</v>
      </c>
      <c r="AJ178" s="15">
        <f t="shared" si="79"/>
        <v>77</v>
      </c>
      <c r="AK178" s="15">
        <f t="shared" si="80"/>
        <v>77.54757562313371</v>
      </c>
      <c r="AL178" s="15">
        <f t="shared" si="71"/>
        <v>0.22544377094769175</v>
      </c>
      <c r="AM178" s="15">
        <f t="shared" si="72"/>
        <v>77.22544377094769</v>
      </c>
    </row>
    <row r="179" spans="1:39" ht="12.75">
      <c r="A179" s="109"/>
      <c r="C179">
        <f t="shared" si="73"/>
        <v>135</v>
      </c>
      <c r="D179" s="4">
        <f aca="true" t="shared" si="85" ref="D179:D188">D178+C179</f>
        <v>8775</v>
      </c>
      <c r="E179" s="15">
        <f t="shared" si="74"/>
        <v>0.125</v>
      </c>
      <c r="F179" s="15">
        <f aca="true" t="shared" si="86" ref="F179:F188">E179*C179</f>
        <v>16.875</v>
      </c>
      <c r="H179" s="15">
        <f t="shared" si="75"/>
        <v>0</v>
      </c>
      <c r="I179" s="15">
        <f aca="true" t="shared" si="87" ref="I179:I188">H179*C179</f>
        <v>0</v>
      </c>
      <c r="K179" s="15">
        <f aca="true" t="shared" si="88" ref="K179:K188">H179+E179</f>
        <v>0.125</v>
      </c>
      <c r="L179" s="15">
        <f aca="true" t="shared" si="89" ref="L179:L188">K179*C179</f>
        <v>16.875</v>
      </c>
      <c r="O179">
        <f aca="true" t="shared" si="90" ref="O179:O188">O178</f>
        <v>5.19</v>
      </c>
      <c r="P179" s="4">
        <f t="shared" si="76"/>
        <v>77.33581878689961</v>
      </c>
      <c r="R179" s="4">
        <f t="shared" si="77"/>
        <v>237.55831051617298</v>
      </c>
      <c r="T179" s="15">
        <f t="shared" si="78"/>
        <v>8.556434438697899</v>
      </c>
      <c r="V179" s="3">
        <f aca="true" t="shared" si="91" ref="V179:V188">0.00096*(100/P179)*(AG178/2)</f>
        <v>0.011864014584850846</v>
      </c>
      <c r="Y179" s="1">
        <f t="shared" si="81"/>
        <v>8.114197128344199E-06</v>
      </c>
      <c r="Z179">
        <f aca="true" t="shared" si="92" ref="Z179:Z188">Z178</f>
        <v>13.58</v>
      </c>
      <c r="AA179">
        <f aca="true" t="shared" si="93" ref="AA179:AA188">AA178</f>
        <v>1</v>
      </c>
      <c r="AB179" s="8">
        <f t="shared" si="82"/>
        <v>138.2450218985538</v>
      </c>
      <c r="AC179" s="4">
        <f t="shared" si="83"/>
        <v>274495.60112194245</v>
      </c>
      <c r="AD179" s="5">
        <f t="shared" si="84"/>
        <v>0.01382301016992513</v>
      </c>
      <c r="AE179" s="4">
        <f aca="true" t="shared" si="94" ref="AE179:AE188">100*(D179-D178)</f>
        <v>13500</v>
      </c>
      <c r="AF179" s="8">
        <f aca="true" t="shared" si="95" ref="AF179:AF188">AD179*AE179/(Z179)*(V179*AB179^2/2)*0.1</f>
        <v>155.78918509672826</v>
      </c>
      <c r="AG179" s="10">
        <f aca="true" t="shared" si="96" ref="AG179:AG188">AG178-AF179/100000</f>
        <v>19.113302150214842</v>
      </c>
      <c r="AI179" s="15">
        <f aca="true" t="shared" si="97" ref="AI179:AI188">P179</f>
        <v>77.33581878689961</v>
      </c>
      <c r="AJ179" s="15">
        <f t="shared" si="79"/>
        <v>77</v>
      </c>
      <c r="AK179" s="15">
        <f t="shared" si="80"/>
        <v>77.54757562313371</v>
      </c>
      <c r="AL179" s="15">
        <f aca="true" t="shared" si="98" ref="AL179:AL188">AK179-AI179</f>
        <v>0.2117568362341018</v>
      </c>
      <c r="AM179" s="15">
        <f aca="true" t="shared" si="99" ref="AM179:AM188">AJ179+AL179</f>
        <v>77.2117568362341</v>
      </c>
    </row>
    <row r="180" spans="1:39" ht="12.75">
      <c r="A180" s="109"/>
      <c r="C180">
        <f aca="true" t="shared" si="100" ref="C180:C188">C179</f>
        <v>135</v>
      </c>
      <c r="D180" s="4">
        <f t="shared" si="85"/>
        <v>8910</v>
      </c>
      <c r="E180" s="15">
        <f aca="true" t="shared" si="101" ref="E180:E188">E179</f>
        <v>0.125</v>
      </c>
      <c r="F180" s="15">
        <f t="shared" si="86"/>
        <v>16.875</v>
      </c>
      <c r="H180" s="15">
        <f aca="true" t="shared" si="102" ref="H180:H188">H179</f>
        <v>0</v>
      </c>
      <c r="I180" s="15">
        <f t="shared" si="87"/>
        <v>0</v>
      </c>
      <c r="K180" s="15">
        <f t="shared" si="88"/>
        <v>0.125</v>
      </c>
      <c r="L180" s="15">
        <f t="shared" si="89"/>
        <v>16.875</v>
      </c>
      <c r="O180">
        <f t="shared" si="90"/>
        <v>5.19</v>
      </c>
      <c r="P180" s="4">
        <f aca="true" t="shared" si="103" ref="P180:P188">P179+L180/(R180*O180)</f>
        <v>77.35056821906085</v>
      </c>
      <c r="R180" s="4">
        <f aca="true" t="shared" si="104" ref="R180:R188">R179-2*T180</f>
        <v>220.4454416387772</v>
      </c>
      <c r="T180" s="15">
        <f aca="true" t="shared" si="105" ref="T180:T188">T179</f>
        <v>8.556434438697899</v>
      </c>
      <c r="V180" s="3">
        <f t="shared" si="91"/>
        <v>0.01186078556801391</v>
      </c>
      <c r="Y180" s="1">
        <f t="shared" si="81"/>
        <v>8.115074188578233E-06</v>
      </c>
      <c r="Z180">
        <f t="shared" si="92"/>
        <v>13.58</v>
      </c>
      <c r="AA180">
        <f t="shared" si="93"/>
        <v>1</v>
      </c>
      <c r="AB180" s="8">
        <f t="shared" si="82"/>
        <v>128.3212596542648</v>
      </c>
      <c r="AC180" s="4">
        <f t="shared" si="83"/>
        <v>254694.3693557573</v>
      </c>
      <c r="AD180" s="5">
        <f t="shared" si="84"/>
        <v>0.014084182334917405</v>
      </c>
      <c r="AE180" s="4">
        <f t="shared" si="94"/>
        <v>13500</v>
      </c>
      <c r="AF180" s="8">
        <f t="shared" si="95"/>
        <v>136.72449388516878</v>
      </c>
      <c r="AG180" s="10">
        <f t="shared" si="96"/>
        <v>19.11193490527599</v>
      </c>
      <c r="AH180" s="24"/>
      <c r="AI180" s="15">
        <f t="shared" si="97"/>
        <v>77.35056821906085</v>
      </c>
      <c r="AJ180" s="15">
        <f aca="true" t="shared" si="106" ref="AJ180:AJ188">AJ179</f>
        <v>77</v>
      </c>
      <c r="AK180" s="15">
        <f aca="true" t="shared" si="107" ref="AK180:AK188">AK179</f>
        <v>77.54757562313371</v>
      </c>
      <c r="AL180" s="15">
        <f t="shared" si="98"/>
        <v>0.19700740407286332</v>
      </c>
      <c r="AM180" s="15">
        <f t="shared" si="99"/>
        <v>77.19700740407286</v>
      </c>
    </row>
    <row r="181" spans="1:39" ht="12.75">
      <c r="A181" s="109"/>
      <c r="C181">
        <f t="shared" si="100"/>
        <v>135</v>
      </c>
      <c r="D181" s="4">
        <f t="shared" si="85"/>
        <v>9045</v>
      </c>
      <c r="E181" s="15">
        <f t="shared" si="101"/>
        <v>0.125</v>
      </c>
      <c r="F181" s="15">
        <f t="shared" si="86"/>
        <v>16.875</v>
      </c>
      <c r="H181" s="15">
        <f t="shared" si="102"/>
        <v>0</v>
      </c>
      <c r="I181" s="15">
        <f t="shared" si="87"/>
        <v>0</v>
      </c>
      <c r="K181" s="15">
        <f t="shared" si="88"/>
        <v>0.125</v>
      </c>
      <c r="L181" s="15">
        <f t="shared" si="89"/>
        <v>16.875</v>
      </c>
      <c r="O181">
        <f t="shared" si="90"/>
        <v>5.19</v>
      </c>
      <c r="P181" s="4">
        <f t="shared" si="103"/>
        <v>77.36655899241579</v>
      </c>
      <c r="R181" s="4">
        <f t="shared" si="104"/>
        <v>203.3325727613814</v>
      </c>
      <c r="T181" s="15">
        <f t="shared" si="105"/>
        <v>8.556434438697899</v>
      </c>
      <c r="V181" s="3">
        <f t="shared" si="91"/>
        <v>0.011857485810415546</v>
      </c>
      <c r="Y181" s="1">
        <f t="shared" si="81"/>
        <v>8.116025063925012E-06</v>
      </c>
      <c r="Z181">
        <f t="shared" si="92"/>
        <v>13.58</v>
      </c>
      <c r="AA181">
        <f t="shared" si="93"/>
        <v>1</v>
      </c>
      <c r="AB181" s="8">
        <f t="shared" si="82"/>
        <v>118.39279890453224</v>
      </c>
      <c r="AC181" s="4">
        <f t="shared" si="83"/>
        <v>234895.2808903091</v>
      </c>
      <c r="AD181" s="5">
        <f t="shared" si="84"/>
        <v>0.01437202294488189</v>
      </c>
      <c r="AE181" s="4">
        <f t="shared" si="94"/>
        <v>13500</v>
      </c>
      <c r="AF181" s="8">
        <f t="shared" si="95"/>
        <v>118.73126472063169</v>
      </c>
      <c r="AG181" s="10">
        <f t="shared" si="96"/>
        <v>19.110747592628783</v>
      </c>
      <c r="AI181" s="15">
        <f t="shared" si="97"/>
        <v>77.36655899241579</v>
      </c>
      <c r="AJ181" s="15">
        <f t="shared" si="106"/>
        <v>77</v>
      </c>
      <c r="AK181" s="15">
        <f t="shared" si="107"/>
        <v>77.54757562313371</v>
      </c>
      <c r="AL181" s="15">
        <f t="shared" si="98"/>
        <v>0.18101663071792018</v>
      </c>
      <c r="AM181" s="15">
        <f t="shared" si="99"/>
        <v>77.18101663071792</v>
      </c>
    </row>
    <row r="182" spans="1:39" ht="12.75">
      <c r="A182" s="109"/>
      <c r="C182">
        <f t="shared" si="100"/>
        <v>135</v>
      </c>
      <c r="D182" s="4">
        <f t="shared" si="85"/>
        <v>9180</v>
      </c>
      <c r="E182" s="15">
        <f t="shared" si="101"/>
        <v>0.125</v>
      </c>
      <c r="F182" s="15">
        <f t="shared" si="86"/>
        <v>16.875</v>
      </c>
      <c r="H182" s="15">
        <f t="shared" si="102"/>
        <v>0</v>
      </c>
      <c r="I182" s="15">
        <f t="shared" si="87"/>
        <v>0</v>
      </c>
      <c r="K182" s="15">
        <f t="shared" si="88"/>
        <v>0.125</v>
      </c>
      <c r="L182" s="15">
        <f t="shared" si="89"/>
        <v>16.875</v>
      </c>
      <c r="O182">
        <f t="shared" si="90"/>
        <v>5.19</v>
      </c>
      <c r="P182" s="4">
        <f t="shared" si="103"/>
        <v>77.38401925585134</v>
      </c>
      <c r="R182" s="4">
        <f t="shared" si="104"/>
        <v>186.21970388398563</v>
      </c>
      <c r="T182" s="15">
        <f t="shared" si="105"/>
        <v>8.556434438697899</v>
      </c>
      <c r="V182" s="3">
        <f t="shared" si="91"/>
        <v>0.011854073919491063</v>
      </c>
      <c r="Y182" s="1">
        <f t="shared" si="81"/>
        <v>8.117063321029943E-06</v>
      </c>
      <c r="Z182">
        <f t="shared" si="92"/>
        <v>13.58</v>
      </c>
      <c r="AA182">
        <f t="shared" si="93"/>
        <v>1</v>
      </c>
      <c r="AB182" s="8">
        <f t="shared" si="82"/>
        <v>108.45983670146326</v>
      </c>
      <c r="AC182" s="4">
        <f t="shared" si="83"/>
        <v>215098.5156107237</v>
      </c>
      <c r="AD182" s="5">
        <f t="shared" si="84"/>
        <v>0.01469187150961435</v>
      </c>
      <c r="AE182" s="4">
        <f t="shared" si="94"/>
        <v>13500</v>
      </c>
      <c r="AF182" s="8">
        <f t="shared" si="95"/>
        <v>101.8325567478044</v>
      </c>
      <c r="AG182" s="10">
        <f t="shared" si="96"/>
        <v>19.109729267061304</v>
      </c>
      <c r="AI182" s="15">
        <f t="shared" si="97"/>
        <v>77.38401925585134</v>
      </c>
      <c r="AJ182" s="15">
        <f t="shared" si="106"/>
        <v>77</v>
      </c>
      <c r="AK182" s="15">
        <f t="shared" si="107"/>
        <v>77.54757562313371</v>
      </c>
      <c r="AL182" s="15">
        <f t="shared" si="98"/>
        <v>0.1635563672823679</v>
      </c>
      <c r="AM182" s="15">
        <f t="shared" si="99"/>
        <v>77.16355636728237</v>
      </c>
    </row>
    <row r="183" spans="1:39" ht="12.75">
      <c r="A183" s="109"/>
      <c r="C183">
        <f t="shared" si="100"/>
        <v>135</v>
      </c>
      <c r="D183" s="4">
        <f t="shared" si="85"/>
        <v>9315</v>
      </c>
      <c r="E183" s="15">
        <f t="shared" si="101"/>
        <v>0.125</v>
      </c>
      <c r="F183" s="15">
        <f t="shared" si="86"/>
        <v>16.875</v>
      </c>
      <c r="H183" s="15">
        <f t="shared" si="102"/>
        <v>0</v>
      </c>
      <c r="I183" s="15">
        <f t="shared" si="87"/>
        <v>0</v>
      </c>
      <c r="K183" s="15">
        <f t="shared" si="88"/>
        <v>0.125</v>
      </c>
      <c r="L183" s="15">
        <f t="shared" si="89"/>
        <v>16.875</v>
      </c>
      <c r="O183">
        <f t="shared" si="90"/>
        <v>5.19</v>
      </c>
      <c r="P183" s="4">
        <f t="shared" si="103"/>
        <v>77.40324642124995</v>
      </c>
      <c r="R183" s="4">
        <f t="shared" si="104"/>
        <v>169.10683500658985</v>
      </c>
      <c r="T183" s="15">
        <f t="shared" si="105"/>
        <v>8.556434438697899</v>
      </c>
      <c r="V183" s="3">
        <f t="shared" si="91"/>
        <v>0.011850497843810336</v>
      </c>
      <c r="Y183" s="1">
        <f t="shared" si="81"/>
        <v>8.118206645193206E-06</v>
      </c>
      <c r="Z183">
        <f t="shared" si="92"/>
        <v>13.58</v>
      </c>
      <c r="AA183">
        <f t="shared" si="93"/>
        <v>1</v>
      </c>
      <c r="AB183" s="8">
        <f t="shared" si="82"/>
        <v>98.52251993397047</v>
      </c>
      <c r="AC183" s="4">
        <f t="shared" si="83"/>
        <v>195304.2864188382</v>
      </c>
      <c r="AD183" s="5">
        <f t="shared" si="84"/>
        <v>0.015050763484424174</v>
      </c>
      <c r="AE183" s="4">
        <f t="shared" si="94"/>
        <v>13500</v>
      </c>
      <c r="AF183" s="8">
        <f t="shared" si="95"/>
        <v>86.05381970318962</v>
      </c>
      <c r="AG183" s="10">
        <f t="shared" si="96"/>
        <v>19.108868728864273</v>
      </c>
      <c r="AI183" s="15">
        <f t="shared" si="97"/>
        <v>77.40324642124995</v>
      </c>
      <c r="AJ183" s="15">
        <f t="shared" si="106"/>
        <v>77</v>
      </c>
      <c r="AK183" s="15">
        <f t="shared" si="107"/>
        <v>77.54757562313371</v>
      </c>
      <c r="AL183" s="15">
        <f t="shared" si="98"/>
        <v>0.14432920188376386</v>
      </c>
      <c r="AM183" s="15">
        <f t="shared" si="99"/>
        <v>77.14432920188376</v>
      </c>
    </row>
    <row r="184" spans="1:39" ht="13.5" thickBot="1">
      <c r="A184" s="110"/>
      <c r="C184">
        <f t="shared" si="100"/>
        <v>135</v>
      </c>
      <c r="D184" s="4">
        <f t="shared" si="85"/>
        <v>9450</v>
      </c>
      <c r="E184" s="15">
        <f t="shared" si="101"/>
        <v>0.125</v>
      </c>
      <c r="F184" s="15">
        <f t="shared" si="86"/>
        <v>16.875</v>
      </c>
      <c r="H184" s="15">
        <f t="shared" si="102"/>
        <v>0</v>
      </c>
      <c r="I184" s="15">
        <f t="shared" si="87"/>
        <v>0</v>
      </c>
      <c r="K184" s="15">
        <f t="shared" si="88"/>
        <v>0.125</v>
      </c>
      <c r="L184" s="15">
        <f t="shared" si="89"/>
        <v>16.875</v>
      </c>
      <c r="O184">
        <f t="shared" si="90"/>
        <v>5.19</v>
      </c>
      <c r="P184" s="4">
        <f t="shared" si="103"/>
        <v>77.42463835653204</v>
      </c>
      <c r="R184" s="4">
        <f t="shared" si="104"/>
        <v>151.99396612919406</v>
      </c>
      <c r="T184" s="15">
        <f t="shared" si="105"/>
        <v>8.556434438697899</v>
      </c>
      <c r="V184" s="3">
        <f t="shared" si="91"/>
        <v>0.011846690129332739</v>
      </c>
      <c r="Y184" s="1">
        <f t="shared" si="81"/>
        <v>8.11947869523282E-06</v>
      </c>
      <c r="Z184">
        <f t="shared" si="92"/>
        <v>13.58</v>
      </c>
      <c r="AA184">
        <f t="shared" si="93"/>
        <v>1</v>
      </c>
      <c r="AB184" s="8">
        <f t="shared" si="82"/>
        <v>88.58093586284993</v>
      </c>
      <c r="AC184" s="4">
        <f t="shared" si="83"/>
        <v>175512.8492479656</v>
      </c>
      <c r="AD184" s="5">
        <f t="shared" si="84"/>
        <v>0.015458211523073908</v>
      </c>
      <c r="AE184" s="4">
        <f t="shared" si="94"/>
        <v>13500</v>
      </c>
      <c r="AF184" s="8">
        <f t="shared" si="95"/>
        <v>71.42344700784193</v>
      </c>
      <c r="AG184" s="10">
        <f t="shared" si="96"/>
        <v>19.108154494394196</v>
      </c>
      <c r="AI184" s="15">
        <f t="shared" si="97"/>
        <v>77.42463835653204</v>
      </c>
      <c r="AJ184" s="15">
        <f t="shared" si="106"/>
        <v>77</v>
      </c>
      <c r="AK184" s="15">
        <f t="shared" si="107"/>
        <v>77.54757562313371</v>
      </c>
      <c r="AL184" s="15">
        <f t="shared" si="98"/>
        <v>0.12293726660166726</v>
      </c>
      <c r="AM184" s="15">
        <f t="shared" si="99"/>
        <v>77.12293726660167</v>
      </c>
    </row>
    <row r="185" spans="1:39" ht="12.75">
      <c r="A185" s="41"/>
      <c r="C185">
        <f t="shared" si="100"/>
        <v>135</v>
      </c>
      <c r="D185" s="4">
        <f t="shared" si="85"/>
        <v>9585</v>
      </c>
      <c r="E185" s="15">
        <f t="shared" si="101"/>
        <v>0.125</v>
      </c>
      <c r="F185" s="15">
        <f t="shared" si="86"/>
        <v>16.875</v>
      </c>
      <c r="H185" s="15">
        <f t="shared" si="102"/>
        <v>0</v>
      </c>
      <c r="I185" s="15">
        <f t="shared" si="87"/>
        <v>0</v>
      </c>
      <c r="K185" s="15">
        <f t="shared" si="88"/>
        <v>0.125</v>
      </c>
      <c r="L185" s="15">
        <f t="shared" si="89"/>
        <v>16.875</v>
      </c>
      <c r="O185">
        <f t="shared" si="90"/>
        <v>5.19</v>
      </c>
      <c r="P185" s="4">
        <f t="shared" si="103"/>
        <v>77.44874436658796</v>
      </c>
      <c r="R185" s="4">
        <f t="shared" si="104"/>
        <v>134.88109725179828</v>
      </c>
      <c r="T185" s="15">
        <f t="shared" si="105"/>
        <v>8.556434438697899</v>
      </c>
      <c r="V185" s="3">
        <f t="shared" si="91"/>
        <v>0.01184256017618028</v>
      </c>
      <c r="Y185" s="1">
        <f t="shared" si="81"/>
        <v>8.120912135014785E-06</v>
      </c>
      <c r="Z185">
        <f t="shared" si="92"/>
        <v>13.58</v>
      </c>
      <c r="AA185">
        <f t="shared" si="93"/>
        <v>1</v>
      </c>
      <c r="AB185" s="8">
        <f t="shared" si="82"/>
        <v>78.63509859090685</v>
      </c>
      <c r="AC185" s="4">
        <f t="shared" si="83"/>
        <v>155724.51758517913</v>
      </c>
      <c r="AD185" s="5">
        <f t="shared" si="84"/>
        <v>0.01592748578983367</v>
      </c>
      <c r="AE185" s="4">
        <f t="shared" si="94"/>
        <v>13500</v>
      </c>
      <c r="AF185" s="8">
        <f t="shared" si="95"/>
        <v>57.973524038215345</v>
      </c>
      <c r="AG185" s="10">
        <f t="shared" si="96"/>
        <v>19.107574759153813</v>
      </c>
      <c r="AI185" s="15">
        <f t="shared" si="97"/>
        <v>77.44874436658796</v>
      </c>
      <c r="AJ185" s="15">
        <f t="shared" si="106"/>
        <v>77</v>
      </c>
      <c r="AK185" s="15">
        <f t="shared" si="107"/>
        <v>77.54757562313371</v>
      </c>
      <c r="AL185" s="15">
        <f t="shared" si="98"/>
        <v>0.09883125654575053</v>
      </c>
      <c r="AM185" s="15">
        <f t="shared" si="99"/>
        <v>77.09883125654575</v>
      </c>
    </row>
    <row r="186" spans="1:39" ht="12.75">
      <c r="A186" s="42"/>
      <c r="C186">
        <f t="shared" si="100"/>
        <v>135</v>
      </c>
      <c r="D186" s="4">
        <f t="shared" si="85"/>
        <v>9720</v>
      </c>
      <c r="E186" s="15">
        <f t="shared" si="101"/>
        <v>0.125</v>
      </c>
      <c r="F186" s="15">
        <f t="shared" si="86"/>
        <v>16.875</v>
      </c>
      <c r="H186" s="15">
        <f t="shared" si="102"/>
        <v>0</v>
      </c>
      <c r="I186" s="15">
        <f t="shared" si="87"/>
        <v>0</v>
      </c>
      <c r="K186" s="15">
        <f t="shared" si="88"/>
        <v>0.125</v>
      </c>
      <c r="L186" s="15">
        <f t="shared" si="89"/>
        <v>16.875</v>
      </c>
      <c r="O186">
        <f t="shared" si="90"/>
        <v>5.19</v>
      </c>
      <c r="P186" s="4">
        <f t="shared" si="103"/>
        <v>77.47635321433566</v>
      </c>
      <c r="R186" s="4">
        <f t="shared" si="104"/>
        <v>117.76822837440248</v>
      </c>
      <c r="T186" s="15">
        <f t="shared" si="105"/>
        <v>8.556434438697899</v>
      </c>
      <c r="V186" s="3">
        <f t="shared" si="91"/>
        <v>0.011837980885626891</v>
      </c>
      <c r="Y186" s="1">
        <f t="shared" si="81"/>
        <v>8.122553867537256E-06</v>
      </c>
      <c r="Z186">
        <f t="shared" si="92"/>
        <v>13.58</v>
      </c>
      <c r="AA186">
        <f t="shared" si="93"/>
        <v>1</v>
      </c>
      <c r="AB186" s="8">
        <f t="shared" si="82"/>
        <v>68.68492890532558</v>
      </c>
      <c r="AC186" s="4">
        <f t="shared" si="83"/>
        <v>135939.68435938808</v>
      </c>
      <c r="AD186" s="5">
        <f t="shared" si="84"/>
        <v>0.016477825923264407</v>
      </c>
      <c r="AE186" s="4">
        <f t="shared" si="94"/>
        <v>13500</v>
      </c>
      <c r="AF186" s="8">
        <f t="shared" si="95"/>
        <v>45.74087349698157</v>
      </c>
      <c r="AG186" s="10">
        <f t="shared" si="96"/>
        <v>19.107117350418843</v>
      </c>
      <c r="AI186" s="15">
        <f t="shared" si="97"/>
        <v>77.47635321433566</v>
      </c>
      <c r="AJ186" s="15">
        <f t="shared" si="106"/>
        <v>77</v>
      </c>
      <c r="AK186" s="15">
        <f t="shared" si="107"/>
        <v>77.54757562313371</v>
      </c>
      <c r="AL186" s="15">
        <f t="shared" si="98"/>
        <v>0.0712224087980502</v>
      </c>
      <c r="AM186" s="15">
        <f t="shared" si="99"/>
        <v>77.07122240879805</v>
      </c>
    </row>
    <row r="187" spans="1:39" ht="12.75">
      <c r="A187" s="42"/>
      <c r="C187">
        <f t="shared" si="100"/>
        <v>135</v>
      </c>
      <c r="D187" s="4">
        <f t="shared" si="85"/>
        <v>9855</v>
      </c>
      <c r="E187" s="15">
        <f t="shared" si="101"/>
        <v>0.125</v>
      </c>
      <c r="F187" s="15">
        <f t="shared" si="86"/>
        <v>16.875</v>
      </c>
      <c r="H187" s="15">
        <f t="shared" si="102"/>
        <v>0</v>
      </c>
      <c r="I187" s="15">
        <f t="shared" si="87"/>
        <v>0</v>
      </c>
      <c r="K187" s="15">
        <f t="shared" si="88"/>
        <v>0.125</v>
      </c>
      <c r="L187" s="15">
        <f t="shared" si="89"/>
        <v>16.875</v>
      </c>
      <c r="O187">
        <f t="shared" si="90"/>
        <v>5.19</v>
      </c>
      <c r="P187" s="4">
        <f t="shared" si="103"/>
        <v>77.50865596605155</v>
      </c>
      <c r="R187" s="4">
        <f t="shared" si="104"/>
        <v>100.65535949700669</v>
      </c>
      <c r="T187" s="15">
        <f t="shared" si="105"/>
        <v>8.556434438697899</v>
      </c>
      <c r="V187" s="3">
        <f t="shared" si="91"/>
        <v>0.011832763984732342</v>
      </c>
      <c r="Y187" s="1">
        <f t="shared" si="81"/>
        <v>8.12447471836529E-06</v>
      </c>
      <c r="Z187">
        <f t="shared" si="92"/>
        <v>13.58</v>
      </c>
      <c r="AA187">
        <f t="shared" si="93"/>
        <v>1</v>
      </c>
      <c r="AB187" s="8">
        <f t="shared" si="82"/>
        <v>58.730222701793245</v>
      </c>
      <c r="AC187" s="4">
        <f t="shared" si="83"/>
        <v>116158.85654492685</v>
      </c>
      <c r="AD187" s="5">
        <f t="shared" si="84"/>
        <v>0.017138523044187736</v>
      </c>
      <c r="AE187" s="4">
        <f t="shared" si="94"/>
        <v>13500</v>
      </c>
      <c r="AF187" s="8">
        <f t="shared" si="95"/>
        <v>34.7685751462736</v>
      </c>
      <c r="AG187" s="10">
        <f t="shared" si="96"/>
        <v>19.10676966466738</v>
      </c>
      <c r="AI187" s="15">
        <f t="shared" si="97"/>
        <v>77.50865596605155</v>
      </c>
      <c r="AJ187" s="15">
        <f t="shared" si="106"/>
        <v>77</v>
      </c>
      <c r="AK187" s="15">
        <f t="shared" si="107"/>
        <v>77.54757562313371</v>
      </c>
      <c r="AL187" s="15">
        <f t="shared" si="98"/>
        <v>0.03891965708216105</v>
      </c>
      <c r="AM187" s="15">
        <f t="shared" si="99"/>
        <v>77.03891965708216</v>
      </c>
    </row>
    <row r="188" spans="1:39" ht="13.5" thickBot="1">
      <c r="A188" s="69"/>
      <c r="C188">
        <f t="shared" si="100"/>
        <v>135</v>
      </c>
      <c r="D188" s="4">
        <f t="shared" si="85"/>
        <v>9990</v>
      </c>
      <c r="E188" s="15">
        <f t="shared" si="101"/>
        <v>0.125</v>
      </c>
      <c r="F188" s="15">
        <f t="shared" si="86"/>
        <v>16.875</v>
      </c>
      <c r="H188" s="15">
        <f t="shared" si="102"/>
        <v>0</v>
      </c>
      <c r="I188" s="15">
        <f t="shared" si="87"/>
        <v>0</v>
      </c>
      <c r="K188" s="15">
        <f t="shared" si="88"/>
        <v>0.125</v>
      </c>
      <c r="L188" s="15">
        <f t="shared" si="89"/>
        <v>16.875</v>
      </c>
      <c r="O188">
        <f t="shared" si="90"/>
        <v>5.19</v>
      </c>
      <c r="P188" s="4">
        <f t="shared" si="103"/>
        <v>77.54757562313371</v>
      </c>
      <c r="R188" s="4">
        <f t="shared" si="104"/>
        <v>83.54249061961089</v>
      </c>
      <c r="T188" s="15">
        <f t="shared" si="105"/>
        <v>8.556434438697899</v>
      </c>
      <c r="V188" s="3">
        <f t="shared" si="91"/>
        <v>0.011826610136222503</v>
      </c>
      <c r="Y188" s="1">
        <f t="shared" si="81"/>
        <v>8.126789036854022E-06</v>
      </c>
      <c r="Z188">
        <f t="shared" si="92"/>
        <v>13.58</v>
      </c>
      <c r="AA188">
        <f t="shared" si="93"/>
        <v>1</v>
      </c>
      <c r="AB188" s="8">
        <f t="shared" si="82"/>
        <v>48.77059832417224</v>
      </c>
      <c r="AC188" s="4">
        <f t="shared" si="83"/>
        <v>96382.71328684987</v>
      </c>
      <c r="AD188" s="5">
        <f t="shared" si="84"/>
        <v>0.017957120121809795</v>
      </c>
      <c r="AE188" s="4">
        <f t="shared" si="94"/>
        <v>13500</v>
      </c>
      <c r="AF188" s="8">
        <f t="shared" si="95"/>
        <v>25.108290136720672</v>
      </c>
      <c r="AG188" s="10">
        <f t="shared" si="96"/>
        <v>19.10651858176601</v>
      </c>
      <c r="AI188" s="15">
        <f t="shared" si="97"/>
        <v>77.54757562313371</v>
      </c>
      <c r="AJ188" s="15">
        <f t="shared" si="106"/>
        <v>77</v>
      </c>
      <c r="AK188" s="15">
        <f t="shared" si="107"/>
        <v>77.54757562313371</v>
      </c>
      <c r="AL188" s="15">
        <f t="shared" si="98"/>
        <v>0</v>
      </c>
      <c r="AM188" s="15">
        <f t="shared" si="99"/>
        <v>77</v>
      </c>
    </row>
    <row r="189" ht="13.5" thickBot="1">
      <c r="A189" s="20" t="s">
        <v>46</v>
      </c>
    </row>
    <row r="190" spans="26:33" ht="12.75">
      <c r="Z190" t="s">
        <v>40</v>
      </c>
      <c r="AF190" s="3">
        <f>0.1*(V174*AB174^2)/2</f>
        <v>20.94624659660218</v>
      </c>
      <c r="AG190" s="10">
        <f>AG188-AF190/100000</f>
        <v>19.106309119300043</v>
      </c>
    </row>
    <row r="191" spans="9:12" ht="12.75">
      <c r="I191" t="s">
        <v>39</v>
      </c>
      <c r="K191" s="15">
        <f>SUM(L115:L188)</f>
        <v>1248.75</v>
      </c>
      <c r="L191" t="s">
        <v>35</v>
      </c>
    </row>
    <row r="192" spans="31:32" ht="12.75">
      <c r="AE192" s="6" t="s">
        <v>66</v>
      </c>
      <c r="AF192" s="11">
        <f>SUM(AF115:AF190)</f>
        <v>89369.08806999582</v>
      </c>
    </row>
    <row r="193" spans="31:32" ht="12.75">
      <c r="AE193" s="25" t="s">
        <v>67</v>
      </c>
      <c r="AF193" s="26">
        <f>AF192/100000</f>
        <v>0.8936908806999582</v>
      </c>
    </row>
  </sheetData>
  <mergeCells count="14">
    <mergeCell ref="A15:A24"/>
    <mergeCell ref="A25:A34"/>
    <mergeCell ref="A35:A44"/>
    <mergeCell ref="A45:A54"/>
    <mergeCell ref="A75:A84"/>
    <mergeCell ref="A55:A64"/>
    <mergeCell ref="A65:A74"/>
    <mergeCell ref="A115:A124"/>
    <mergeCell ref="A165:A174"/>
    <mergeCell ref="A175:A184"/>
    <mergeCell ref="A125:A134"/>
    <mergeCell ref="A135:A144"/>
    <mergeCell ref="A145:A154"/>
    <mergeCell ref="A155:A16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79"/>
  <sheetViews>
    <sheetView zoomScale="75" zoomScaleNormal="75" workbookViewId="0" topLeftCell="H95">
      <selection activeCell="I104" sqref="I104"/>
    </sheetView>
  </sheetViews>
  <sheetFormatPr defaultColWidth="9.00390625" defaultRowHeight="12.75"/>
  <cols>
    <col min="1" max="1" width="18.00390625" style="0" bestFit="1" customWidth="1"/>
    <col min="2" max="3" width="9.625" style="0" customWidth="1"/>
    <col min="4" max="4" width="6.00390625" style="0" customWidth="1"/>
    <col min="5" max="5" width="9.75390625" style="0" customWidth="1"/>
    <col min="6" max="6" width="11.25390625" style="0" customWidth="1"/>
    <col min="7" max="7" width="12.375" style="0" customWidth="1"/>
    <col min="10" max="12" width="11.125" style="0" customWidth="1"/>
    <col min="13" max="13" width="10.00390625" style="0" customWidth="1"/>
    <col min="14" max="14" width="17.625" style="0" bestFit="1" customWidth="1"/>
    <col min="15" max="15" width="9.625" style="0" bestFit="1" customWidth="1"/>
    <col min="16" max="16" width="14.625" style="0" customWidth="1"/>
    <col min="17" max="17" width="11.375" style="0" customWidth="1"/>
    <col min="18" max="18" width="9.875" style="0" customWidth="1"/>
    <col min="19" max="19" width="9.375" style="0" customWidth="1"/>
    <col min="21" max="21" width="6.125" style="0" customWidth="1"/>
    <col min="22" max="24" width="11.375" style="0" customWidth="1"/>
    <col min="25" max="27" width="13.125" style="0" customWidth="1"/>
    <col min="28" max="28" width="12.875" style="0" customWidth="1"/>
    <col min="29" max="29" width="10.875" style="0" customWidth="1"/>
    <col min="30" max="30" width="12.25390625" style="0" customWidth="1"/>
    <col min="31" max="31" width="13.875" style="0" customWidth="1"/>
    <col min="32" max="32" width="9.75390625" style="0" customWidth="1"/>
    <col min="33" max="33" width="9.625" style="0" customWidth="1"/>
    <col min="34" max="34" width="13.25390625" style="0" bestFit="1" customWidth="1"/>
    <col min="35" max="35" width="6.375" style="0" customWidth="1"/>
    <col min="36" max="36" width="11.375" style="5" customWidth="1"/>
    <col min="37" max="16384" width="11.375" style="0" customWidth="1"/>
  </cols>
  <sheetData>
    <row r="3" spans="4:10" ht="12.75">
      <c r="D3" t="s">
        <v>199</v>
      </c>
      <c r="I3" s="40">
        <f>'Supply helium'!P88</f>
        <v>76.60445426989031</v>
      </c>
      <c r="J3" t="s">
        <v>89</v>
      </c>
    </row>
    <row r="4" spans="4:10" ht="12.75">
      <c r="D4" t="s">
        <v>149</v>
      </c>
      <c r="I4" s="40" t="e">
        <f>'Supply helium'!AG90</f>
        <v>#NUM!</v>
      </c>
      <c r="J4" s="3" t="s">
        <v>70</v>
      </c>
    </row>
    <row r="5" spans="4:32" ht="18">
      <c r="D5" t="s">
        <v>90</v>
      </c>
      <c r="P5" s="14" t="s">
        <v>92</v>
      </c>
      <c r="AF5" t="s">
        <v>0</v>
      </c>
    </row>
    <row r="6" spans="16:32" ht="18">
      <c r="P6" s="14" t="s">
        <v>93</v>
      </c>
      <c r="AF6" s="13">
        <v>36527</v>
      </c>
    </row>
    <row r="7" ht="12.75">
      <c r="I7" s="40"/>
    </row>
    <row r="8" spans="6:24" ht="12.75">
      <c r="F8" t="s">
        <v>59</v>
      </c>
      <c r="H8" t="s">
        <v>60</v>
      </c>
      <c r="I8" s="70">
        <f>'Cryo Power'!D22</f>
        <v>4.2</v>
      </c>
      <c r="J8" t="s">
        <v>28</v>
      </c>
      <c r="L8" s="3"/>
      <c r="O8" s="22"/>
      <c r="P8" s="22"/>
      <c r="Q8" s="22"/>
      <c r="R8" s="22" t="s">
        <v>94</v>
      </c>
      <c r="S8" s="22"/>
      <c r="T8" s="22"/>
      <c r="U8" s="22"/>
      <c r="V8" s="22"/>
      <c r="W8" s="22"/>
      <c r="X8" s="22"/>
    </row>
    <row r="9" spans="2:32" ht="12.75">
      <c r="B9" t="s">
        <v>64</v>
      </c>
      <c r="F9" t="s">
        <v>84</v>
      </c>
      <c r="H9" t="s">
        <v>85</v>
      </c>
      <c r="I9" s="17">
        <v>2.29</v>
      </c>
      <c r="J9" t="s">
        <v>86</v>
      </c>
      <c r="AF9" t="s">
        <v>27</v>
      </c>
    </row>
    <row r="10" spans="2:35" ht="12.75">
      <c r="B10" t="s">
        <v>65</v>
      </c>
      <c r="F10" t="s">
        <v>61</v>
      </c>
      <c r="H10" t="s">
        <v>62</v>
      </c>
      <c r="I10" s="40">
        <f>'Cryo Power'!D29</f>
        <v>135</v>
      </c>
      <c r="J10" t="s">
        <v>63</v>
      </c>
      <c r="O10" t="s">
        <v>30</v>
      </c>
      <c r="R10" t="s">
        <v>97</v>
      </c>
      <c r="X10" s="16" t="s">
        <v>96</v>
      </c>
      <c r="Y10" s="16"/>
      <c r="Z10" s="16"/>
      <c r="AA10" s="16" t="s">
        <v>96</v>
      </c>
      <c r="AC10" s="16" t="s">
        <v>54</v>
      </c>
      <c r="AD10" s="19" t="s">
        <v>79</v>
      </c>
      <c r="AF10" t="s">
        <v>58</v>
      </c>
      <c r="AH10" s="5"/>
      <c r="AI10" s="5"/>
    </row>
    <row r="11" spans="2:36" s="2" customFormat="1" ht="12.75">
      <c r="B11" t="s">
        <v>29</v>
      </c>
      <c r="C11"/>
      <c r="D11" s="2" t="s">
        <v>24</v>
      </c>
      <c r="H11"/>
      <c r="I11"/>
      <c r="J11"/>
      <c r="K11"/>
      <c r="M11" t="s">
        <v>30</v>
      </c>
      <c r="N11"/>
      <c r="O11" t="s">
        <v>38</v>
      </c>
      <c r="P11"/>
      <c r="Q11" s="2" t="s">
        <v>95</v>
      </c>
      <c r="R11" t="s">
        <v>98</v>
      </c>
      <c r="S11"/>
      <c r="T11" s="2" t="s">
        <v>4</v>
      </c>
      <c r="U11"/>
      <c r="V11"/>
      <c r="W11"/>
      <c r="X11" s="16" t="s">
        <v>73</v>
      </c>
      <c r="Y11"/>
      <c r="Z11"/>
      <c r="AA11" s="2" t="s">
        <v>100</v>
      </c>
      <c r="AB11" s="2" t="s">
        <v>7</v>
      </c>
      <c r="AC11" s="16" t="s">
        <v>55</v>
      </c>
      <c r="AD11" s="19" t="s">
        <v>80</v>
      </c>
      <c r="AE11" s="2" t="s">
        <v>8</v>
      </c>
      <c r="AF11" s="2" t="s">
        <v>9</v>
      </c>
      <c r="AG11" s="2" t="s">
        <v>10</v>
      </c>
      <c r="AH11" s="7" t="s">
        <v>11</v>
      </c>
      <c r="AI11" s="7" t="s">
        <v>71</v>
      </c>
      <c r="AJ11" s="7"/>
    </row>
    <row r="12" spans="2:36" s="2" customFormat="1" ht="12.75">
      <c r="B12" s="2" t="s">
        <v>51</v>
      </c>
      <c r="C12"/>
      <c r="D12" s="2" t="s">
        <v>25</v>
      </c>
      <c r="E12"/>
      <c r="F12" s="2" t="s">
        <v>48</v>
      </c>
      <c r="G12" s="16" t="s">
        <v>48</v>
      </c>
      <c r="I12" s="2" t="s">
        <v>34</v>
      </c>
      <c r="J12" s="2" t="s">
        <v>36</v>
      </c>
      <c r="K12"/>
      <c r="L12" t="s">
        <v>30</v>
      </c>
      <c r="M12" t="s">
        <v>31</v>
      </c>
      <c r="N12"/>
      <c r="O12" t="s">
        <v>50</v>
      </c>
      <c r="P12"/>
      <c r="Q12" s="2" t="s">
        <v>123</v>
      </c>
      <c r="R12" t="s">
        <v>99</v>
      </c>
      <c r="S12"/>
      <c r="T12" s="2" t="s">
        <v>15</v>
      </c>
      <c r="U12"/>
      <c r="V12"/>
      <c r="W12"/>
      <c r="X12" s="2" t="s">
        <v>16</v>
      </c>
      <c r="Y12"/>
      <c r="Z12"/>
      <c r="AA12" s="2" t="s">
        <v>17</v>
      </c>
      <c r="AB12" s="2" t="s">
        <v>18</v>
      </c>
      <c r="AC12" s="16" t="s">
        <v>56</v>
      </c>
      <c r="AD12" s="7" t="s">
        <v>19</v>
      </c>
      <c r="AG12" s="2" t="s">
        <v>18</v>
      </c>
      <c r="AH12" s="7" t="s">
        <v>20</v>
      </c>
      <c r="AI12" s="7" t="s">
        <v>72</v>
      </c>
      <c r="AJ12" s="7"/>
    </row>
    <row r="13" spans="3:36" s="2" customFormat="1" ht="13.5" thickBot="1">
      <c r="C13"/>
      <c r="D13" t="s">
        <v>26</v>
      </c>
      <c r="E13" s="2" t="s">
        <v>23</v>
      </c>
      <c r="F13" s="2" t="s">
        <v>33</v>
      </c>
      <c r="G13" s="16" t="s">
        <v>32</v>
      </c>
      <c r="I13" s="2" t="s">
        <v>33</v>
      </c>
      <c r="J13" s="2" t="s">
        <v>37</v>
      </c>
      <c r="K13"/>
      <c r="L13" t="s">
        <v>33</v>
      </c>
      <c r="M13" s="2" t="s">
        <v>37</v>
      </c>
      <c r="N13"/>
      <c r="O13" s="2" t="s">
        <v>51</v>
      </c>
      <c r="P13"/>
      <c r="R13"/>
      <c r="S13"/>
      <c r="U13"/>
      <c r="V13"/>
      <c r="W13"/>
      <c r="Y13"/>
      <c r="Z13"/>
      <c r="AD13" s="7"/>
      <c r="AH13" s="7"/>
      <c r="AI13" s="7"/>
      <c r="AJ13" s="7"/>
    </row>
    <row r="14" spans="1:35" ht="13.5" thickBot="1">
      <c r="A14" s="20" t="s">
        <v>47</v>
      </c>
      <c r="B14" s="15"/>
      <c r="D14">
        <v>0</v>
      </c>
      <c r="E14" s="4">
        <v>0</v>
      </c>
      <c r="F14" s="15">
        <v>0</v>
      </c>
      <c r="G14" s="15">
        <v>0</v>
      </c>
      <c r="I14" s="15"/>
      <c r="L14">
        <v>0</v>
      </c>
      <c r="M14" s="15">
        <v>0</v>
      </c>
      <c r="O14" s="15"/>
      <c r="Q14">
        <v>5.19</v>
      </c>
      <c r="R14" s="4">
        <f>I3</f>
        <v>76.60445426989031</v>
      </c>
      <c r="T14" s="4">
        <f>2*'Trace Tube Helium'!T14</f>
        <v>12.386457473162675</v>
      </c>
      <c r="X14" s="3" t="e">
        <f>0.00096*(100/R14)*(AI14/2)</f>
        <v>#NUM!</v>
      </c>
      <c r="AA14" s="1">
        <f aca="true" t="shared" si="0" ref="AA14:AA45">(3.5155+0.059464*R14)*10^-6</f>
        <v>8.070707268704756E-06</v>
      </c>
      <c r="AB14" s="27">
        <f>I9</f>
        <v>2.29</v>
      </c>
      <c r="AC14" s="9">
        <v>1</v>
      </c>
      <c r="AD14" s="8" t="e">
        <f aca="true" t="shared" si="1" ref="AD14:AD45">4*T14/(X14*3.14159*AB14^2*AC14)</f>
        <v>#NUM!</v>
      </c>
      <c r="AE14" s="4" t="e">
        <f aca="true" t="shared" si="2" ref="AE14:AE45">X14*AD14*AB14/AA14/10</f>
        <v>#NUM!</v>
      </c>
      <c r="AF14" s="5" t="e">
        <f aca="true" t="shared" si="3" ref="AF14:AF45">4*(0.0791/AE14^0.25)</f>
        <v>#NUM!</v>
      </c>
      <c r="AG14" s="4">
        <v>0</v>
      </c>
      <c r="AH14" s="10" t="e">
        <f>AF14*AG14/(AB14)*(V14*AD14^2/2)*0.1</f>
        <v>#NUM!</v>
      </c>
      <c r="AI14" s="10" t="e">
        <f>I4</f>
        <v>#NUM!</v>
      </c>
    </row>
    <row r="15" spans="1:35" ht="12.75">
      <c r="A15" s="108" t="s">
        <v>42</v>
      </c>
      <c r="B15" s="113">
        <f>O15</f>
        <v>141.75</v>
      </c>
      <c r="D15">
        <f>I10/60</f>
        <v>2.25</v>
      </c>
      <c r="E15" s="4">
        <f aca="true" t="shared" si="4" ref="E15:E46">E14+D15</f>
        <v>2.25</v>
      </c>
      <c r="F15" s="15">
        <f>I8</f>
        <v>4.2</v>
      </c>
      <c r="G15" s="15">
        <f aca="true" t="shared" si="5" ref="G15:G46">F15*D15</f>
        <v>9.450000000000001</v>
      </c>
      <c r="I15" s="15">
        <v>0</v>
      </c>
      <c r="J15" s="15">
        <f aca="true" t="shared" si="6" ref="J15:J46">I15*D15</f>
        <v>0</v>
      </c>
      <c r="K15" s="15"/>
      <c r="L15" s="15">
        <f aca="true" t="shared" si="7" ref="L15:L46">I15+F15</f>
        <v>4.2</v>
      </c>
      <c r="M15" s="15">
        <f aca="true" t="shared" si="8" ref="M15:M46">L15*D15</f>
        <v>9.450000000000001</v>
      </c>
      <c r="O15" s="101">
        <f>SUM(M15:M29)</f>
        <v>141.75</v>
      </c>
      <c r="Q15">
        <f aca="true" t="shared" si="9" ref="Q15:Q46">Q14</f>
        <v>5.19</v>
      </c>
      <c r="R15" s="4">
        <f aca="true" t="shared" si="10" ref="R15:R46">R14+M15/(T15*Q15)</f>
        <v>76.75145426989032</v>
      </c>
      <c r="T15" s="4">
        <f aca="true" t="shared" si="11" ref="T15:T46">T14</f>
        <v>12.386457473162675</v>
      </c>
      <c r="X15" s="3" t="e">
        <f aca="true" t="shared" si="12" ref="X15:X46">0.00096*(100/R15)*(AI14/2)</f>
        <v>#NUM!</v>
      </c>
      <c r="AA15" s="1">
        <f t="shared" si="0"/>
        <v>8.079448476704758E-06</v>
      </c>
      <c r="AB15">
        <f aca="true" t="shared" si="13" ref="AB15:AB46">AB14</f>
        <v>2.29</v>
      </c>
      <c r="AC15">
        <f aca="true" t="shared" si="14" ref="AC15:AC46">AC14</f>
        <v>1</v>
      </c>
      <c r="AD15" s="8" t="e">
        <f t="shared" si="1"/>
        <v>#NUM!</v>
      </c>
      <c r="AE15" s="4" t="e">
        <f t="shared" si="2"/>
        <v>#NUM!</v>
      </c>
      <c r="AF15" s="5" t="e">
        <f t="shared" si="3"/>
        <v>#NUM!</v>
      </c>
      <c r="AG15" s="4">
        <f aca="true" t="shared" si="15" ref="AG15:AG46">100*(E15-E14)</f>
        <v>225</v>
      </c>
      <c r="AH15" s="8" t="e">
        <f aca="true" t="shared" si="16" ref="AH15:AH46">AF15*AG15/(AB15)*(X15*AD15^2/2)*0.1</f>
        <v>#NUM!</v>
      </c>
      <c r="AI15" s="10" t="e">
        <f aca="true" t="shared" si="17" ref="AI15:AI46">AI14-AH15/100000</f>
        <v>#NUM!</v>
      </c>
    </row>
    <row r="16" spans="1:35" ht="12.75">
      <c r="A16" s="111"/>
      <c r="B16" s="114"/>
      <c r="D16">
        <f aca="true" t="shared" si="18" ref="D16:D47">D15</f>
        <v>2.25</v>
      </c>
      <c r="E16" s="4">
        <f t="shared" si="4"/>
        <v>4.5</v>
      </c>
      <c r="F16" s="15">
        <f aca="true" t="shared" si="19" ref="F16:F47">F15</f>
        <v>4.2</v>
      </c>
      <c r="G16" s="15">
        <f t="shared" si="5"/>
        <v>9.450000000000001</v>
      </c>
      <c r="I16" s="15">
        <f aca="true" t="shared" si="20" ref="I16:I47">I15</f>
        <v>0</v>
      </c>
      <c r="J16" s="15">
        <f t="shared" si="6"/>
        <v>0</v>
      </c>
      <c r="K16" s="15"/>
      <c r="L16" s="15">
        <f t="shared" si="7"/>
        <v>4.2</v>
      </c>
      <c r="M16" s="15">
        <f t="shared" si="8"/>
        <v>9.450000000000001</v>
      </c>
      <c r="O16" s="121"/>
      <c r="Q16">
        <f t="shared" si="9"/>
        <v>5.19</v>
      </c>
      <c r="R16" s="4">
        <f t="shared" si="10"/>
        <v>76.89845426989032</v>
      </c>
      <c r="T16" s="4">
        <f t="shared" si="11"/>
        <v>12.386457473162675</v>
      </c>
      <c r="X16" s="3" t="e">
        <f t="shared" si="12"/>
        <v>#NUM!</v>
      </c>
      <c r="AA16" s="1">
        <f t="shared" si="0"/>
        <v>8.088189684704758E-06</v>
      </c>
      <c r="AB16">
        <f t="shared" si="13"/>
        <v>2.29</v>
      </c>
      <c r="AC16">
        <f t="shared" si="14"/>
        <v>1</v>
      </c>
      <c r="AD16" s="8" t="e">
        <f t="shared" si="1"/>
        <v>#NUM!</v>
      </c>
      <c r="AE16" s="4" t="e">
        <f t="shared" si="2"/>
        <v>#NUM!</v>
      </c>
      <c r="AF16" s="5" t="e">
        <f t="shared" si="3"/>
        <v>#NUM!</v>
      </c>
      <c r="AG16" s="4">
        <f t="shared" si="15"/>
        <v>225</v>
      </c>
      <c r="AH16" s="8" t="e">
        <f t="shared" si="16"/>
        <v>#NUM!</v>
      </c>
      <c r="AI16" s="10" t="e">
        <f t="shared" si="17"/>
        <v>#NUM!</v>
      </c>
    </row>
    <row r="17" spans="1:35" ht="12.75">
      <c r="A17" s="111"/>
      <c r="B17" s="114"/>
      <c r="D17">
        <f t="shared" si="18"/>
        <v>2.25</v>
      </c>
      <c r="E17" s="4">
        <f t="shared" si="4"/>
        <v>6.75</v>
      </c>
      <c r="F17" s="15">
        <f t="shared" si="19"/>
        <v>4.2</v>
      </c>
      <c r="G17" s="15">
        <f t="shared" si="5"/>
        <v>9.450000000000001</v>
      </c>
      <c r="I17" s="15">
        <f t="shared" si="20"/>
        <v>0</v>
      </c>
      <c r="J17" s="15">
        <f t="shared" si="6"/>
        <v>0</v>
      </c>
      <c r="K17" s="15"/>
      <c r="L17" s="15">
        <f t="shared" si="7"/>
        <v>4.2</v>
      </c>
      <c r="M17" s="15">
        <f t="shared" si="8"/>
        <v>9.450000000000001</v>
      </c>
      <c r="O17" s="121"/>
      <c r="Q17">
        <f t="shared" si="9"/>
        <v>5.19</v>
      </c>
      <c r="R17" s="4">
        <f t="shared" si="10"/>
        <v>77.04545426989033</v>
      </c>
      <c r="T17" s="4">
        <f t="shared" si="11"/>
        <v>12.386457473162675</v>
      </c>
      <c r="X17" s="3" t="e">
        <f t="shared" si="12"/>
        <v>#NUM!</v>
      </c>
      <c r="AA17" s="1">
        <f t="shared" si="0"/>
        <v>8.096930892704758E-06</v>
      </c>
      <c r="AB17">
        <f t="shared" si="13"/>
        <v>2.29</v>
      </c>
      <c r="AC17">
        <f t="shared" si="14"/>
        <v>1</v>
      </c>
      <c r="AD17" s="8" t="e">
        <f t="shared" si="1"/>
        <v>#NUM!</v>
      </c>
      <c r="AE17" s="4" t="e">
        <f t="shared" si="2"/>
        <v>#NUM!</v>
      </c>
      <c r="AF17" s="5" t="e">
        <f t="shared" si="3"/>
        <v>#NUM!</v>
      </c>
      <c r="AG17" s="4">
        <f t="shared" si="15"/>
        <v>225</v>
      </c>
      <c r="AH17" s="8" t="e">
        <f t="shared" si="16"/>
        <v>#NUM!</v>
      </c>
      <c r="AI17" s="10" t="e">
        <f t="shared" si="17"/>
        <v>#NUM!</v>
      </c>
    </row>
    <row r="18" spans="1:35" ht="12.75">
      <c r="A18" s="111"/>
      <c r="B18" s="114"/>
      <c r="D18">
        <f t="shared" si="18"/>
        <v>2.25</v>
      </c>
      <c r="E18" s="4">
        <f t="shared" si="4"/>
        <v>9</v>
      </c>
      <c r="F18" s="15">
        <f t="shared" si="19"/>
        <v>4.2</v>
      </c>
      <c r="G18" s="15">
        <f t="shared" si="5"/>
        <v>9.450000000000001</v>
      </c>
      <c r="I18" s="15">
        <f t="shared" si="20"/>
        <v>0</v>
      </c>
      <c r="J18" s="15">
        <f t="shared" si="6"/>
        <v>0</v>
      </c>
      <c r="K18" s="15"/>
      <c r="L18" s="15">
        <f t="shared" si="7"/>
        <v>4.2</v>
      </c>
      <c r="M18" s="15">
        <f t="shared" si="8"/>
        <v>9.450000000000001</v>
      </c>
      <c r="O18" s="121"/>
      <c r="Q18">
        <f t="shared" si="9"/>
        <v>5.19</v>
      </c>
      <c r="R18" s="4">
        <f t="shared" si="10"/>
        <v>77.19245426989033</v>
      </c>
      <c r="T18" s="4">
        <f t="shared" si="11"/>
        <v>12.386457473162675</v>
      </c>
      <c r="X18" s="3" t="e">
        <f t="shared" si="12"/>
        <v>#NUM!</v>
      </c>
      <c r="AA18" s="1">
        <f t="shared" si="0"/>
        <v>8.105672100704758E-06</v>
      </c>
      <c r="AB18">
        <f t="shared" si="13"/>
        <v>2.29</v>
      </c>
      <c r="AC18">
        <f t="shared" si="14"/>
        <v>1</v>
      </c>
      <c r="AD18" s="8" t="e">
        <f t="shared" si="1"/>
        <v>#NUM!</v>
      </c>
      <c r="AE18" s="4" t="e">
        <f t="shared" si="2"/>
        <v>#NUM!</v>
      </c>
      <c r="AF18" s="5" t="e">
        <f t="shared" si="3"/>
        <v>#NUM!</v>
      </c>
      <c r="AG18" s="4">
        <f t="shared" si="15"/>
        <v>225</v>
      </c>
      <c r="AH18" s="8" t="e">
        <f t="shared" si="16"/>
        <v>#NUM!</v>
      </c>
      <c r="AI18" s="10" t="e">
        <f t="shared" si="17"/>
        <v>#NUM!</v>
      </c>
    </row>
    <row r="19" spans="1:35" ht="12.75">
      <c r="A19" s="111"/>
      <c r="B19" s="114"/>
      <c r="D19">
        <f t="shared" si="18"/>
        <v>2.25</v>
      </c>
      <c r="E19" s="4">
        <f t="shared" si="4"/>
        <v>11.25</v>
      </c>
      <c r="F19" s="15">
        <f t="shared" si="19"/>
        <v>4.2</v>
      </c>
      <c r="G19" s="15">
        <f t="shared" si="5"/>
        <v>9.450000000000001</v>
      </c>
      <c r="I19" s="15">
        <f t="shared" si="20"/>
        <v>0</v>
      </c>
      <c r="J19" s="15">
        <f t="shared" si="6"/>
        <v>0</v>
      </c>
      <c r="K19" s="15"/>
      <c r="L19" s="15">
        <f t="shared" si="7"/>
        <v>4.2</v>
      </c>
      <c r="M19" s="15">
        <f t="shared" si="8"/>
        <v>9.450000000000001</v>
      </c>
      <c r="O19" s="121"/>
      <c r="Q19">
        <f t="shared" si="9"/>
        <v>5.19</v>
      </c>
      <c r="R19" s="4">
        <f t="shared" si="10"/>
        <v>77.33945426989034</v>
      </c>
      <c r="T19" s="4">
        <f t="shared" si="11"/>
        <v>12.386457473162675</v>
      </c>
      <c r="X19" s="3" t="e">
        <f t="shared" si="12"/>
        <v>#NUM!</v>
      </c>
      <c r="AA19" s="1">
        <f t="shared" si="0"/>
        <v>8.114413308704758E-06</v>
      </c>
      <c r="AB19">
        <f t="shared" si="13"/>
        <v>2.29</v>
      </c>
      <c r="AC19">
        <f t="shared" si="14"/>
        <v>1</v>
      </c>
      <c r="AD19" s="8" t="e">
        <f t="shared" si="1"/>
        <v>#NUM!</v>
      </c>
      <c r="AE19" s="4" t="e">
        <f t="shared" si="2"/>
        <v>#NUM!</v>
      </c>
      <c r="AF19" s="5" t="e">
        <f t="shared" si="3"/>
        <v>#NUM!</v>
      </c>
      <c r="AG19" s="4">
        <f t="shared" si="15"/>
        <v>225</v>
      </c>
      <c r="AH19" s="8" t="e">
        <f t="shared" si="16"/>
        <v>#NUM!</v>
      </c>
      <c r="AI19" s="10" t="e">
        <f t="shared" si="17"/>
        <v>#NUM!</v>
      </c>
    </row>
    <row r="20" spans="1:35" ht="12.75">
      <c r="A20" s="111"/>
      <c r="B20" s="114"/>
      <c r="D20">
        <f t="shared" si="18"/>
        <v>2.25</v>
      </c>
      <c r="E20" s="4">
        <f t="shared" si="4"/>
        <v>13.5</v>
      </c>
      <c r="F20" s="15">
        <f t="shared" si="19"/>
        <v>4.2</v>
      </c>
      <c r="G20" s="15">
        <f t="shared" si="5"/>
        <v>9.450000000000001</v>
      </c>
      <c r="I20" s="15">
        <f t="shared" si="20"/>
        <v>0</v>
      </c>
      <c r="J20" s="15">
        <f t="shared" si="6"/>
        <v>0</v>
      </c>
      <c r="K20" s="15"/>
      <c r="L20" s="15">
        <f t="shared" si="7"/>
        <v>4.2</v>
      </c>
      <c r="M20" s="15">
        <f t="shared" si="8"/>
        <v>9.450000000000001</v>
      </c>
      <c r="O20" s="121"/>
      <c r="Q20">
        <f t="shared" si="9"/>
        <v>5.19</v>
      </c>
      <c r="R20" s="4">
        <f t="shared" si="10"/>
        <v>77.48645426989034</v>
      </c>
      <c r="T20" s="4">
        <f t="shared" si="11"/>
        <v>12.386457473162675</v>
      </c>
      <c r="X20" s="3" t="e">
        <f t="shared" si="12"/>
        <v>#NUM!</v>
      </c>
      <c r="AA20" s="1">
        <f t="shared" si="0"/>
        <v>8.12315451670476E-06</v>
      </c>
      <c r="AB20">
        <f t="shared" si="13"/>
        <v>2.29</v>
      </c>
      <c r="AC20">
        <f t="shared" si="14"/>
        <v>1</v>
      </c>
      <c r="AD20" s="8" t="e">
        <f t="shared" si="1"/>
        <v>#NUM!</v>
      </c>
      <c r="AE20" s="4" t="e">
        <f t="shared" si="2"/>
        <v>#NUM!</v>
      </c>
      <c r="AF20" s="5" t="e">
        <f t="shared" si="3"/>
        <v>#NUM!</v>
      </c>
      <c r="AG20" s="4">
        <f t="shared" si="15"/>
        <v>225</v>
      </c>
      <c r="AH20" s="8" t="e">
        <f t="shared" si="16"/>
        <v>#NUM!</v>
      </c>
      <c r="AI20" s="10" t="e">
        <f t="shared" si="17"/>
        <v>#NUM!</v>
      </c>
    </row>
    <row r="21" spans="1:35" ht="12.75">
      <c r="A21" s="111"/>
      <c r="B21" s="114"/>
      <c r="D21">
        <f t="shared" si="18"/>
        <v>2.25</v>
      </c>
      <c r="E21" s="4">
        <f t="shared" si="4"/>
        <v>15.75</v>
      </c>
      <c r="F21" s="15">
        <f t="shared" si="19"/>
        <v>4.2</v>
      </c>
      <c r="G21" s="15">
        <f t="shared" si="5"/>
        <v>9.450000000000001</v>
      </c>
      <c r="I21" s="15">
        <f t="shared" si="20"/>
        <v>0</v>
      </c>
      <c r="J21" s="15">
        <f t="shared" si="6"/>
        <v>0</v>
      </c>
      <c r="K21" s="15"/>
      <c r="L21" s="15">
        <f t="shared" si="7"/>
        <v>4.2</v>
      </c>
      <c r="M21" s="15">
        <f t="shared" si="8"/>
        <v>9.450000000000001</v>
      </c>
      <c r="O21" s="121"/>
      <c r="Q21">
        <f t="shared" si="9"/>
        <v>5.19</v>
      </c>
      <c r="R21" s="4">
        <f t="shared" si="10"/>
        <v>77.63345426989035</v>
      </c>
      <c r="T21" s="4">
        <f t="shared" si="11"/>
        <v>12.386457473162675</v>
      </c>
      <c r="X21" s="3" t="e">
        <f t="shared" si="12"/>
        <v>#NUM!</v>
      </c>
      <c r="AA21" s="1">
        <f t="shared" si="0"/>
        <v>8.13189572470476E-06</v>
      </c>
      <c r="AB21">
        <f t="shared" si="13"/>
        <v>2.29</v>
      </c>
      <c r="AC21">
        <f t="shared" si="14"/>
        <v>1</v>
      </c>
      <c r="AD21" s="8" t="e">
        <f t="shared" si="1"/>
        <v>#NUM!</v>
      </c>
      <c r="AE21" s="4" t="e">
        <f t="shared" si="2"/>
        <v>#NUM!</v>
      </c>
      <c r="AF21" s="5" t="e">
        <f t="shared" si="3"/>
        <v>#NUM!</v>
      </c>
      <c r="AG21" s="4">
        <f t="shared" si="15"/>
        <v>225</v>
      </c>
      <c r="AH21" s="8" t="e">
        <f t="shared" si="16"/>
        <v>#NUM!</v>
      </c>
      <c r="AI21" s="10" t="e">
        <f t="shared" si="17"/>
        <v>#NUM!</v>
      </c>
    </row>
    <row r="22" spans="1:35" ht="12.75">
      <c r="A22" s="111"/>
      <c r="B22" s="114"/>
      <c r="D22">
        <f t="shared" si="18"/>
        <v>2.25</v>
      </c>
      <c r="E22" s="4">
        <f t="shared" si="4"/>
        <v>18</v>
      </c>
      <c r="F22" s="15">
        <f t="shared" si="19"/>
        <v>4.2</v>
      </c>
      <c r="G22" s="15">
        <f t="shared" si="5"/>
        <v>9.450000000000001</v>
      </c>
      <c r="I22" s="15">
        <f t="shared" si="20"/>
        <v>0</v>
      </c>
      <c r="J22" s="15">
        <f t="shared" si="6"/>
        <v>0</v>
      </c>
      <c r="K22" s="15"/>
      <c r="L22" s="15">
        <f t="shared" si="7"/>
        <v>4.2</v>
      </c>
      <c r="M22" s="15">
        <f t="shared" si="8"/>
        <v>9.450000000000001</v>
      </c>
      <c r="O22" s="121"/>
      <c r="Q22">
        <f t="shared" si="9"/>
        <v>5.19</v>
      </c>
      <c r="R22" s="4">
        <f t="shared" si="10"/>
        <v>77.78045426989036</v>
      </c>
      <c r="T22" s="4">
        <f t="shared" si="11"/>
        <v>12.386457473162675</v>
      </c>
      <c r="X22" s="3" t="e">
        <f t="shared" si="12"/>
        <v>#NUM!</v>
      </c>
      <c r="AA22" s="1">
        <f t="shared" si="0"/>
        <v>8.14063693270476E-06</v>
      </c>
      <c r="AB22">
        <f t="shared" si="13"/>
        <v>2.29</v>
      </c>
      <c r="AC22">
        <f t="shared" si="14"/>
        <v>1</v>
      </c>
      <c r="AD22" s="8" t="e">
        <f t="shared" si="1"/>
        <v>#NUM!</v>
      </c>
      <c r="AE22" s="4" t="e">
        <f t="shared" si="2"/>
        <v>#NUM!</v>
      </c>
      <c r="AF22" s="5" t="e">
        <f t="shared" si="3"/>
        <v>#NUM!</v>
      </c>
      <c r="AG22" s="4">
        <f t="shared" si="15"/>
        <v>225</v>
      </c>
      <c r="AH22" s="8" t="e">
        <f t="shared" si="16"/>
        <v>#NUM!</v>
      </c>
      <c r="AI22" s="10" t="e">
        <f t="shared" si="17"/>
        <v>#NUM!</v>
      </c>
    </row>
    <row r="23" spans="1:35" ht="12.75">
      <c r="A23" s="111"/>
      <c r="B23" s="114"/>
      <c r="D23">
        <f t="shared" si="18"/>
        <v>2.25</v>
      </c>
      <c r="E23" s="4">
        <f t="shared" si="4"/>
        <v>20.25</v>
      </c>
      <c r="F23" s="15">
        <f t="shared" si="19"/>
        <v>4.2</v>
      </c>
      <c r="G23" s="15">
        <f t="shared" si="5"/>
        <v>9.450000000000001</v>
      </c>
      <c r="I23" s="15">
        <f t="shared" si="20"/>
        <v>0</v>
      </c>
      <c r="J23" s="15">
        <f t="shared" si="6"/>
        <v>0</v>
      </c>
      <c r="K23" s="15"/>
      <c r="L23" s="15">
        <f t="shared" si="7"/>
        <v>4.2</v>
      </c>
      <c r="M23" s="15">
        <f t="shared" si="8"/>
        <v>9.450000000000001</v>
      </c>
      <c r="O23" s="121"/>
      <c r="Q23">
        <f t="shared" si="9"/>
        <v>5.19</v>
      </c>
      <c r="R23" s="4">
        <f t="shared" si="10"/>
        <v>77.92745426989036</v>
      </c>
      <c r="T23" s="4">
        <f t="shared" si="11"/>
        <v>12.386457473162675</v>
      </c>
      <c r="X23" s="3" t="e">
        <f t="shared" si="12"/>
        <v>#NUM!</v>
      </c>
      <c r="AA23" s="1">
        <f t="shared" si="0"/>
        <v>8.14937814070476E-06</v>
      </c>
      <c r="AB23">
        <f t="shared" si="13"/>
        <v>2.29</v>
      </c>
      <c r="AC23">
        <f t="shared" si="14"/>
        <v>1</v>
      </c>
      <c r="AD23" s="8" t="e">
        <f t="shared" si="1"/>
        <v>#NUM!</v>
      </c>
      <c r="AE23" s="4" t="e">
        <f t="shared" si="2"/>
        <v>#NUM!</v>
      </c>
      <c r="AF23" s="5" t="e">
        <f t="shared" si="3"/>
        <v>#NUM!</v>
      </c>
      <c r="AG23" s="4">
        <f t="shared" si="15"/>
        <v>225</v>
      </c>
      <c r="AH23" s="8" t="e">
        <f t="shared" si="16"/>
        <v>#NUM!</v>
      </c>
      <c r="AI23" s="10" t="e">
        <f t="shared" si="17"/>
        <v>#NUM!</v>
      </c>
    </row>
    <row r="24" spans="1:35" ht="12.75">
      <c r="A24" s="111"/>
      <c r="B24" s="114"/>
      <c r="D24">
        <f t="shared" si="18"/>
        <v>2.25</v>
      </c>
      <c r="E24" s="4">
        <f t="shared" si="4"/>
        <v>22.5</v>
      </c>
      <c r="F24" s="15">
        <f t="shared" si="19"/>
        <v>4.2</v>
      </c>
      <c r="G24" s="15">
        <f t="shared" si="5"/>
        <v>9.450000000000001</v>
      </c>
      <c r="I24" s="15">
        <f t="shared" si="20"/>
        <v>0</v>
      </c>
      <c r="J24" s="15">
        <f t="shared" si="6"/>
        <v>0</v>
      </c>
      <c r="K24" s="15"/>
      <c r="L24" s="15">
        <f t="shared" si="7"/>
        <v>4.2</v>
      </c>
      <c r="M24" s="15">
        <f t="shared" si="8"/>
        <v>9.450000000000001</v>
      </c>
      <c r="O24" s="121"/>
      <c r="Q24">
        <f t="shared" si="9"/>
        <v>5.19</v>
      </c>
      <c r="R24" s="4">
        <f t="shared" si="10"/>
        <v>78.07445426989037</v>
      </c>
      <c r="T24" s="4">
        <f t="shared" si="11"/>
        <v>12.386457473162675</v>
      </c>
      <c r="X24" s="3" t="e">
        <f t="shared" si="12"/>
        <v>#NUM!</v>
      </c>
      <c r="AA24" s="1">
        <f t="shared" si="0"/>
        <v>8.15811934870476E-06</v>
      </c>
      <c r="AB24">
        <f t="shared" si="13"/>
        <v>2.29</v>
      </c>
      <c r="AC24">
        <f t="shared" si="14"/>
        <v>1</v>
      </c>
      <c r="AD24" s="8" t="e">
        <f t="shared" si="1"/>
        <v>#NUM!</v>
      </c>
      <c r="AE24" s="4" t="e">
        <f t="shared" si="2"/>
        <v>#NUM!</v>
      </c>
      <c r="AF24" s="5" t="e">
        <f t="shared" si="3"/>
        <v>#NUM!</v>
      </c>
      <c r="AG24" s="4">
        <f t="shared" si="15"/>
        <v>225</v>
      </c>
      <c r="AH24" s="8" t="e">
        <f t="shared" si="16"/>
        <v>#NUM!</v>
      </c>
      <c r="AI24" s="10" t="e">
        <f t="shared" si="17"/>
        <v>#NUM!</v>
      </c>
    </row>
    <row r="25" spans="1:35" ht="12.75">
      <c r="A25" s="111"/>
      <c r="B25" s="114"/>
      <c r="D25">
        <f t="shared" si="18"/>
        <v>2.25</v>
      </c>
      <c r="E25" s="4">
        <f t="shared" si="4"/>
        <v>24.75</v>
      </c>
      <c r="F25" s="15">
        <f t="shared" si="19"/>
        <v>4.2</v>
      </c>
      <c r="G25" s="15">
        <f t="shared" si="5"/>
        <v>9.450000000000001</v>
      </c>
      <c r="I25" s="15">
        <f t="shared" si="20"/>
        <v>0</v>
      </c>
      <c r="J25" s="15">
        <f t="shared" si="6"/>
        <v>0</v>
      </c>
      <c r="K25" s="15"/>
      <c r="L25" s="15">
        <f t="shared" si="7"/>
        <v>4.2</v>
      </c>
      <c r="M25" s="15">
        <f t="shared" si="8"/>
        <v>9.450000000000001</v>
      </c>
      <c r="O25" s="121"/>
      <c r="Q25">
        <f t="shared" si="9"/>
        <v>5.19</v>
      </c>
      <c r="R25" s="4">
        <f t="shared" si="10"/>
        <v>78.22145426989037</v>
      </c>
      <c r="T25" s="4">
        <f t="shared" si="11"/>
        <v>12.386457473162675</v>
      </c>
      <c r="X25" s="3" t="e">
        <f t="shared" si="12"/>
        <v>#NUM!</v>
      </c>
      <c r="AA25" s="1">
        <f t="shared" si="0"/>
        <v>8.166860556704761E-06</v>
      </c>
      <c r="AB25">
        <f t="shared" si="13"/>
        <v>2.29</v>
      </c>
      <c r="AC25">
        <f t="shared" si="14"/>
        <v>1</v>
      </c>
      <c r="AD25" s="8" t="e">
        <f t="shared" si="1"/>
        <v>#NUM!</v>
      </c>
      <c r="AE25" s="4" t="e">
        <f t="shared" si="2"/>
        <v>#NUM!</v>
      </c>
      <c r="AF25" s="5" t="e">
        <f t="shared" si="3"/>
        <v>#NUM!</v>
      </c>
      <c r="AG25" s="4">
        <f t="shared" si="15"/>
        <v>225</v>
      </c>
      <c r="AH25" s="8" t="e">
        <f t="shared" si="16"/>
        <v>#NUM!</v>
      </c>
      <c r="AI25" s="10" t="e">
        <f t="shared" si="17"/>
        <v>#NUM!</v>
      </c>
    </row>
    <row r="26" spans="1:35" ht="12.75">
      <c r="A26" s="111"/>
      <c r="B26" s="114"/>
      <c r="D26">
        <f t="shared" si="18"/>
        <v>2.25</v>
      </c>
      <c r="E26" s="4">
        <f t="shared" si="4"/>
        <v>27</v>
      </c>
      <c r="F26" s="15">
        <f t="shared" si="19"/>
        <v>4.2</v>
      </c>
      <c r="G26" s="15">
        <f t="shared" si="5"/>
        <v>9.450000000000001</v>
      </c>
      <c r="I26" s="15">
        <f t="shared" si="20"/>
        <v>0</v>
      </c>
      <c r="J26" s="15">
        <f t="shared" si="6"/>
        <v>0</v>
      </c>
      <c r="K26" s="15"/>
      <c r="L26" s="15">
        <f t="shared" si="7"/>
        <v>4.2</v>
      </c>
      <c r="M26" s="15">
        <f t="shared" si="8"/>
        <v>9.450000000000001</v>
      </c>
      <c r="O26" s="121"/>
      <c r="Q26">
        <f t="shared" si="9"/>
        <v>5.19</v>
      </c>
      <c r="R26" s="4">
        <f t="shared" si="10"/>
        <v>78.36845426989038</v>
      </c>
      <c r="T26" s="4">
        <f t="shared" si="11"/>
        <v>12.386457473162675</v>
      </c>
      <c r="X26" s="3" t="e">
        <f t="shared" si="12"/>
        <v>#NUM!</v>
      </c>
      <c r="AA26" s="1">
        <f t="shared" si="0"/>
        <v>8.175601764704761E-06</v>
      </c>
      <c r="AB26">
        <f t="shared" si="13"/>
        <v>2.29</v>
      </c>
      <c r="AC26">
        <f t="shared" si="14"/>
        <v>1</v>
      </c>
      <c r="AD26" s="8" t="e">
        <f t="shared" si="1"/>
        <v>#NUM!</v>
      </c>
      <c r="AE26" s="4" t="e">
        <f t="shared" si="2"/>
        <v>#NUM!</v>
      </c>
      <c r="AF26" s="5" t="e">
        <f t="shared" si="3"/>
        <v>#NUM!</v>
      </c>
      <c r="AG26" s="4">
        <f t="shared" si="15"/>
        <v>225</v>
      </c>
      <c r="AH26" s="8" t="e">
        <f t="shared" si="16"/>
        <v>#NUM!</v>
      </c>
      <c r="AI26" s="10" t="e">
        <f t="shared" si="17"/>
        <v>#NUM!</v>
      </c>
    </row>
    <row r="27" spans="1:35" ht="12.75">
      <c r="A27" s="111"/>
      <c r="B27" s="114"/>
      <c r="D27">
        <f t="shared" si="18"/>
        <v>2.25</v>
      </c>
      <c r="E27" s="4">
        <f t="shared" si="4"/>
        <v>29.25</v>
      </c>
      <c r="F27" s="15">
        <f t="shared" si="19"/>
        <v>4.2</v>
      </c>
      <c r="G27" s="15">
        <f t="shared" si="5"/>
        <v>9.450000000000001</v>
      </c>
      <c r="I27" s="15">
        <f t="shared" si="20"/>
        <v>0</v>
      </c>
      <c r="J27" s="15">
        <f t="shared" si="6"/>
        <v>0</v>
      </c>
      <c r="K27" s="15"/>
      <c r="L27" s="15">
        <f t="shared" si="7"/>
        <v>4.2</v>
      </c>
      <c r="M27" s="15">
        <f t="shared" si="8"/>
        <v>9.450000000000001</v>
      </c>
      <c r="O27" s="121"/>
      <c r="Q27">
        <f t="shared" si="9"/>
        <v>5.19</v>
      </c>
      <c r="R27" s="4">
        <f t="shared" si="10"/>
        <v>78.51545426989038</v>
      </c>
      <c r="T27" s="4">
        <f t="shared" si="11"/>
        <v>12.386457473162675</v>
      </c>
      <c r="X27" s="3" t="e">
        <f t="shared" si="12"/>
        <v>#NUM!</v>
      </c>
      <c r="AA27" s="1">
        <f t="shared" si="0"/>
        <v>8.184342972704761E-06</v>
      </c>
      <c r="AB27">
        <f t="shared" si="13"/>
        <v>2.29</v>
      </c>
      <c r="AC27">
        <f t="shared" si="14"/>
        <v>1</v>
      </c>
      <c r="AD27" s="8" t="e">
        <f t="shared" si="1"/>
        <v>#NUM!</v>
      </c>
      <c r="AE27" s="4" t="e">
        <f t="shared" si="2"/>
        <v>#NUM!</v>
      </c>
      <c r="AF27" s="5" t="e">
        <f t="shared" si="3"/>
        <v>#NUM!</v>
      </c>
      <c r="AG27" s="4">
        <f t="shared" si="15"/>
        <v>225</v>
      </c>
      <c r="AH27" s="8" t="e">
        <f t="shared" si="16"/>
        <v>#NUM!</v>
      </c>
      <c r="AI27" s="10" t="e">
        <f t="shared" si="17"/>
        <v>#NUM!</v>
      </c>
    </row>
    <row r="28" spans="1:35" ht="12.75">
      <c r="A28" s="111"/>
      <c r="B28" s="114"/>
      <c r="D28">
        <f t="shared" si="18"/>
        <v>2.25</v>
      </c>
      <c r="E28" s="4">
        <f t="shared" si="4"/>
        <v>31.5</v>
      </c>
      <c r="F28" s="15">
        <f t="shared" si="19"/>
        <v>4.2</v>
      </c>
      <c r="G28" s="15">
        <f t="shared" si="5"/>
        <v>9.450000000000001</v>
      </c>
      <c r="I28" s="15">
        <f t="shared" si="20"/>
        <v>0</v>
      </c>
      <c r="J28" s="15">
        <f t="shared" si="6"/>
        <v>0</v>
      </c>
      <c r="K28" s="15"/>
      <c r="L28" s="15">
        <f t="shared" si="7"/>
        <v>4.2</v>
      </c>
      <c r="M28" s="15">
        <f t="shared" si="8"/>
        <v>9.450000000000001</v>
      </c>
      <c r="O28" s="121"/>
      <c r="Q28">
        <f t="shared" si="9"/>
        <v>5.19</v>
      </c>
      <c r="R28" s="4">
        <f t="shared" si="10"/>
        <v>78.66245426989039</v>
      </c>
      <c r="T28" s="4">
        <f t="shared" si="11"/>
        <v>12.386457473162675</v>
      </c>
      <c r="X28" s="3" t="e">
        <f t="shared" si="12"/>
        <v>#NUM!</v>
      </c>
      <c r="AA28" s="1">
        <f t="shared" si="0"/>
        <v>8.193084180704761E-06</v>
      </c>
      <c r="AB28">
        <f t="shared" si="13"/>
        <v>2.29</v>
      </c>
      <c r="AC28">
        <f t="shared" si="14"/>
        <v>1</v>
      </c>
      <c r="AD28" s="8" t="e">
        <f t="shared" si="1"/>
        <v>#NUM!</v>
      </c>
      <c r="AE28" s="4" t="e">
        <f t="shared" si="2"/>
        <v>#NUM!</v>
      </c>
      <c r="AF28" s="5" t="e">
        <f t="shared" si="3"/>
        <v>#NUM!</v>
      </c>
      <c r="AG28" s="4">
        <f t="shared" si="15"/>
        <v>225</v>
      </c>
      <c r="AH28" s="8" t="e">
        <f t="shared" si="16"/>
        <v>#NUM!</v>
      </c>
      <c r="AI28" s="10" t="e">
        <f t="shared" si="17"/>
        <v>#NUM!</v>
      </c>
    </row>
    <row r="29" spans="1:35" ht="13.5" thickBot="1">
      <c r="A29" s="112"/>
      <c r="B29" s="115"/>
      <c r="D29">
        <f t="shared" si="18"/>
        <v>2.25</v>
      </c>
      <c r="E29" s="4">
        <f t="shared" si="4"/>
        <v>33.75</v>
      </c>
      <c r="F29" s="15">
        <f t="shared" si="19"/>
        <v>4.2</v>
      </c>
      <c r="G29" s="15">
        <f t="shared" si="5"/>
        <v>9.450000000000001</v>
      </c>
      <c r="I29" s="15">
        <f t="shared" si="20"/>
        <v>0</v>
      </c>
      <c r="J29" s="15">
        <f t="shared" si="6"/>
        <v>0</v>
      </c>
      <c r="K29" s="15"/>
      <c r="L29" s="15">
        <f t="shared" si="7"/>
        <v>4.2</v>
      </c>
      <c r="M29" s="15">
        <f t="shared" si="8"/>
        <v>9.450000000000001</v>
      </c>
      <c r="O29" s="122"/>
      <c r="Q29">
        <f t="shared" si="9"/>
        <v>5.19</v>
      </c>
      <c r="R29" s="4">
        <f t="shared" si="10"/>
        <v>78.8094542698904</v>
      </c>
      <c r="T29" s="4">
        <f t="shared" si="11"/>
        <v>12.386457473162675</v>
      </c>
      <c r="X29" s="3" t="e">
        <f t="shared" si="12"/>
        <v>#NUM!</v>
      </c>
      <c r="AA29" s="1">
        <f t="shared" si="0"/>
        <v>8.201825388704761E-06</v>
      </c>
      <c r="AB29">
        <f t="shared" si="13"/>
        <v>2.29</v>
      </c>
      <c r="AC29">
        <f t="shared" si="14"/>
        <v>1</v>
      </c>
      <c r="AD29" s="8" t="e">
        <f t="shared" si="1"/>
        <v>#NUM!</v>
      </c>
      <c r="AE29" s="4" t="e">
        <f t="shared" si="2"/>
        <v>#NUM!</v>
      </c>
      <c r="AF29" s="5" t="e">
        <f t="shared" si="3"/>
        <v>#NUM!</v>
      </c>
      <c r="AG29" s="4">
        <f t="shared" si="15"/>
        <v>225</v>
      </c>
      <c r="AH29" s="8" t="e">
        <f t="shared" si="16"/>
        <v>#NUM!</v>
      </c>
      <c r="AI29" s="10" t="e">
        <f t="shared" si="17"/>
        <v>#NUM!</v>
      </c>
    </row>
    <row r="30" spans="1:35" ht="12.75">
      <c r="A30" s="108" t="s">
        <v>43</v>
      </c>
      <c r="B30" s="113">
        <f>O30</f>
        <v>141.75</v>
      </c>
      <c r="D30">
        <f t="shared" si="18"/>
        <v>2.25</v>
      </c>
      <c r="E30" s="4">
        <f t="shared" si="4"/>
        <v>36</v>
      </c>
      <c r="F30" s="15">
        <f t="shared" si="19"/>
        <v>4.2</v>
      </c>
      <c r="G30" s="15">
        <f t="shared" si="5"/>
        <v>9.450000000000001</v>
      </c>
      <c r="I30" s="15">
        <f t="shared" si="20"/>
        <v>0</v>
      </c>
      <c r="J30" s="15">
        <f t="shared" si="6"/>
        <v>0</v>
      </c>
      <c r="K30" s="15"/>
      <c r="L30" s="15">
        <f t="shared" si="7"/>
        <v>4.2</v>
      </c>
      <c r="M30" s="15">
        <f t="shared" si="8"/>
        <v>9.450000000000001</v>
      </c>
      <c r="O30" s="116">
        <f>SUM(M30:M44)</f>
        <v>141.75</v>
      </c>
      <c r="Q30">
        <f t="shared" si="9"/>
        <v>5.19</v>
      </c>
      <c r="R30" s="4">
        <f t="shared" si="10"/>
        <v>78.9564542698904</v>
      </c>
      <c r="T30" s="4">
        <f t="shared" si="11"/>
        <v>12.386457473162675</v>
      </c>
      <c r="X30" s="3" t="e">
        <f t="shared" si="12"/>
        <v>#NUM!</v>
      </c>
      <c r="AA30" s="1">
        <f t="shared" si="0"/>
        <v>8.210566596704761E-06</v>
      </c>
      <c r="AB30">
        <f t="shared" si="13"/>
        <v>2.29</v>
      </c>
      <c r="AC30">
        <f t="shared" si="14"/>
        <v>1</v>
      </c>
      <c r="AD30" s="8" t="e">
        <f t="shared" si="1"/>
        <v>#NUM!</v>
      </c>
      <c r="AE30" s="4" t="e">
        <f t="shared" si="2"/>
        <v>#NUM!</v>
      </c>
      <c r="AF30" s="5" t="e">
        <f t="shared" si="3"/>
        <v>#NUM!</v>
      </c>
      <c r="AG30" s="4">
        <f t="shared" si="15"/>
        <v>225</v>
      </c>
      <c r="AH30" s="8" t="e">
        <f t="shared" si="16"/>
        <v>#NUM!</v>
      </c>
      <c r="AI30" s="10" t="e">
        <f t="shared" si="17"/>
        <v>#NUM!</v>
      </c>
    </row>
    <row r="31" spans="1:35" ht="12.75">
      <c r="A31" s="111"/>
      <c r="B31" s="114"/>
      <c r="D31">
        <f t="shared" si="18"/>
        <v>2.25</v>
      </c>
      <c r="E31" s="4">
        <f t="shared" si="4"/>
        <v>38.25</v>
      </c>
      <c r="F31" s="15">
        <f t="shared" si="19"/>
        <v>4.2</v>
      </c>
      <c r="G31" s="15">
        <f t="shared" si="5"/>
        <v>9.450000000000001</v>
      </c>
      <c r="I31" s="15">
        <f t="shared" si="20"/>
        <v>0</v>
      </c>
      <c r="J31" s="15">
        <f t="shared" si="6"/>
        <v>0</v>
      </c>
      <c r="K31" s="15"/>
      <c r="L31" s="15">
        <f t="shared" si="7"/>
        <v>4.2</v>
      </c>
      <c r="M31" s="15">
        <f t="shared" si="8"/>
        <v>9.450000000000001</v>
      </c>
      <c r="O31" s="117"/>
      <c r="Q31">
        <f t="shared" si="9"/>
        <v>5.19</v>
      </c>
      <c r="R31" s="4">
        <f t="shared" si="10"/>
        <v>79.1034542698904</v>
      </c>
      <c r="T31" s="4">
        <f t="shared" si="11"/>
        <v>12.386457473162675</v>
      </c>
      <c r="X31" s="3" t="e">
        <f t="shared" si="12"/>
        <v>#NUM!</v>
      </c>
      <c r="AA31" s="1">
        <f t="shared" si="0"/>
        <v>8.219307804704763E-06</v>
      </c>
      <c r="AB31">
        <f t="shared" si="13"/>
        <v>2.29</v>
      </c>
      <c r="AC31">
        <f t="shared" si="14"/>
        <v>1</v>
      </c>
      <c r="AD31" s="8" t="e">
        <f t="shared" si="1"/>
        <v>#NUM!</v>
      </c>
      <c r="AE31" s="4" t="e">
        <f t="shared" si="2"/>
        <v>#NUM!</v>
      </c>
      <c r="AF31" s="5" t="e">
        <f t="shared" si="3"/>
        <v>#NUM!</v>
      </c>
      <c r="AG31" s="4">
        <f t="shared" si="15"/>
        <v>225</v>
      </c>
      <c r="AH31" s="8" t="e">
        <f t="shared" si="16"/>
        <v>#NUM!</v>
      </c>
      <c r="AI31" s="10" t="e">
        <f t="shared" si="17"/>
        <v>#NUM!</v>
      </c>
    </row>
    <row r="32" spans="1:35" ht="12.75">
      <c r="A32" s="111"/>
      <c r="B32" s="114"/>
      <c r="D32">
        <f t="shared" si="18"/>
        <v>2.25</v>
      </c>
      <c r="E32" s="4">
        <f t="shared" si="4"/>
        <v>40.5</v>
      </c>
      <c r="F32" s="15">
        <f t="shared" si="19"/>
        <v>4.2</v>
      </c>
      <c r="G32" s="15">
        <f t="shared" si="5"/>
        <v>9.450000000000001</v>
      </c>
      <c r="I32" s="15">
        <f t="shared" si="20"/>
        <v>0</v>
      </c>
      <c r="J32" s="15">
        <f t="shared" si="6"/>
        <v>0</v>
      </c>
      <c r="K32" s="15"/>
      <c r="L32" s="15">
        <f t="shared" si="7"/>
        <v>4.2</v>
      </c>
      <c r="M32" s="15">
        <f t="shared" si="8"/>
        <v>9.450000000000001</v>
      </c>
      <c r="O32" s="117"/>
      <c r="Q32">
        <f t="shared" si="9"/>
        <v>5.19</v>
      </c>
      <c r="R32" s="4">
        <f t="shared" si="10"/>
        <v>79.25045426989041</v>
      </c>
      <c r="T32" s="4">
        <f t="shared" si="11"/>
        <v>12.386457473162675</v>
      </c>
      <c r="X32" s="3" t="e">
        <f t="shared" si="12"/>
        <v>#NUM!</v>
      </c>
      <c r="AA32" s="1">
        <f t="shared" si="0"/>
        <v>8.228049012704763E-06</v>
      </c>
      <c r="AB32">
        <f t="shared" si="13"/>
        <v>2.29</v>
      </c>
      <c r="AC32">
        <f t="shared" si="14"/>
        <v>1</v>
      </c>
      <c r="AD32" s="8" t="e">
        <f t="shared" si="1"/>
        <v>#NUM!</v>
      </c>
      <c r="AE32" s="4" t="e">
        <f t="shared" si="2"/>
        <v>#NUM!</v>
      </c>
      <c r="AF32" s="5" t="e">
        <f t="shared" si="3"/>
        <v>#NUM!</v>
      </c>
      <c r="AG32" s="4">
        <f t="shared" si="15"/>
        <v>225</v>
      </c>
      <c r="AH32" s="8" t="e">
        <f t="shared" si="16"/>
        <v>#NUM!</v>
      </c>
      <c r="AI32" s="10" t="e">
        <f t="shared" si="17"/>
        <v>#NUM!</v>
      </c>
    </row>
    <row r="33" spans="1:35" ht="12.75">
      <c r="A33" s="111"/>
      <c r="B33" s="114"/>
      <c r="D33">
        <f t="shared" si="18"/>
        <v>2.25</v>
      </c>
      <c r="E33" s="4">
        <f t="shared" si="4"/>
        <v>42.75</v>
      </c>
      <c r="F33" s="15">
        <f t="shared" si="19"/>
        <v>4.2</v>
      </c>
      <c r="G33" s="15">
        <f t="shared" si="5"/>
        <v>9.450000000000001</v>
      </c>
      <c r="I33" s="15">
        <f t="shared" si="20"/>
        <v>0</v>
      </c>
      <c r="J33" s="15">
        <f t="shared" si="6"/>
        <v>0</v>
      </c>
      <c r="K33" s="15"/>
      <c r="L33" s="15">
        <f t="shared" si="7"/>
        <v>4.2</v>
      </c>
      <c r="M33" s="15">
        <f t="shared" si="8"/>
        <v>9.450000000000001</v>
      </c>
      <c r="O33" s="117"/>
      <c r="Q33">
        <f t="shared" si="9"/>
        <v>5.19</v>
      </c>
      <c r="R33" s="4">
        <f t="shared" si="10"/>
        <v>79.39745426989042</v>
      </c>
      <c r="T33" s="4">
        <f t="shared" si="11"/>
        <v>12.386457473162675</v>
      </c>
      <c r="X33" s="3" t="e">
        <f t="shared" si="12"/>
        <v>#NUM!</v>
      </c>
      <c r="AA33" s="1">
        <f t="shared" si="0"/>
        <v>8.236790220704763E-06</v>
      </c>
      <c r="AB33">
        <f t="shared" si="13"/>
        <v>2.29</v>
      </c>
      <c r="AC33">
        <f t="shared" si="14"/>
        <v>1</v>
      </c>
      <c r="AD33" s="8" t="e">
        <f t="shared" si="1"/>
        <v>#NUM!</v>
      </c>
      <c r="AE33" s="4" t="e">
        <f t="shared" si="2"/>
        <v>#NUM!</v>
      </c>
      <c r="AF33" s="5" t="e">
        <f t="shared" si="3"/>
        <v>#NUM!</v>
      </c>
      <c r="AG33" s="4">
        <f t="shared" si="15"/>
        <v>225</v>
      </c>
      <c r="AH33" s="8" t="e">
        <f t="shared" si="16"/>
        <v>#NUM!</v>
      </c>
      <c r="AI33" s="10" t="e">
        <f t="shared" si="17"/>
        <v>#NUM!</v>
      </c>
    </row>
    <row r="34" spans="1:35" ht="12.75">
      <c r="A34" s="111"/>
      <c r="B34" s="114"/>
      <c r="D34">
        <f t="shared" si="18"/>
        <v>2.25</v>
      </c>
      <c r="E34" s="4">
        <f t="shared" si="4"/>
        <v>45</v>
      </c>
      <c r="F34" s="15">
        <f t="shared" si="19"/>
        <v>4.2</v>
      </c>
      <c r="G34" s="15">
        <f t="shared" si="5"/>
        <v>9.450000000000001</v>
      </c>
      <c r="I34" s="15">
        <f t="shared" si="20"/>
        <v>0</v>
      </c>
      <c r="J34" s="15">
        <f t="shared" si="6"/>
        <v>0</v>
      </c>
      <c r="K34" s="15"/>
      <c r="L34" s="15">
        <f t="shared" si="7"/>
        <v>4.2</v>
      </c>
      <c r="M34" s="15">
        <f t="shared" si="8"/>
        <v>9.450000000000001</v>
      </c>
      <c r="O34" s="117"/>
      <c r="Q34">
        <f t="shared" si="9"/>
        <v>5.19</v>
      </c>
      <c r="R34" s="4">
        <f t="shared" si="10"/>
        <v>79.54445426989042</v>
      </c>
      <c r="T34" s="4">
        <f t="shared" si="11"/>
        <v>12.386457473162675</v>
      </c>
      <c r="X34" s="3" t="e">
        <f t="shared" si="12"/>
        <v>#NUM!</v>
      </c>
      <c r="AA34" s="1">
        <f t="shared" si="0"/>
        <v>8.245531428704763E-06</v>
      </c>
      <c r="AB34">
        <f t="shared" si="13"/>
        <v>2.29</v>
      </c>
      <c r="AC34">
        <f t="shared" si="14"/>
        <v>1</v>
      </c>
      <c r="AD34" s="8" t="e">
        <f t="shared" si="1"/>
        <v>#NUM!</v>
      </c>
      <c r="AE34" s="4" t="e">
        <f t="shared" si="2"/>
        <v>#NUM!</v>
      </c>
      <c r="AF34" s="5" t="e">
        <f t="shared" si="3"/>
        <v>#NUM!</v>
      </c>
      <c r="AG34" s="4">
        <f t="shared" si="15"/>
        <v>225</v>
      </c>
      <c r="AH34" s="8" t="e">
        <f t="shared" si="16"/>
        <v>#NUM!</v>
      </c>
      <c r="AI34" s="10" t="e">
        <f t="shared" si="17"/>
        <v>#NUM!</v>
      </c>
    </row>
    <row r="35" spans="1:35" ht="12.75">
      <c r="A35" s="111"/>
      <c r="B35" s="114"/>
      <c r="D35">
        <f t="shared" si="18"/>
        <v>2.25</v>
      </c>
      <c r="E35" s="4">
        <f t="shared" si="4"/>
        <v>47.25</v>
      </c>
      <c r="F35" s="15">
        <f t="shared" si="19"/>
        <v>4.2</v>
      </c>
      <c r="G35" s="15">
        <f t="shared" si="5"/>
        <v>9.450000000000001</v>
      </c>
      <c r="I35" s="15">
        <f t="shared" si="20"/>
        <v>0</v>
      </c>
      <c r="J35" s="15">
        <f t="shared" si="6"/>
        <v>0</v>
      </c>
      <c r="K35" s="15"/>
      <c r="L35" s="15">
        <f t="shared" si="7"/>
        <v>4.2</v>
      </c>
      <c r="M35" s="15">
        <f t="shared" si="8"/>
        <v>9.450000000000001</v>
      </c>
      <c r="O35" s="117"/>
      <c r="Q35">
        <f t="shared" si="9"/>
        <v>5.19</v>
      </c>
      <c r="R35" s="4">
        <f t="shared" si="10"/>
        <v>79.69145426989043</v>
      </c>
      <c r="T35" s="4">
        <f t="shared" si="11"/>
        <v>12.386457473162675</v>
      </c>
      <c r="X35" s="3" t="e">
        <f t="shared" si="12"/>
        <v>#NUM!</v>
      </c>
      <c r="AA35" s="1">
        <f t="shared" si="0"/>
        <v>8.254272636704763E-06</v>
      </c>
      <c r="AB35">
        <f t="shared" si="13"/>
        <v>2.29</v>
      </c>
      <c r="AC35">
        <f t="shared" si="14"/>
        <v>1</v>
      </c>
      <c r="AD35" s="8" t="e">
        <f t="shared" si="1"/>
        <v>#NUM!</v>
      </c>
      <c r="AE35" s="4" t="e">
        <f t="shared" si="2"/>
        <v>#NUM!</v>
      </c>
      <c r="AF35" s="5" t="e">
        <f t="shared" si="3"/>
        <v>#NUM!</v>
      </c>
      <c r="AG35" s="4">
        <f t="shared" si="15"/>
        <v>225</v>
      </c>
      <c r="AH35" s="8" t="e">
        <f t="shared" si="16"/>
        <v>#NUM!</v>
      </c>
      <c r="AI35" s="10" t="e">
        <f t="shared" si="17"/>
        <v>#NUM!</v>
      </c>
    </row>
    <row r="36" spans="1:35" ht="12.75">
      <c r="A36" s="111"/>
      <c r="B36" s="114"/>
      <c r="D36">
        <f t="shared" si="18"/>
        <v>2.25</v>
      </c>
      <c r="E36" s="4">
        <f t="shared" si="4"/>
        <v>49.5</v>
      </c>
      <c r="F36" s="15">
        <f t="shared" si="19"/>
        <v>4.2</v>
      </c>
      <c r="G36" s="15">
        <f t="shared" si="5"/>
        <v>9.450000000000001</v>
      </c>
      <c r="I36" s="15">
        <f t="shared" si="20"/>
        <v>0</v>
      </c>
      <c r="J36" s="15">
        <f t="shared" si="6"/>
        <v>0</v>
      </c>
      <c r="K36" s="15"/>
      <c r="L36" s="15">
        <f t="shared" si="7"/>
        <v>4.2</v>
      </c>
      <c r="M36" s="15">
        <f t="shared" si="8"/>
        <v>9.450000000000001</v>
      </c>
      <c r="O36" s="117"/>
      <c r="Q36">
        <f t="shared" si="9"/>
        <v>5.19</v>
      </c>
      <c r="R36" s="4">
        <f t="shared" si="10"/>
        <v>79.83845426989043</v>
      </c>
      <c r="T36" s="4">
        <f t="shared" si="11"/>
        <v>12.386457473162675</v>
      </c>
      <c r="X36" s="3" t="e">
        <f t="shared" si="12"/>
        <v>#NUM!</v>
      </c>
      <c r="AA36" s="1">
        <f t="shared" si="0"/>
        <v>8.263013844704765E-06</v>
      </c>
      <c r="AB36">
        <f t="shared" si="13"/>
        <v>2.29</v>
      </c>
      <c r="AC36">
        <f t="shared" si="14"/>
        <v>1</v>
      </c>
      <c r="AD36" s="8" t="e">
        <f t="shared" si="1"/>
        <v>#NUM!</v>
      </c>
      <c r="AE36" s="4" t="e">
        <f t="shared" si="2"/>
        <v>#NUM!</v>
      </c>
      <c r="AF36" s="5" t="e">
        <f t="shared" si="3"/>
        <v>#NUM!</v>
      </c>
      <c r="AG36" s="4">
        <f t="shared" si="15"/>
        <v>225</v>
      </c>
      <c r="AH36" s="8" t="e">
        <f t="shared" si="16"/>
        <v>#NUM!</v>
      </c>
      <c r="AI36" s="10" t="e">
        <f t="shared" si="17"/>
        <v>#NUM!</v>
      </c>
    </row>
    <row r="37" spans="1:35" ht="12.75">
      <c r="A37" s="111"/>
      <c r="B37" s="114"/>
      <c r="D37">
        <f t="shared" si="18"/>
        <v>2.25</v>
      </c>
      <c r="E37" s="4">
        <f t="shared" si="4"/>
        <v>51.75</v>
      </c>
      <c r="F37" s="15">
        <f t="shared" si="19"/>
        <v>4.2</v>
      </c>
      <c r="G37" s="15">
        <f t="shared" si="5"/>
        <v>9.450000000000001</v>
      </c>
      <c r="I37" s="15">
        <f t="shared" si="20"/>
        <v>0</v>
      </c>
      <c r="J37" s="15">
        <f t="shared" si="6"/>
        <v>0</v>
      </c>
      <c r="K37" s="15"/>
      <c r="L37" s="15">
        <f t="shared" si="7"/>
        <v>4.2</v>
      </c>
      <c r="M37" s="15">
        <f t="shared" si="8"/>
        <v>9.450000000000001</v>
      </c>
      <c r="O37" s="117"/>
      <c r="Q37">
        <f t="shared" si="9"/>
        <v>5.19</v>
      </c>
      <c r="R37" s="4">
        <f t="shared" si="10"/>
        <v>79.98545426989044</v>
      </c>
      <c r="T37" s="4">
        <f t="shared" si="11"/>
        <v>12.386457473162675</v>
      </c>
      <c r="X37" s="3" t="e">
        <f t="shared" si="12"/>
        <v>#NUM!</v>
      </c>
      <c r="AA37" s="1">
        <f t="shared" si="0"/>
        <v>8.271755052704765E-06</v>
      </c>
      <c r="AB37">
        <f t="shared" si="13"/>
        <v>2.29</v>
      </c>
      <c r="AC37">
        <f t="shared" si="14"/>
        <v>1</v>
      </c>
      <c r="AD37" s="8" t="e">
        <f t="shared" si="1"/>
        <v>#NUM!</v>
      </c>
      <c r="AE37" s="4" t="e">
        <f t="shared" si="2"/>
        <v>#NUM!</v>
      </c>
      <c r="AF37" s="5" t="e">
        <f t="shared" si="3"/>
        <v>#NUM!</v>
      </c>
      <c r="AG37" s="4">
        <f t="shared" si="15"/>
        <v>225</v>
      </c>
      <c r="AH37" s="8" t="e">
        <f t="shared" si="16"/>
        <v>#NUM!</v>
      </c>
      <c r="AI37" s="10" t="e">
        <f t="shared" si="17"/>
        <v>#NUM!</v>
      </c>
    </row>
    <row r="38" spans="1:35" ht="12.75">
      <c r="A38" s="111"/>
      <c r="B38" s="114"/>
      <c r="D38">
        <f t="shared" si="18"/>
        <v>2.25</v>
      </c>
      <c r="E38" s="4">
        <f t="shared" si="4"/>
        <v>54</v>
      </c>
      <c r="F38" s="15">
        <f t="shared" si="19"/>
        <v>4.2</v>
      </c>
      <c r="G38" s="15">
        <f t="shared" si="5"/>
        <v>9.450000000000001</v>
      </c>
      <c r="I38" s="15">
        <f t="shared" si="20"/>
        <v>0</v>
      </c>
      <c r="J38" s="15">
        <f t="shared" si="6"/>
        <v>0</v>
      </c>
      <c r="K38" s="15"/>
      <c r="L38" s="15">
        <f t="shared" si="7"/>
        <v>4.2</v>
      </c>
      <c r="M38" s="15">
        <f t="shared" si="8"/>
        <v>9.450000000000001</v>
      </c>
      <c r="O38" s="117"/>
      <c r="Q38">
        <f t="shared" si="9"/>
        <v>5.19</v>
      </c>
      <c r="R38" s="4">
        <f t="shared" si="10"/>
        <v>80.13245426989045</v>
      </c>
      <c r="T38" s="4">
        <f t="shared" si="11"/>
        <v>12.386457473162675</v>
      </c>
      <c r="X38" s="3" t="e">
        <f t="shared" si="12"/>
        <v>#NUM!</v>
      </c>
      <c r="AA38" s="1">
        <f t="shared" si="0"/>
        <v>8.280496260704765E-06</v>
      </c>
      <c r="AB38">
        <f t="shared" si="13"/>
        <v>2.29</v>
      </c>
      <c r="AC38">
        <f t="shared" si="14"/>
        <v>1</v>
      </c>
      <c r="AD38" s="8" t="e">
        <f t="shared" si="1"/>
        <v>#NUM!</v>
      </c>
      <c r="AE38" s="4" t="e">
        <f t="shared" si="2"/>
        <v>#NUM!</v>
      </c>
      <c r="AF38" s="5" t="e">
        <f t="shared" si="3"/>
        <v>#NUM!</v>
      </c>
      <c r="AG38" s="4">
        <f t="shared" si="15"/>
        <v>225</v>
      </c>
      <c r="AH38" s="8" t="e">
        <f t="shared" si="16"/>
        <v>#NUM!</v>
      </c>
      <c r="AI38" s="10" t="e">
        <f t="shared" si="17"/>
        <v>#NUM!</v>
      </c>
    </row>
    <row r="39" spans="1:35" ht="12.75">
      <c r="A39" s="111"/>
      <c r="B39" s="114"/>
      <c r="D39">
        <f t="shared" si="18"/>
        <v>2.25</v>
      </c>
      <c r="E39" s="4">
        <f t="shared" si="4"/>
        <v>56.25</v>
      </c>
      <c r="F39" s="15">
        <f t="shared" si="19"/>
        <v>4.2</v>
      </c>
      <c r="G39" s="15">
        <f t="shared" si="5"/>
        <v>9.450000000000001</v>
      </c>
      <c r="I39" s="15">
        <f t="shared" si="20"/>
        <v>0</v>
      </c>
      <c r="J39" s="15">
        <f t="shared" si="6"/>
        <v>0</v>
      </c>
      <c r="K39" s="15"/>
      <c r="L39" s="15">
        <f t="shared" si="7"/>
        <v>4.2</v>
      </c>
      <c r="M39" s="15">
        <f t="shared" si="8"/>
        <v>9.450000000000001</v>
      </c>
      <c r="O39" s="117"/>
      <c r="Q39">
        <f t="shared" si="9"/>
        <v>5.19</v>
      </c>
      <c r="R39" s="4">
        <f t="shared" si="10"/>
        <v>80.27945426989045</v>
      </c>
      <c r="T39" s="4">
        <f t="shared" si="11"/>
        <v>12.386457473162675</v>
      </c>
      <c r="X39" s="3" t="e">
        <f t="shared" si="12"/>
        <v>#NUM!</v>
      </c>
      <c r="AA39" s="1">
        <f t="shared" si="0"/>
        <v>8.289237468704765E-06</v>
      </c>
      <c r="AB39">
        <f t="shared" si="13"/>
        <v>2.29</v>
      </c>
      <c r="AC39">
        <f t="shared" si="14"/>
        <v>1</v>
      </c>
      <c r="AD39" s="8" t="e">
        <f t="shared" si="1"/>
        <v>#NUM!</v>
      </c>
      <c r="AE39" s="4" t="e">
        <f t="shared" si="2"/>
        <v>#NUM!</v>
      </c>
      <c r="AF39" s="5" t="e">
        <f t="shared" si="3"/>
        <v>#NUM!</v>
      </c>
      <c r="AG39" s="4">
        <f t="shared" si="15"/>
        <v>225</v>
      </c>
      <c r="AH39" s="8" t="e">
        <f t="shared" si="16"/>
        <v>#NUM!</v>
      </c>
      <c r="AI39" s="10" t="e">
        <f t="shared" si="17"/>
        <v>#NUM!</v>
      </c>
    </row>
    <row r="40" spans="1:35" ht="12.75">
      <c r="A40" s="111"/>
      <c r="B40" s="114"/>
      <c r="D40">
        <f t="shared" si="18"/>
        <v>2.25</v>
      </c>
      <c r="E40" s="4">
        <f t="shared" si="4"/>
        <v>58.5</v>
      </c>
      <c r="F40" s="15">
        <f t="shared" si="19"/>
        <v>4.2</v>
      </c>
      <c r="G40" s="15">
        <f t="shared" si="5"/>
        <v>9.450000000000001</v>
      </c>
      <c r="I40" s="15">
        <f t="shared" si="20"/>
        <v>0</v>
      </c>
      <c r="J40" s="15">
        <f t="shared" si="6"/>
        <v>0</v>
      </c>
      <c r="K40" s="15"/>
      <c r="L40" s="15">
        <f t="shared" si="7"/>
        <v>4.2</v>
      </c>
      <c r="M40" s="15">
        <f t="shared" si="8"/>
        <v>9.450000000000001</v>
      </c>
      <c r="O40" s="117"/>
      <c r="Q40">
        <f t="shared" si="9"/>
        <v>5.19</v>
      </c>
      <c r="R40" s="4">
        <f t="shared" si="10"/>
        <v>80.42645426989046</v>
      </c>
      <c r="T40" s="4">
        <f t="shared" si="11"/>
        <v>12.386457473162675</v>
      </c>
      <c r="X40" s="3" t="e">
        <f t="shared" si="12"/>
        <v>#NUM!</v>
      </c>
      <c r="AA40" s="1">
        <f t="shared" si="0"/>
        <v>8.297978676704765E-06</v>
      </c>
      <c r="AB40">
        <f t="shared" si="13"/>
        <v>2.29</v>
      </c>
      <c r="AC40">
        <f t="shared" si="14"/>
        <v>1</v>
      </c>
      <c r="AD40" s="8" t="e">
        <f t="shared" si="1"/>
        <v>#NUM!</v>
      </c>
      <c r="AE40" s="4" t="e">
        <f t="shared" si="2"/>
        <v>#NUM!</v>
      </c>
      <c r="AF40" s="5" t="e">
        <f t="shared" si="3"/>
        <v>#NUM!</v>
      </c>
      <c r="AG40" s="4">
        <f t="shared" si="15"/>
        <v>225</v>
      </c>
      <c r="AH40" s="8" t="e">
        <f t="shared" si="16"/>
        <v>#NUM!</v>
      </c>
      <c r="AI40" s="10" t="e">
        <f t="shared" si="17"/>
        <v>#NUM!</v>
      </c>
    </row>
    <row r="41" spans="1:35" ht="12.75">
      <c r="A41" s="111"/>
      <c r="B41" s="114"/>
      <c r="D41">
        <f t="shared" si="18"/>
        <v>2.25</v>
      </c>
      <c r="E41" s="4">
        <f t="shared" si="4"/>
        <v>60.75</v>
      </c>
      <c r="F41" s="15">
        <f t="shared" si="19"/>
        <v>4.2</v>
      </c>
      <c r="G41" s="15">
        <f t="shared" si="5"/>
        <v>9.450000000000001</v>
      </c>
      <c r="I41" s="15">
        <f t="shared" si="20"/>
        <v>0</v>
      </c>
      <c r="J41" s="15">
        <f t="shared" si="6"/>
        <v>0</v>
      </c>
      <c r="K41" s="15"/>
      <c r="L41" s="15">
        <f t="shared" si="7"/>
        <v>4.2</v>
      </c>
      <c r="M41" s="15">
        <f t="shared" si="8"/>
        <v>9.450000000000001</v>
      </c>
      <c r="O41" s="117"/>
      <c r="Q41">
        <f t="shared" si="9"/>
        <v>5.19</v>
      </c>
      <c r="R41" s="4">
        <f t="shared" si="10"/>
        <v>80.57345426989046</v>
      </c>
      <c r="T41" s="4">
        <f t="shared" si="11"/>
        <v>12.386457473162675</v>
      </c>
      <c r="X41" s="3" t="e">
        <f t="shared" si="12"/>
        <v>#NUM!</v>
      </c>
      <c r="AA41" s="1">
        <f t="shared" si="0"/>
        <v>8.306719884704765E-06</v>
      </c>
      <c r="AB41">
        <f t="shared" si="13"/>
        <v>2.29</v>
      </c>
      <c r="AC41">
        <f t="shared" si="14"/>
        <v>1</v>
      </c>
      <c r="AD41" s="8" t="e">
        <f t="shared" si="1"/>
        <v>#NUM!</v>
      </c>
      <c r="AE41" s="4" t="e">
        <f t="shared" si="2"/>
        <v>#NUM!</v>
      </c>
      <c r="AF41" s="5" t="e">
        <f t="shared" si="3"/>
        <v>#NUM!</v>
      </c>
      <c r="AG41" s="4">
        <f t="shared" si="15"/>
        <v>225</v>
      </c>
      <c r="AH41" s="8" t="e">
        <f t="shared" si="16"/>
        <v>#NUM!</v>
      </c>
      <c r="AI41" s="10" t="e">
        <f t="shared" si="17"/>
        <v>#NUM!</v>
      </c>
    </row>
    <row r="42" spans="1:35" ht="12.75">
      <c r="A42" s="111"/>
      <c r="B42" s="114"/>
      <c r="D42">
        <f t="shared" si="18"/>
        <v>2.25</v>
      </c>
      <c r="E42" s="4">
        <f t="shared" si="4"/>
        <v>63</v>
      </c>
      <c r="F42" s="15">
        <f t="shared" si="19"/>
        <v>4.2</v>
      </c>
      <c r="G42" s="15">
        <f t="shared" si="5"/>
        <v>9.450000000000001</v>
      </c>
      <c r="I42" s="15">
        <f t="shared" si="20"/>
        <v>0</v>
      </c>
      <c r="J42" s="15">
        <f t="shared" si="6"/>
        <v>0</v>
      </c>
      <c r="K42" s="15"/>
      <c r="L42" s="15">
        <f t="shared" si="7"/>
        <v>4.2</v>
      </c>
      <c r="M42" s="15">
        <f t="shared" si="8"/>
        <v>9.450000000000001</v>
      </c>
      <c r="O42" s="117"/>
      <c r="Q42">
        <f t="shared" si="9"/>
        <v>5.19</v>
      </c>
      <c r="R42" s="4">
        <f t="shared" si="10"/>
        <v>80.72045426989047</v>
      </c>
      <c r="T42" s="4">
        <f t="shared" si="11"/>
        <v>12.386457473162675</v>
      </c>
      <c r="X42" s="3" t="e">
        <f t="shared" si="12"/>
        <v>#NUM!</v>
      </c>
      <c r="AA42" s="1">
        <f t="shared" si="0"/>
        <v>8.315461092704766E-06</v>
      </c>
      <c r="AB42">
        <f t="shared" si="13"/>
        <v>2.29</v>
      </c>
      <c r="AC42">
        <f t="shared" si="14"/>
        <v>1</v>
      </c>
      <c r="AD42" s="8" t="e">
        <f t="shared" si="1"/>
        <v>#NUM!</v>
      </c>
      <c r="AE42" s="4" t="e">
        <f t="shared" si="2"/>
        <v>#NUM!</v>
      </c>
      <c r="AF42" s="5" t="e">
        <f t="shared" si="3"/>
        <v>#NUM!</v>
      </c>
      <c r="AG42" s="4">
        <f t="shared" si="15"/>
        <v>225</v>
      </c>
      <c r="AH42" s="8" t="e">
        <f t="shared" si="16"/>
        <v>#NUM!</v>
      </c>
      <c r="AI42" s="10" t="e">
        <f t="shared" si="17"/>
        <v>#NUM!</v>
      </c>
    </row>
    <row r="43" spans="1:35" ht="12.75">
      <c r="A43" s="111"/>
      <c r="B43" s="114"/>
      <c r="D43">
        <f t="shared" si="18"/>
        <v>2.25</v>
      </c>
      <c r="E43" s="4">
        <f t="shared" si="4"/>
        <v>65.25</v>
      </c>
      <c r="F43" s="15">
        <f t="shared" si="19"/>
        <v>4.2</v>
      </c>
      <c r="G43" s="15">
        <f t="shared" si="5"/>
        <v>9.450000000000001</v>
      </c>
      <c r="I43" s="15">
        <f t="shared" si="20"/>
        <v>0</v>
      </c>
      <c r="J43" s="15">
        <f t="shared" si="6"/>
        <v>0</v>
      </c>
      <c r="K43" s="15"/>
      <c r="L43" s="15">
        <f t="shared" si="7"/>
        <v>4.2</v>
      </c>
      <c r="M43" s="15">
        <f t="shared" si="8"/>
        <v>9.450000000000001</v>
      </c>
      <c r="O43" s="117"/>
      <c r="Q43">
        <f t="shared" si="9"/>
        <v>5.19</v>
      </c>
      <c r="R43" s="4">
        <f t="shared" si="10"/>
        <v>80.86745426989047</v>
      </c>
      <c r="T43" s="4">
        <f t="shared" si="11"/>
        <v>12.386457473162675</v>
      </c>
      <c r="X43" s="3" t="e">
        <f t="shared" si="12"/>
        <v>#NUM!</v>
      </c>
      <c r="AA43" s="1">
        <f t="shared" si="0"/>
        <v>8.324202300704766E-06</v>
      </c>
      <c r="AB43">
        <f t="shared" si="13"/>
        <v>2.29</v>
      </c>
      <c r="AC43">
        <f t="shared" si="14"/>
        <v>1</v>
      </c>
      <c r="AD43" s="8" t="e">
        <f t="shared" si="1"/>
        <v>#NUM!</v>
      </c>
      <c r="AE43" s="4" t="e">
        <f t="shared" si="2"/>
        <v>#NUM!</v>
      </c>
      <c r="AF43" s="5" t="e">
        <f t="shared" si="3"/>
        <v>#NUM!</v>
      </c>
      <c r="AG43" s="4">
        <f t="shared" si="15"/>
        <v>225</v>
      </c>
      <c r="AH43" s="8" t="e">
        <f t="shared" si="16"/>
        <v>#NUM!</v>
      </c>
      <c r="AI43" s="10" t="e">
        <f t="shared" si="17"/>
        <v>#NUM!</v>
      </c>
    </row>
    <row r="44" spans="1:35" ht="13.5" thickBot="1">
      <c r="A44" s="112"/>
      <c r="B44" s="115"/>
      <c r="D44">
        <f t="shared" si="18"/>
        <v>2.25</v>
      </c>
      <c r="E44" s="4">
        <f t="shared" si="4"/>
        <v>67.5</v>
      </c>
      <c r="F44" s="15">
        <f t="shared" si="19"/>
        <v>4.2</v>
      </c>
      <c r="G44" s="15">
        <f t="shared" si="5"/>
        <v>9.450000000000001</v>
      </c>
      <c r="I44" s="15">
        <f t="shared" si="20"/>
        <v>0</v>
      </c>
      <c r="J44" s="15">
        <f t="shared" si="6"/>
        <v>0</v>
      </c>
      <c r="K44" s="15"/>
      <c r="L44" s="15">
        <f t="shared" si="7"/>
        <v>4.2</v>
      </c>
      <c r="M44" s="15">
        <f t="shared" si="8"/>
        <v>9.450000000000001</v>
      </c>
      <c r="O44" s="118"/>
      <c r="Q44">
        <f t="shared" si="9"/>
        <v>5.19</v>
      </c>
      <c r="R44" s="4">
        <f t="shared" si="10"/>
        <v>81.01445426989048</v>
      </c>
      <c r="T44" s="4">
        <f t="shared" si="11"/>
        <v>12.386457473162675</v>
      </c>
      <c r="X44" s="3" t="e">
        <f t="shared" si="12"/>
        <v>#NUM!</v>
      </c>
      <c r="AA44" s="1">
        <f t="shared" si="0"/>
        <v>8.332943508704766E-06</v>
      </c>
      <c r="AB44">
        <f t="shared" si="13"/>
        <v>2.29</v>
      </c>
      <c r="AC44">
        <f t="shared" si="14"/>
        <v>1</v>
      </c>
      <c r="AD44" s="8" t="e">
        <f t="shared" si="1"/>
        <v>#NUM!</v>
      </c>
      <c r="AE44" s="4" t="e">
        <f t="shared" si="2"/>
        <v>#NUM!</v>
      </c>
      <c r="AF44" s="5" t="e">
        <f t="shared" si="3"/>
        <v>#NUM!</v>
      </c>
      <c r="AG44" s="4">
        <f t="shared" si="15"/>
        <v>225</v>
      </c>
      <c r="AH44" s="8" t="e">
        <f t="shared" si="16"/>
        <v>#NUM!</v>
      </c>
      <c r="AI44" s="10" t="e">
        <f t="shared" si="17"/>
        <v>#NUM!</v>
      </c>
    </row>
    <row r="45" spans="1:35" ht="12.75">
      <c r="A45" s="108" t="s">
        <v>44</v>
      </c>
      <c r="B45" s="113">
        <f>O45</f>
        <v>141.75</v>
      </c>
      <c r="D45">
        <f t="shared" si="18"/>
        <v>2.25</v>
      </c>
      <c r="E45" s="4">
        <f t="shared" si="4"/>
        <v>69.75</v>
      </c>
      <c r="F45" s="15">
        <f t="shared" si="19"/>
        <v>4.2</v>
      </c>
      <c r="G45" s="15">
        <f t="shared" si="5"/>
        <v>9.450000000000001</v>
      </c>
      <c r="I45" s="15">
        <f t="shared" si="20"/>
        <v>0</v>
      </c>
      <c r="J45" s="15">
        <f t="shared" si="6"/>
        <v>0</v>
      </c>
      <c r="K45" s="15"/>
      <c r="L45" s="15">
        <f t="shared" si="7"/>
        <v>4.2</v>
      </c>
      <c r="M45" s="15">
        <f t="shared" si="8"/>
        <v>9.450000000000001</v>
      </c>
      <c r="O45" s="116">
        <f>SUM(M45:M59)</f>
        <v>141.75</v>
      </c>
      <c r="Q45">
        <f t="shared" si="9"/>
        <v>5.19</v>
      </c>
      <c r="R45" s="4">
        <f t="shared" si="10"/>
        <v>81.16145426989048</v>
      </c>
      <c r="T45" s="4">
        <f t="shared" si="11"/>
        <v>12.386457473162675</v>
      </c>
      <c r="X45" s="3" t="e">
        <f t="shared" si="12"/>
        <v>#NUM!</v>
      </c>
      <c r="AA45" s="1">
        <f t="shared" si="0"/>
        <v>8.341684716704766E-06</v>
      </c>
      <c r="AB45">
        <f t="shared" si="13"/>
        <v>2.29</v>
      </c>
      <c r="AC45">
        <f t="shared" si="14"/>
        <v>1</v>
      </c>
      <c r="AD45" s="8" t="e">
        <f t="shared" si="1"/>
        <v>#NUM!</v>
      </c>
      <c r="AE45" s="4" t="e">
        <f t="shared" si="2"/>
        <v>#NUM!</v>
      </c>
      <c r="AF45" s="5" t="e">
        <f t="shared" si="3"/>
        <v>#NUM!</v>
      </c>
      <c r="AG45" s="4">
        <f t="shared" si="15"/>
        <v>225</v>
      </c>
      <c r="AH45" s="8" t="e">
        <f t="shared" si="16"/>
        <v>#NUM!</v>
      </c>
      <c r="AI45" s="10" t="e">
        <f t="shared" si="17"/>
        <v>#NUM!</v>
      </c>
    </row>
    <row r="46" spans="1:35" ht="12.75">
      <c r="A46" s="111"/>
      <c r="B46" s="114"/>
      <c r="D46">
        <f t="shared" si="18"/>
        <v>2.25</v>
      </c>
      <c r="E46" s="4">
        <f t="shared" si="4"/>
        <v>72</v>
      </c>
      <c r="F46" s="15">
        <f t="shared" si="19"/>
        <v>4.2</v>
      </c>
      <c r="G46" s="15">
        <f t="shared" si="5"/>
        <v>9.450000000000001</v>
      </c>
      <c r="I46" s="15">
        <f t="shared" si="20"/>
        <v>0</v>
      </c>
      <c r="J46" s="15">
        <f t="shared" si="6"/>
        <v>0</v>
      </c>
      <c r="K46" s="15"/>
      <c r="L46" s="15">
        <f t="shared" si="7"/>
        <v>4.2</v>
      </c>
      <c r="M46" s="15">
        <f t="shared" si="8"/>
        <v>9.450000000000001</v>
      </c>
      <c r="O46" s="117"/>
      <c r="Q46">
        <f t="shared" si="9"/>
        <v>5.19</v>
      </c>
      <c r="R46" s="4">
        <f t="shared" si="10"/>
        <v>81.30845426989049</v>
      </c>
      <c r="T46" s="4">
        <f t="shared" si="11"/>
        <v>12.386457473162675</v>
      </c>
      <c r="X46" s="3" t="e">
        <f t="shared" si="12"/>
        <v>#NUM!</v>
      </c>
      <c r="AA46" s="1">
        <f aca="true" t="shared" si="21" ref="AA46:AA74">(3.5155+0.059464*R46)*10^-6</f>
        <v>8.350425924704766E-06</v>
      </c>
      <c r="AB46">
        <f t="shared" si="13"/>
        <v>2.29</v>
      </c>
      <c r="AC46">
        <f t="shared" si="14"/>
        <v>1</v>
      </c>
      <c r="AD46" s="8" t="e">
        <f aca="true" t="shared" si="22" ref="AD46:AD74">4*T46/(X46*3.14159*AB46^2*AC46)</f>
        <v>#NUM!</v>
      </c>
      <c r="AE46" s="4" t="e">
        <f aca="true" t="shared" si="23" ref="AE46:AE74">X46*AD46*AB46/AA46/10</f>
        <v>#NUM!</v>
      </c>
      <c r="AF46" s="5" t="e">
        <f aca="true" t="shared" si="24" ref="AF46:AF74">4*(0.0791/AE46^0.25)</f>
        <v>#NUM!</v>
      </c>
      <c r="AG46" s="4">
        <f t="shared" si="15"/>
        <v>225</v>
      </c>
      <c r="AH46" s="8" t="e">
        <f t="shared" si="16"/>
        <v>#NUM!</v>
      </c>
      <c r="AI46" s="10" t="e">
        <f t="shared" si="17"/>
        <v>#NUM!</v>
      </c>
    </row>
    <row r="47" spans="1:35" ht="12.75">
      <c r="A47" s="111"/>
      <c r="B47" s="114"/>
      <c r="D47">
        <f t="shared" si="18"/>
        <v>2.25</v>
      </c>
      <c r="E47" s="4">
        <f aca="true" t="shared" si="25" ref="E47:E74">E46+D47</f>
        <v>74.25</v>
      </c>
      <c r="F47" s="15">
        <f t="shared" si="19"/>
        <v>4.2</v>
      </c>
      <c r="G47" s="15">
        <f aca="true" t="shared" si="26" ref="G47:G74">F47*D47</f>
        <v>9.450000000000001</v>
      </c>
      <c r="I47" s="15">
        <f t="shared" si="20"/>
        <v>0</v>
      </c>
      <c r="J47" s="15">
        <f aca="true" t="shared" si="27" ref="J47:J74">I47*D47</f>
        <v>0</v>
      </c>
      <c r="K47" s="15"/>
      <c r="L47" s="15">
        <f aca="true" t="shared" si="28" ref="L47:L74">I47+F47</f>
        <v>4.2</v>
      </c>
      <c r="M47" s="15">
        <f aca="true" t="shared" si="29" ref="M47:M74">L47*D47</f>
        <v>9.450000000000001</v>
      </c>
      <c r="O47" s="117"/>
      <c r="Q47">
        <f aca="true" t="shared" si="30" ref="Q47:Q74">Q46</f>
        <v>5.19</v>
      </c>
      <c r="R47" s="4">
        <f aca="true" t="shared" si="31" ref="R47:R74">R46+M47/(T47*Q47)</f>
        <v>81.4554542698905</v>
      </c>
      <c r="T47" s="4">
        <f aca="true" t="shared" si="32" ref="T47:T74">T46</f>
        <v>12.386457473162675</v>
      </c>
      <c r="X47" s="3" t="e">
        <f aca="true" t="shared" si="33" ref="X47:X74">0.00096*(100/R47)*(AI46/2)</f>
        <v>#NUM!</v>
      </c>
      <c r="AA47" s="1">
        <f t="shared" si="21"/>
        <v>8.359167132704768E-06</v>
      </c>
      <c r="AB47">
        <f aca="true" t="shared" si="34" ref="AB47:AB74">AB46</f>
        <v>2.29</v>
      </c>
      <c r="AC47">
        <f aca="true" t="shared" si="35" ref="AC47:AC74">AC46</f>
        <v>1</v>
      </c>
      <c r="AD47" s="8" t="e">
        <f t="shared" si="22"/>
        <v>#NUM!</v>
      </c>
      <c r="AE47" s="4" t="e">
        <f t="shared" si="23"/>
        <v>#NUM!</v>
      </c>
      <c r="AF47" s="5" t="e">
        <f t="shared" si="24"/>
        <v>#NUM!</v>
      </c>
      <c r="AG47" s="4">
        <f aca="true" t="shared" si="36" ref="AG47:AG74">100*(E47-E46)</f>
        <v>225</v>
      </c>
      <c r="AH47" s="8" t="e">
        <f aca="true" t="shared" si="37" ref="AH47:AH74">AF47*AG47/(AB47)*(X47*AD47^2/2)*0.1</f>
        <v>#NUM!</v>
      </c>
      <c r="AI47" s="10" t="e">
        <f aca="true" t="shared" si="38" ref="AI47:AI75">AI46-AH47/100000</f>
        <v>#NUM!</v>
      </c>
    </row>
    <row r="48" spans="1:35" ht="12.75">
      <c r="A48" s="111"/>
      <c r="B48" s="114"/>
      <c r="D48">
        <f aca="true" t="shared" si="39" ref="D48:D74">D47</f>
        <v>2.25</v>
      </c>
      <c r="E48" s="4">
        <f t="shared" si="25"/>
        <v>76.5</v>
      </c>
      <c r="F48" s="15">
        <f aca="true" t="shared" si="40" ref="F48:F74">F47</f>
        <v>4.2</v>
      </c>
      <c r="G48" s="15">
        <f t="shared" si="26"/>
        <v>9.450000000000001</v>
      </c>
      <c r="I48" s="15">
        <f aca="true" t="shared" si="41" ref="I48:I74">I47</f>
        <v>0</v>
      </c>
      <c r="J48" s="15">
        <f t="shared" si="27"/>
        <v>0</v>
      </c>
      <c r="K48" s="15"/>
      <c r="L48" s="15">
        <f t="shared" si="28"/>
        <v>4.2</v>
      </c>
      <c r="M48" s="15">
        <f t="shared" si="29"/>
        <v>9.450000000000001</v>
      </c>
      <c r="O48" s="117"/>
      <c r="Q48">
        <f t="shared" si="30"/>
        <v>5.19</v>
      </c>
      <c r="R48" s="4">
        <f t="shared" si="31"/>
        <v>81.6024542698905</v>
      </c>
      <c r="T48" s="4">
        <f t="shared" si="32"/>
        <v>12.386457473162675</v>
      </c>
      <c r="X48" s="3" t="e">
        <f t="shared" si="33"/>
        <v>#NUM!</v>
      </c>
      <c r="AA48" s="1">
        <f t="shared" si="21"/>
        <v>8.367908340704768E-06</v>
      </c>
      <c r="AB48">
        <f t="shared" si="34"/>
        <v>2.29</v>
      </c>
      <c r="AC48">
        <f t="shared" si="35"/>
        <v>1</v>
      </c>
      <c r="AD48" s="8" t="e">
        <f t="shared" si="22"/>
        <v>#NUM!</v>
      </c>
      <c r="AE48" s="4" t="e">
        <f t="shared" si="23"/>
        <v>#NUM!</v>
      </c>
      <c r="AF48" s="5" t="e">
        <f t="shared" si="24"/>
        <v>#NUM!</v>
      </c>
      <c r="AG48" s="4">
        <f t="shared" si="36"/>
        <v>225</v>
      </c>
      <c r="AH48" s="8" t="e">
        <f t="shared" si="37"/>
        <v>#NUM!</v>
      </c>
      <c r="AI48" s="10" t="e">
        <f t="shared" si="38"/>
        <v>#NUM!</v>
      </c>
    </row>
    <row r="49" spans="1:35" ht="12.75">
      <c r="A49" s="111"/>
      <c r="B49" s="114"/>
      <c r="D49">
        <f t="shared" si="39"/>
        <v>2.25</v>
      </c>
      <c r="E49" s="4">
        <f t="shared" si="25"/>
        <v>78.75</v>
      </c>
      <c r="F49" s="15">
        <f t="shared" si="40"/>
        <v>4.2</v>
      </c>
      <c r="G49" s="15">
        <f t="shared" si="26"/>
        <v>9.450000000000001</v>
      </c>
      <c r="I49" s="15">
        <f t="shared" si="41"/>
        <v>0</v>
      </c>
      <c r="J49" s="15">
        <f t="shared" si="27"/>
        <v>0</v>
      </c>
      <c r="K49" s="15"/>
      <c r="L49" s="15">
        <f t="shared" si="28"/>
        <v>4.2</v>
      </c>
      <c r="M49" s="15">
        <f t="shared" si="29"/>
        <v>9.450000000000001</v>
      </c>
      <c r="O49" s="117"/>
      <c r="Q49">
        <f t="shared" si="30"/>
        <v>5.19</v>
      </c>
      <c r="R49" s="4">
        <f t="shared" si="31"/>
        <v>81.7494542698905</v>
      </c>
      <c r="T49" s="4">
        <f t="shared" si="32"/>
        <v>12.386457473162675</v>
      </c>
      <c r="X49" s="3" t="e">
        <f t="shared" si="33"/>
        <v>#NUM!</v>
      </c>
      <c r="AA49" s="1">
        <f t="shared" si="21"/>
        <v>8.376649548704768E-06</v>
      </c>
      <c r="AB49">
        <f t="shared" si="34"/>
        <v>2.29</v>
      </c>
      <c r="AC49">
        <f t="shared" si="35"/>
        <v>1</v>
      </c>
      <c r="AD49" s="8" t="e">
        <f t="shared" si="22"/>
        <v>#NUM!</v>
      </c>
      <c r="AE49" s="4" t="e">
        <f t="shared" si="23"/>
        <v>#NUM!</v>
      </c>
      <c r="AF49" s="5" t="e">
        <f t="shared" si="24"/>
        <v>#NUM!</v>
      </c>
      <c r="AG49" s="4">
        <f t="shared" si="36"/>
        <v>225</v>
      </c>
      <c r="AH49" s="8" t="e">
        <f t="shared" si="37"/>
        <v>#NUM!</v>
      </c>
      <c r="AI49" s="10" t="e">
        <f t="shared" si="38"/>
        <v>#NUM!</v>
      </c>
    </row>
    <row r="50" spans="1:35" ht="12.75">
      <c r="A50" s="111"/>
      <c r="B50" s="114"/>
      <c r="D50">
        <f t="shared" si="39"/>
        <v>2.25</v>
      </c>
      <c r="E50" s="4">
        <f t="shared" si="25"/>
        <v>81</v>
      </c>
      <c r="F50" s="15">
        <f t="shared" si="40"/>
        <v>4.2</v>
      </c>
      <c r="G50" s="15">
        <f t="shared" si="26"/>
        <v>9.450000000000001</v>
      </c>
      <c r="I50" s="15">
        <f t="shared" si="41"/>
        <v>0</v>
      </c>
      <c r="J50" s="15">
        <f t="shared" si="27"/>
        <v>0</v>
      </c>
      <c r="K50" s="15"/>
      <c r="L50" s="15">
        <f t="shared" si="28"/>
        <v>4.2</v>
      </c>
      <c r="M50" s="15">
        <f t="shared" si="29"/>
        <v>9.450000000000001</v>
      </c>
      <c r="O50" s="117"/>
      <c r="Q50">
        <f t="shared" si="30"/>
        <v>5.19</v>
      </c>
      <c r="R50" s="4">
        <f t="shared" si="31"/>
        <v>81.89645426989051</v>
      </c>
      <c r="T50" s="4">
        <f t="shared" si="32"/>
        <v>12.386457473162675</v>
      </c>
      <c r="X50" s="3" t="e">
        <f t="shared" si="33"/>
        <v>#NUM!</v>
      </c>
      <c r="AA50" s="1">
        <f t="shared" si="21"/>
        <v>8.385390756704768E-06</v>
      </c>
      <c r="AB50">
        <f t="shared" si="34"/>
        <v>2.29</v>
      </c>
      <c r="AC50">
        <f t="shared" si="35"/>
        <v>1</v>
      </c>
      <c r="AD50" s="8" t="e">
        <f t="shared" si="22"/>
        <v>#NUM!</v>
      </c>
      <c r="AE50" s="4" t="e">
        <f t="shared" si="23"/>
        <v>#NUM!</v>
      </c>
      <c r="AF50" s="5" t="e">
        <f t="shared" si="24"/>
        <v>#NUM!</v>
      </c>
      <c r="AG50" s="4">
        <f t="shared" si="36"/>
        <v>225</v>
      </c>
      <c r="AH50" s="8" t="e">
        <f t="shared" si="37"/>
        <v>#NUM!</v>
      </c>
      <c r="AI50" s="10" t="e">
        <f t="shared" si="38"/>
        <v>#NUM!</v>
      </c>
    </row>
    <row r="51" spans="1:35" ht="12.75">
      <c r="A51" s="111"/>
      <c r="B51" s="114"/>
      <c r="D51">
        <f t="shared" si="39"/>
        <v>2.25</v>
      </c>
      <c r="E51" s="4">
        <f t="shared" si="25"/>
        <v>83.25</v>
      </c>
      <c r="F51" s="15">
        <f t="shared" si="40"/>
        <v>4.2</v>
      </c>
      <c r="G51" s="15">
        <f t="shared" si="26"/>
        <v>9.450000000000001</v>
      </c>
      <c r="I51" s="15">
        <f t="shared" si="41"/>
        <v>0</v>
      </c>
      <c r="J51" s="15">
        <f t="shared" si="27"/>
        <v>0</v>
      </c>
      <c r="K51" s="15"/>
      <c r="L51" s="15">
        <f t="shared" si="28"/>
        <v>4.2</v>
      </c>
      <c r="M51" s="15">
        <f t="shared" si="29"/>
        <v>9.450000000000001</v>
      </c>
      <c r="O51" s="117"/>
      <c r="Q51">
        <f t="shared" si="30"/>
        <v>5.19</v>
      </c>
      <c r="R51" s="4">
        <f t="shared" si="31"/>
        <v>82.04345426989052</v>
      </c>
      <c r="T51" s="4">
        <f t="shared" si="32"/>
        <v>12.386457473162675</v>
      </c>
      <c r="X51" s="3" t="e">
        <f t="shared" si="33"/>
        <v>#NUM!</v>
      </c>
      <c r="AA51" s="1">
        <f t="shared" si="21"/>
        <v>8.394131964704768E-06</v>
      </c>
      <c r="AB51">
        <f t="shared" si="34"/>
        <v>2.29</v>
      </c>
      <c r="AC51">
        <f t="shared" si="35"/>
        <v>1</v>
      </c>
      <c r="AD51" s="8" t="e">
        <f t="shared" si="22"/>
        <v>#NUM!</v>
      </c>
      <c r="AE51" s="4" t="e">
        <f t="shared" si="23"/>
        <v>#NUM!</v>
      </c>
      <c r="AF51" s="5" t="e">
        <f t="shared" si="24"/>
        <v>#NUM!</v>
      </c>
      <c r="AG51" s="4">
        <f t="shared" si="36"/>
        <v>225</v>
      </c>
      <c r="AH51" s="8" t="e">
        <f t="shared" si="37"/>
        <v>#NUM!</v>
      </c>
      <c r="AI51" s="10" t="e">
        <f t="shared" si="38"/>
        <v>#NUM!</v>
      </c>
    </row>
    <row r="52" spans="1:35" ht="12.75">
      <c r="A52" s="111"/>
      <c r="B52" s="114"/>
      <c r="D52">
        <f t="shared" si="39"/>
        <v>2.25</v>
      </c>
      <c r="E52" s="4">
        <f t="shared" si="25"/>
        <v>85.5</v>
      </c>
      <c r="F52" s="15">
        <f t="shared" si="40"/>
        <v>4.2</v>
      </c>
      <c r="G52" s="15">
        <f t="shared" si="26"/>
        <v>9.450000000000001</v>
      </c>
      <c r="I52" s="15">
        <f t="shared" si="41"/>
        <v>0</v>
      </c>
      <c r="J52" s="15">
        <f t="shared" si="27"/>
        <v>0</v>
      </c>
      <c r="K52" s="15"/>
      <c r="L52" s="15">
        <f t="shared" si="28"/>
        <v>4.2</v>
      </c>
      <c r="M52" s="15">
        <f t="shared" si="29"/>
        <v>9.450000000000001</v>
      </c>
      <c r="O52" s="117"/>
      <c r="Q52">
        <f t="shared" si="30"/>
        <v>5.19</v>
      </c>
      <c r="R52" s="4">
        <f t="shared" si="31"/>
        <v>82.19045426989052</v>
      </c>
      <c r="T52" s="4">
        <f t="shared" si="32"/>
        <v>12.386457473162675</v>
      </c>
      <c r="X52" s="3" t="e">
        <f t="shared" si="33"/>
        <v>#NUM!</v>
      </c>
      <c r="AA52" s="1">
        <f t="shared" si="21"/>
        <v>8.402873172704771E-06</v>
      </c>
      <c r="AB52">
        <f t="shared" si="34"/>
        <v>2.29</v>
      </c>
      <c r="AC52">
        <f t="shared" si="35"/>
        <v>1</v>
      </c>
      <c r="AD52" s="8" t="e">
        <f t="shared" si="22"/>
        <v>#NUM!</v>
      </c>
      <c r="AE52" s="4" t="e">
        <f t="shared" si="23"/>
        <v>#NUM!</v>
      </c>
      <c r="AF52" s="5" t="e">
        <f t="shared" si="24"/>
        <v>#NUM!</v>
      </c>
      <c r="AG52" s="4">
        <f t="shared" si="36"/>
        <v>225</v>
      </c>
      <c r="AH52" s="8" t="e">
        <f t="shared" si="37"/>
        <v>#NUM!</v>
      </c>
      <c r="AI52" s="10" t="e">
        <f t="shared" si="38"/>
        <v>#NUM!</v>
      </c>
    </row>
    <row r="53" spans="1:35" ht="12.75">
      <c r="A53" s="111"/>
      <c r="B53" s="114"/>
      <c r="D53">
        <f t="shared" si="39"/>
        <v>2.25</v>
      </c>
      <c r="E53" s="4">
        <f t="shared" si="25"/>
        <v>87.75</v>
      </c>
      <c r="F53" s="15">
        <f t="shared" si="40"/>
        <v>4.2</v>
      </c>
      <c r="G53" s="15">
        <f t="shared" si="26"/>
        <v>9.450000000000001</v>
      </c>
      <c r="I53" s="15">
        <f t="shared" si="41"/>
        <v>0</v>
      </c>
      <c r="J53" s="15">
        <f t="shared" si="27"/>
        <v>0</v>
      </c>
      <c r="K53" s="15"/>
      <c r="L53" s="15">
        <f t="shared" si="28"/>
        <v>4.2</v>
      </c>
      <c r="M53" s="15">
        <f t="shared" si="29"/>
        <v>9.450000000000001</v>
      </c>
      <c r="O53" s="117"/>
      <c r="Q53">
        <f t="shared" si="30"/>
        <v>5.19</v>
      </c>
      <c r="R53" s="4">
        <f t="shared" si="31"/>
        <v>82.33745426989053</v>
      </c>
      <c r="T53" s="4">
        <f t="shared" si="32"/>
        <v>12.386457473162675</v>
      </c>
      <c r="X53" s="3" t="e">
        <f t="shared" si="33"/>
        <v>#NUM!</v>
      </c>
      <c r="AA53" s="1">
        <f t="shared" si="21"/>
        <v>8.411614380704771E-06</v>
      </c>
      <c r="AB53">
        <f t="shared" si="34"/>
        <v>2.29</v>
      </c>
      <c r="AC53">
        <f t="shared" si="35"/>
        <v>1</v>
      </c>
      <c r="AD53" s="8" t="e">
        <f t="shared" si="22"/>
        <v>#NUM!</v>
      </c>
      <c r="AE53" s="4" t="e">
        <f t="shared" si="23"/>
        <v>#NUM!</v>
      </c>
      <c r="AF53" s="5" t="e">
        <f t="shared" si="24"/>
        <v>#NUM!</v>
      </c>
      <c r="AG53" s="4">
        <f t="shared" si="36"/>
        <v>225</v>
      </c>
      <c r="AH53" s="8" t="e">
        <f t="shared" si="37"/>
        <v>#NUM!</v>
      </c>
      <c r="AI53" s="10" t="e">
        <f t="shared" si="38"/>
        <v>#NUM!</v>
      </c>
    </row>
    <row r="54" spans="1:35" ht="12.75">
      <c r="A54" s="111"/>
      <c r="B54" s="114"/>
      <c r="D54">
        <f t="shared" si="39"/>
        <v>2.25</v>
      </c>
      <c r="E54" s="4">
        <f t="shared" si="25"/>
        <v>90</v>
      </c>
      <c r="F54" s="15">
        <f t="shared" si="40"/>
        <v>4.2</v>
      </c>
      <c r="G54" s="15">
        <f t="shared" si="26"/>
        <v>9.450000000000001</v>
      </c>
      <c r="I54" s="15">
        <f t="shared" si="41"/>
        <v>0</v>
      </c>
      <c r="J54" s="15">
        <f t="shared" si="27"/>
        <v>0</v>
      </c>
      <c r="K54" s="15"/>
      <c r="L54" s="15">
        <f t="shared" si="28"/>
        <v>4.2</v>
      </c>
      <c r="M54" s="15">
        <f t="shared" si="29"/>
        <v>9.450000000000001</v>
      </c>
      <c r="O54" s="117"/>
      <c r="Q54">
        <f t="shared" si="30"/>
        <v>5.19</v>
      </c>
      <c r="R54" s="4">
        <f t="shared" si="31"/>
        <v>82.48445426989053</v>
      </c>
      <c r="T54" s="4">
        <f t="shared" si="32"/>
        <v>12.386457473162675</v>
      </c>
      <c r="X54" s="3" t="e">
        <f t="shared" si="33"/>
        <v>#NUM!</v>
      </c>
      <c r="AA54" s="1">
        <f t="shared" si="21"/>
        <v>8.420355588704771E-06</v>
      </c>
      <c r="AB54">
        <f t="shared" si="34"/>
        <v>2.29</v>
      </c>
      <c r="AC54">
        <f t="shared" si="35"/>
        <v>1</v>
      </c>
      <c r="AD54" s="8" t="e">
        <f t="shared" si="22"/>
        <v>#NUM!</v>
      </c>
      <c r="AE54" s="4" t="e">
        <f t="shared" si="23"/>
        <v>#NUM!</v>
      </c>
      <c r="AF54" s="5" t="e">
        <f t="shared" si="24"/>
        <v>#NUM!</v>
      </c>
      <c r="AG54" s="4">
        <f t="shared" si="36"/>
        <v>225</v>
      </c>
      <c r="AH54" s="8" t="e">
        <f t="shared" si="37"/>
        <v>#NUM!</v>
      </c>
      <c r="AI54" s="10" t="e">
        <f t="shared" si="38"/>
        <v>#NUM!</v>
      </c>
    </row>
    <row r="55" spans="1:35" ht="12.75">
      <c r="A55" s="111"/>
      <c r="B55" s="114"/>
      <c r="D55">
        <f t="shared" si="39"/>
        <v>2.25</v>
      </c>
      <c r="E55" s="4">
        <f t="shared" si="25"/>
        <v>92.25</v>
      </c>
      <c r="F55" s="15">
        <f t="shared" si="40"/>
        <v>4.2</v>
      </c>
      <c r="G55" s="15">
        <f t="shared" si="26"/>
        <v>9.450000000000001</v>
      </c>
      <c r="I55" s="15">
        <f t="shared" si="41"/>
        <v>0</v>
      </c>
      <c r="J55" s="15">
        <f t="shared" si="27"/>
        <v>0</v>
      </c>
      <c r="K55" s="15"/>
      <c r="L55" s="15">
        <f t="shared" si="28"/>
        <v>4.2</v>
      </c>
      <c r="M55" s="15">
        <f t="shared" si="29"/>
        <v>9.450000000000001</v>
      </c>
      <c r="O55" s="117"/>
      <c r="Q55">
        <f t="shared" si="30"/>
        <v>5.19</v>
      </c>
      <c r="R55" s="4">
        <f t="shared" si="31"/>
        <v>82.63145426989054</v>
      </c>
      <c r="T55" s="4">
        <f t="shared" si="32"/>
        <v>12.386457473162675</v>
      </c>
      <c r="X55" s="3" t="e">
        <f t="shared" si="33"/>
        <v>#NUM!</v>
      </c>
      <c r="AA55" s="1">
        <f t="shared" si="21"/>
        <v>8.429096796704771E-06</v>
      </c>
      <c r="AB55">
        <f t="shared" si="34"/>
        <v>2.29</v>
      </c>
      <c r="AC55">
        <f t="shared" si="35"/>
        <v>1</v>
      </c>
      <c r="AD55" s="8" t="e">
        <f t="shared" si="22"/>
        <v>#NUM!</v>
      </c>
      <c r="AE55" s="4" t="e">
        <f t="shared" si="23"/>
        <v>#NUM!</v>
      </c>
      <c r="AF55" s="5" t="e">
        <f t="shared" si="24"/>
        <v>#NUM!</v>
      </c>
      <c r="AG55" s="4">
        <f t="shared" si="36"/>
        <v>225</v>
      </c>
      <c r="AH55" s="8" t="e">
        <f t="shared" si="37"/>
        <v>#NUM!</v>
      </c>
      <c r="AI55" s="10" t="e">
        <f t="shared" si="38"/>
        <v>#NUM!</v>
      </c>
    </row>
    <row r="56" spans="1:35" ht="12.75">
      <c r="A56" s="111"/>
      <c r="B56" s="114"/>
      <c r="D56">
        <f t="shared" si="39"/>
        <v>2.25</v>
      </c>
      <c r="E56" s="4">
        <f t="shared" si="25"/>
        <v>94.5</v>
      </c>
      <c r="F56" s="15">
        <f t="shared" si="40"/>
        <v>4.2</v>
      </c>
      <c r="G56" s="15">
        <f t="shared" si="26"/>
        <v>9.450000000000001</v>
      </c>
      <c r="I56" s="15">
        <f t="shared" si="41"/>
        <v>0</v>
      </c>
      <c r="J56" s="15">
        <f t="shared" si="27"/>
        <v>0</v>
      </c>
      <c r="K56" s="15"/>
      <c r="L56" s="15">
        <f t="shared" si="28"/>
        <v>4.2</v>
      </c>
      <c r="M56" s="15">
        <f t="shared" si="29"/>
        <v>9.450000000000001</v>
      </c>
      <c r="O56" s="117"/>
      <c r="Q56">
        <f t="shared" si="30"/>
        <v>5.19</v>
      </c>
      <c r="R56" s="4">
        <f t="shared" si="31"/>
        <v>82.77845426989055</v>
      </c>
      <c r="T56" s="4">
        <f t="shared" si="32"/>
        <v>12.386457473162675</v>
      </c>
      <c r="X56" s="3" t="e">
        <f t="shared" si="33"/>
        <v>#NUM!</v>
      </c>
      <c r="AA56" s="1">
        <f t="shared" si="21"/>
        <v>8.437838004704771E-06</v>
      </c>
      <c r="AB56">
        <f t="shared" si="34"/>
        <v>2.29</v>
      </c>
      <c r="AC56">
        <f t="shared" si="35"/>
        <v>1</v>
      </c>
      <c r="AD56" s="8" t="e">
        <f t="shared" si="22"/>
        <v>#NUM!</v>
      </c>
      <c r="AE56" s="4" t="e">
        <f t="shared" si="23"/>
        <v>#NUM!</v>
      </c>
      <c r="AF56" s="5" t="e">
        <f t="shared" si="24"/>
        <v>#NUM!</v>
      </c>
      <c r="AG56" s="4">
        <f t="shared" si="36"/>
        <v>225</v>
      </c>
      <c r="AH56" s="8" t="e">
        <f t="shared" si="37"/>
        <v>#NUM!</v>
      </c>
      <c r="AI56" s="10" t="e">
        <f t="shared" si="38"/>
        <v>#NUM!</v>
      </c>
    </row>
    <row r="57" spans="1:35" ht="12.75">
      <c r="A57" s="111"/>
      <c r="B57" s="114"/>
      <c r="D57">
        <f t="shared" si="39"/>
        <v>2.25</v>
      </c>
      <c r="E57" s="4">
        <f t="shared" si="25"/>
        <v>96.75</v>
      </c>
      <c r="F57" s="15">
        <f t="shared" si="40"/>
        <v>4.2</v>
      </c>
      <c r="G57" s="15">
        <f t="shared" si="26"/>
        <v>9.450000000000001</v>
      </c>
      <c r="I57" s="15">
        <f t="shared" si="41"/>
        <v>0</v>
      </c>
      <c r="J57" s="15">
        <f t="shared" si="27"/>
        <v>0</v>
      </c>
      <c r="K57" s="15"/>
      <c r="L57" s="15">
        <f t="shared" si="28"/>
        <v>4.2</v>
      </c>
      <c r="M57" s="15">
        <f t="shared" si="29"/>
        <v>9.450000000000001</v>
      </c>
      <c r="O57" s="117"/>
      <c r="Q57">
        <f t="shared" si="30"/>
        <v>5.19</v>
      </c>
      <c r="R57" s="4">
        <f t="shared" si="31"/>
        <v>82.92545426989055</v>
      </c>
      <c r="T57" s="4">
        <f t="shared" si="32"/>
        <v>12.386457473162675</v>
      </c>
      <c r="X57" s="3" t="e">
        <f t="shared" si="33"/>
        <v>#NUM!</v>
      </c>
      <c r="AA57" s="1">
        <f t="shared" si="21"/>
        <v>8.446579212704771E-06</v>
      </c>
      <c r="AB57">
        <f t="shared" si="34"/>
        <v>2.29</v>
      </c>
      <c r="AC57">
        <f t="shared" si="35"/>
        <v>1</v>
      </c>
      <c r="AD57" s="8" t="e">
        <f t="shared" si="22"/>
        <v>#NUM!</v>
      </c>
      <c r="AE57" s="4" t="e">
        <f t="shared" si="23"/>
        <v>#NUM!</v>
      </c>
      <c r="AF57" s="5" t="e">
        <f t="shared" si="24"/>
        <v>#NUM!</v>
      </c>
      <c r="AG57" s="4">
        <f t="shared" si="36"/>
        <v>225</v>
      </c>
      <c r="AH57" s="8" t="e">
        <f t="shared" si="37"/>
        <v>#NUM!</v>
      </c>
      <c r="AI57" s="10" t="e">
        <f t="shared" si="38"/>
        <v>#NUM!</v>
      </c>
    </row>
    <row r="58" spans="1:35" ht="12.75">
      <c r="A58" s="111"/>
      <c r="B58" s="114"/>
      <c r="D58">
        <f t="shared" si="39"/>
        <v>2.25</v>
      </c>
      <c r="E58" s="4">
        <f t="shared" si="25"/>
        <v>99</v>
      </c>
      <c r="F58" s="15">
        <f t="shared" si="40"/>
        <v>4.2</v>
      </c>
      <c r="G58" s="15">
        <f t="shared" si="26"/>
        <v>9.450000000000001</v>
      </c>
      <c r="I58" s="15">
        <f t="shared" si="41"/>
        <v>0</v>
      </c>
      <c r="J58" s="15">
        <f t="shared" si="27"/>
        <v>0</v>
      </c>
      <c r="K58" s="15"/>
      <c r="L58" s="15">
        <f t="shared" si="28"/>
        <v>4.2</v>
      </c>
      <c r="M58" s="15">
        <f t="shared" si="29"/>
        <v>9.450000000000001</v>
      </c>
      <c r="O58" s="117"/>
      <c r="Q58">
        <f t="shared" si="30"/>
        <v>5.19</v>
      </c>
      <c r="R58" s="4">
        <f t="shared" si="31"/>
        <v>83.07245426989056</v>
      </c>
      <c r="T58" s="4">
        <f t="shared" si="32"/>
        <v>12.386457473162675</v>
      </c>
      <c r="X58" s="3" t="e">
        <f t="shared" si="33"/>
        <v>#NUM!</v>
      </c>
      <c r="AA58" s="1">
        <f t="shared" si="21"/>
        <v>8.455320420704773E-06</v>
      </c>
      <c r="AB58">
        <f t="shared" si="34"/>
        <v>2.29</v>
      </c>
      <c r="AC58">
        <f t="shared" si="35"/>
        <v>1</v>
      </c>
      <c r="AD58" s="8" t="e">
        <f t="shared" si="22"/>
        <v>#NUM!</v>
      </c>
      <c r="AE58" s="4" t="e">
        <f t="shared" si="23"/>
        <v>#NUM!</v>
      </c>
      <c r="AF58" s="5" t="e">
        <f t="shared" si="24"/>
        <v>#NUM!</v>
      </c>
      <c r="AG58" s="4">
        <f t="shared" si="36"/>
        <v>225</v>
      </c>
      <c r="AH58" s="8" t="e">
        <f t="shared" si="37"/>
        <v>#NUM!</v>
      </c>
      <c r="AI58" s="10" t="e">
        <f t="shared" si="38"/>
        <v>#NUM!</v>
      </c>
    </row>
    <row r="59" spans="1:35" ht="13.5" thickBot="1">
      <c r="A59" s="112"/>
      <c r="B59" s="115"/>
      <c r="D59">
        <f t="shared" si="39"/>
        <v>2.25</v>
      </c>
      <c r="E59" s="4">
        <f t="shared" si="25"/>
        <v>101.25</v>
      </c>
      <c r="F59" s="15">
        <f t="shared" si="40"/>
        <v>4.2</v>
      </c>
      <c r="G59" s="15">
        <f t="shared" si="26"/>
        <v>9.450000000000001</v>
      </c>
      <c r="I59" s="15">
        <f t="shared" si="41"/>
        <v>0</v>
      </c>
      <c r="J59" s="15">
        <f t="shared" si="27"/>
        <v>0</v>
      </c>
      <c r="K59" s="15"/>
      <c r="L59" s="15">
        <f t="shared" si="28"/>
        <v>4.2</v>
      </c>
      <c r="M59" s="15">
        <f t="shared" si="29"/>
        <v>9.450000000000001</v>
      </c>
      <c r="O59" s="118"/>
      <c r="Q59">
        <f t="shared" si="30"/>
        <v>5.19</v>
      </c>
      <c r="R59" s="4">
        <f t="shared" si="31"/>
        <v>83.21945426989056</v>
      </c>
      <c r="T59" s="4">
        <f t="shared" si="32"/>
        <v>12.386457473162675</v>
      </c>
      <c r="X59" s="3" t="e">
        <f t="shared" si="33"/>
        <v>#NUM!</v>
      </c>
      <c r="AA59" s="1">
        <f t="shared" si="21"/>
        <v>8.464061628704773E-06</v>
      </c>
      <c r="AB59">
        <f t="shared" si="34"/>
        <v>2.29</v>
      </c>
      <c r="AC59">
        <f t="shared" si="35"/>
        <v>1</v>
      </c>
      <c r="AD59" s="8" t="e">
        <f t="shared" si="22"/>
        <v>#NUM!</v>
      </c>
      <c r="AE59" s="4" t="e">
        <f t="shared" si="23"/>
        <v>#NUM!</v>
      </c>
      <c r="AF59" s="5" t="e">
        <f t="shared" si="24"/>
        <v>#NUM!</v>
      </c>
      <c r="AG59" s="4">
        <f t="shared" si="36"/>
        <v>225</v>
      </c>
      <c r="AH59" s="8" t="e">
        <f t="shared" si="37"/>
        <v>#NUM!</v>
      </c>
      <c r="AI59" s="10" t="e">
        <f t="shared" si="38"/>
        <v>#NUM!</v>
      </c>
    </row>
    <row r="60" spans="1:35" ht="12.75">
      <c r="A60" s="119" t="s">
        <v>45</v>
      </c>
      <c r="B60" s="113">
        <f>O60</f>
        <v>141.75</v>
      </c>
      <c r="D60">
        <f t="shared" si="39"/>
        <v>2.25</v>
      </c>
      <c r="E60" s="4">
        <f t="shared" si="25"/>
        <v>103.5</v>
      </c>
      <c r="F60" s="15">
        <f t="shared" si="40"/>
        <v>4.2</v>
      </c>
      <c r="G60" s="15">
        <f t="shared" si="26"/>
        <v>9.450000000000001</v>
      </c>
      <c r="I60" s="15">
        <f t="shared" si="41"/>
        <v>0</v>
      </c>
      <c r="J60" s="15">
        <f t="shared" si="27"/>
        <v>0</v>
      </c>
      <c r="K60" s="15"/>
      <c r="L60" s="15">
        <f t="shared" si="28"/>
        <v>4.2</v>
      </c>
      <c r="M60" s="15">
        <f t="shared" si="29"/>
        <v>9.450000000000001</v>
      </c>
      <c r="O60" s="116">
        <f>SUM(M60:M74)</f>
        <v>141.75</v>
      </c>
      <c r="Q60">
        <f t="shared" si="30"/>
        <v>5.19</v>
      </c>
      <c r="R60" s="4">
        <f t="shared" si="31"/>
        <v>83.36645426989057</v>
      </c>
      <c r="T60" s="4">
        <f t="shared" si="32"/>
        <v>12.386457473162675</v>
      </c>
      <c r="X60" s="3" t="e">
        <f t="shared" si="33"/>
        <v>#NUM!</v>
      </c>
      <c r="AA60" s="1">
        <f t="shared" si="21"/>
        <v>8.472802836704773E-06</v>
      </c>
      <c r="AB60">
        <f t="shared" si="34"/>
        <v>2.29</v>
      </c>
      <c r="AC60">
        <f t="shared" si="35"/>
        <v>1</v>
      </c>
      <c r="AD60" s="8" t="e">
        <f t="shared" si="22"/>
        <v>#NUM!</v>
      </c>
      <c r="AE60" s="4" t="e">
        <f t="shared" si="23"/>
        <v>#NUM!</v>
      </c>
      <c r="AF60" s="5" t="e">
        <f t="shared" si="24"/>
        <v>#NUM!</v>
      </c>
      <c r="AG60" s="4">
        <f t="shared" si="36"/>
        <v>225</v>
      </c>
      <c r="AH60" s="8" t="e">
        <f t="shared" si="37"/>
        <v>#NUM!</v>
      </c>
      <c r="AI60" s="10" t="e">
        <f t="shared" si="38"/>
        <v>#NUM!</v>
      </c>
    </row>
    <row r="61" spans="1:35" ht="12.75">
      <c r="A61" s="120"/>
      <c r="B61" s="114"/>
      <c r="D61">
        <f t="shared" si="39"/>
        <v>2.25</v>
      </c>
      <c r="E61" s="4">
        <f t="shared" si="25"/>
        <v>105.75</v>
      </c>
      <c r="F61" s="15">
        <f t="shared" si="40"/>
        <v>4.2</v>
      </c>
      <c r="G61" s="15">
        <f t="shared" si="26"/>
        <v>9.450000000000001</v>
      </c>
      <c r="I61" s="15">
        <f t="shared" si="41"/>
        <v>0</v>
      </c>
      <c r="J61" s="15">
        <f t="shared" si="27"/>
        <v>0</v>
      </c>
      <c r="K61" s="15"/>
      <c r="L61" s="15">
        <f t="shared" si="28"/>
        <v>4.2</v>
      </c>
      <c r="M61" s="15">
        <f t="shared" si="29"/>
        <v>9.450000000000001</v>
      </c>
      <c r="O61" s="117"/>
      <c r="Q61">
        <f t="shared" si="30"/>
        <v>5.19</v>
      </c>
      <c r="R61" s="4">
        <f t="shared" si="31"/>
        <v>83.51345426989057</v>
      </c>
      <c r="T61" s="4">
        <f t="shared" si="32"/>
        <v>12.386457473162675</v>
      </c>
      <c r="X61" s="3" t="e">
        <f t="shared" si="33"/>
        <v>#NUM!</v>
      </c>
      <c r="AA61" s="1">
        <f t="shared" si="21"/>
        <v>8.481544044704773E-06</v>
      </c>
      <c r="AB61">
        <f t="shared" si="34"/>
        <v>2.29</v>
      </c>
      <c r="AC61">
        <f t="shared" si="35"/>
        <v>1</v>
      </c>
      <c r="AD61" s="8" t="e">
        <f t="shared" si="22"/>
        <v>#NUM!</v>
      </c>
      <c r="AE61" s="4" t="e">
        <f t="shared" si="23"/>
        <v>#NUM!</v>
      </c>
      <c r="AF61" s="5" t="e">
        <f t="shared" si="24"/>
        <v>#NUM!</v>
      </c>
      <c r="AG61" s="4">
        <f t="shared" si="36"/>
        <v>225</v>
      </c>
      <c r="AH61" s="8" t="e">
        <f t="shared" si="37"/>
        <v>#NUM!</v>
      </c>
      <c r="AI61" s="10" t="e">
        <f t="shared" si="38"/>
        <v>#NUM!</v>
      </c>
    </row>
    <row r="62" spans="1:35" ht="12.75">
      <c r="A62" s="120"/>
      <c r="B62" s="114"/>
      <c r="D62">
        <f t="shared" si="39"/>
        <v>2.25</v>
      </c>
      <c r="E62" s="4">
        <f t="shared" si="25"/>
        <v>108</v>
      </c>
      <c r="F62" s="15">
        <f t="shared" si="40"/>
        <v>4.2</v>
      </c>
      <c r="G62" s="15">
        <f t="shared" si="26"/>
        <v>9.450000000000001</v>
      </c>
      <c r="I62" s="15">
        <f t="shared" si="41"/>
        <v>0</v>
      </c>
      <c r="J62" s="15">
        <f t="shared" si="27"/>
        <v>0</v>
      </c>
      <c r="K62" s="15"/>
      <c r="L62" s="15">
        <f t="shared" si="28"/>
        <v>4.2</v>
      </c>
      <c r="M62" s="15">
        <f t="shared" si="29"/>
        <v>9.450000000000001</v>
      </c>
      <c r="O62" s="117"/>
      <c r="Q62">
        <f t="shared" si="30"/>
        <v>5.19</v>
      </c>
      <c r="R62" s="4">
        <f t="shared" si="31"/>
        <v>83.66045426989058</v>
      </c>
      <c r="T62" s="4">
        <f t="shared" si="32"/>
        <v>12.386457473162675</v>
      </c>
      <c r="X62" s="3" t="e">
        <f t="shared" si="33"/>
        <v>#NUM!</v>
      </c>
      <c r="AA62" s="1">
        <f t="shared" si="21"/>
        <v>8.490285252704773E-06</v>
      </c>
      <c r="AB62">
        <f t="shared" si="34"/>
        <v>2.29</v>
      </c>
      <c r="AC62">
        <f t="shared" si="35"/>
        <v>1</v>
      </c>
      <c r="AD62" s="8" t="e">
        <f t="shared" si="22"/>
        <v>#NUM!</v>
      </c>
      <c r="AE62" s="4" t="e">
        <f t="shared" si="23"/>
        <v>#NUM!</v>
      </c>
      <c r="AF62" s="5" t="e">
        <f t="shared" si="24"/>
        <v>#NUM!</v>
      </c>
      <c r="AG62" s="4">
        <f t="shared" si="36"/>
        <v>225</v>
      </c>
      <c r="AH62" s="8" t="e">
        <f t="shared" si="37"/>
        <v>#NUM!</v>
      </c>
      <c r="AI62" s="10" t="e">
        <f t="shared" si="38"/>
        <v>#NUM!</v>
      </c>
    </row>
    <row r="63" spans="1:35" ht="12.75">
      <c r="A63" s="120"/>
      <c r="B63" s="114"/>
      <c r="D63">
        <f t="shared" si="39"/>
        <v>2.25</v>
      </c>
      <c r="E63" s="4">
        <f t="shared" si="25"/>
        <v>110.25</v>
      </c>
      <c r="F63" s="15">
        <f t="shared" si="40"/>
        <v>4.2</v>
      </c>
      <c r="G63" s="15">
        <f t="shared" si="26"/>
        <v>9.450000000000001</v>
      </c>
      <c r="I63" s="15">
        <f t="shared" si="41"/>
        <v>0</v>
      </c>
      <c r="J63" s="15">
        <f t="shared" si="27"/>
        <v>0</v>
      </c>
      <c r="K63" s="15"/>
      <c r="L63" s="15">
        <f t="shared" si="28"/>
        <v>4.2</v>
      </c>
      <c r="M63" s="15">
        <f t="shared" si="29"/>
        <v>9.450000000000001</v>
      </c>
      <c r="O63" s="117"/>
      <c r="Q63">
        <f t="shared" si="30"/>
        <v>5.19</v>
      </c>
      <c r="R63" s="4">
        <f t="shared" si="31"/>
        <v>83.80745426989058</v>
      </c>
      <c r="T63" s="4">
        <f t="shared" si="32"/>
        <v>12.386457473162675</v>
      </c>
      <c r="X63" s="3" t="e">
        <f t="shared" si="33"/>
        <v>#NUM!</v>
      </c>
      <c r="AA63" s="1">
        <f t="shared" si="21"/>
        <v>8.499026460704775E-06</v>
      </c>
      <c r="AB63">
        <f t="shared" si="34"/>
        <v>2.29</v>
      </c>
      <c r="AC63">
        <f t="shared" si="35"/>
        <v>1</v>
      </c>
      <c r="AD63" s="8" t="e">
        <f t="shared" si="22"/>
        <v>#NUM!</v>
      </c>
      <c r="AE63" s="4" t="e">
        <f t="shared" si="23"/>
        <v>#NUM!</v>
      </c>
      <c r="AF63" s="5" t="e">
        <f t="shared" si="24"/>
        <v>#NUM!</v>
      </c>
      <c r="AG63" s="4">
        <f t="shared" si="36"/>
        <v>225</v>
      </c>
      <c r="AH63" s="8" t="e">
        <f t="shared" si="37"/>
        <v>#NUM!</v>
      </c>
      <c r="AI63" s="10" t="e">
        <f t="shared" si="38"/>
        <v>#NUM!</v>
      </c>
    </row>
    <row r="64" spans="1:35" ht="12.75">
      <c r="A64" s="120"/>
      <c r="B64" s="114"/>
      <c r="D64">
        <f t="shared" si="39"/>
        <v>2.25</v>
      </c>
      <c r="E64" s="4">
        <f t="shared" si="25"/>
        <v>112.5</v>
      </c>
      <c r="F64" s="15">
        <f t="shared" si="40"/>
        <v>4.2</v>
      </c>
      <c r="G64" s="15">
        <f t="shared" si="26"/>
        <v>9.450000000000001</v>
      </c>
      <c r="I64" s="15">
        <f t="shared" si="41"/>
        <v>0</v>
      </c>
      <c r="J64" s="15">
        <f t="shared" si="27"/>
        <v>0</v>
      </c>
      <c r="K64" s="15"/>
      <c r="L64" s="15">
        <f t="shared" si="28"/>
        <v>4.2</v>
      </c>
      <c r="M64" s="15">
        <f t="shared" si="29"/>
        <v>9.450000000000001</v>
      </c>
      <c r="O64" s="117"/>
      <c r="Q64">
        <f t="shared" si="30"/>
        <v>5.19</v>
      </c>
      <c r="R64" s="4">
        <f t="shared" si="31"/>
        <v>83.95445426989059</v>
      </c>
      <c r="T64" s="4">
        <f t="shared" si="32"/>
        <v>12.386457473162675</v>
      </c>
      <c r="X64" s="3" t="e">
        <f t="shared" si="33"/>
        <v>#NUM!</v>
      </c>
      <c r="AA64" s="1">
        <f t="shared" si="21"/>
        <v>8.507767668704775E-06</v>
      </c>
      <c r="AB64">
        <f t="shared" si="34"/>
        <v>2.29</v>
      </c>
      <c r="AC64">
        <f t="shared" si="35"/>
        <v>1</v>
      </c>
      <c r="AD64" s="8" t="e">
        <f t="shared" si="22"/>
        <v>#NUM!</v>
      </c>
      <c r="AE64" s="4" t="e">
        <f t="shared" si="23"/>
        <v>#NUM!</v>
      </c>
      <c r="AF64" s="5" t="e">
        <f t="shared" si="24"/>
        <v>#NUM!</v>
      </c>
      <c r="AG64" s="4">
        <f t="shared" si="36"/>
        <v>225</v>
      </c>
      <c r="AH64" s="8" t="e">
        <f t="shared" si="37"/>
        <v>#NUM!</v>
      </c>
      <c r="AI64" s="10" t="e">
        <f t="shared" si="38"/>
        <v>#NUM!</v>
      </c>
    </row>
    <row r="65" spans="1:35" ht="12.75">
      <c r="A65" s="120"/>
      <c r="B65" s="114"/>
      <c r="D65">
        <f t="shared" si="39"/>
        <v>2.25</v>
      </c>
      <c r="E65" s="4">
        <f t="shared" si="25"/>
        <v>114.75</v>
      </c>
      <c r="F65" s="15">
        <f t="shared" si="40"/>
        <v>4.2</v>
      </c>
      <c r="G65" s="15">
        <f t="shared" si="26"/>
        <v>9.450000000000001</v>
      </c>
      <c r="I65" s="15">
        <f t="shared" si="41"/>
        <v>0</v>
      </c>
      <c r="J65" s="15">
        <f t="shared" si="27"/>
        <v>0</v>
      </c>
      <c r="K65" s="15"/>
      <c r="L65" s="15">
        <f t="shared" si="28"/>
        <v>4.2</v>
      </c>
      <c r="M65" s="15">
        <f t="shared" si="29"/>
        <v>9.450000000000001</v>
      </c>
      <c r="O65" s="117"/>
      <c r="Q65">
        <f t="shared" si="30"/>
        <v>5.19</v>
      </c>
      <c r="R65" s="4">
        <f t="shared" si="31"/>
        <v>84.1014542698906</v>
      </c>
      <c r="T65" s="4">
        <f t="shared" si="32"/>
        <v>12.386457473162675</v>
      </c>
      <c r="X65" s="3" t="e">
        <f t="shared" si="33"/>
        <v>#NUM!</v>
      </c>
      <c r="AA65" s="1">
        <f t="shared" si="21"/>
        <v>8.516508876704775E-06</v>
      </c>
      <c r="AB65">
        <f t="shared" si="34"/>
        <v>2.29</v>
      </c>
      <c r="AC65">
        <f t="shared" si="35"/>
        <v>1</v>
      </c>
      <c r="AD65" s="8" t="e">
        <f t="shared" si="22"/>
        <v>#NUM!</v>
      </c>
      <c r="AE65" s="4" t="e">
        <f t="shared" si="23"/>
        <v>#NUM!</v>
      </c>
      <c r="AF65" s="5" t="e">
        <f t="shared" si="24"/>
        <v>#NUM!</v>
      </c>
      <c r="AG65" s="4">
        <f t="shared" si="36"/>
        <v>225</v>
      </c>
      <c r="AH65" s="8" t="e">
        <f t="shared" si="37"/>
        <v>#NUM!</v>
      </c>
      <c r="AI65" s="10" t="e">
        <f t="shared" si="38"/>
        <v>#NUM!</v>
      </c>
    </row>
    <row r="66" spans="1:35" ht="12.75">
      <c r="A66" s="120"/>
      <c r="B66" s="114"/>
      <c r="D66">
        <f t="shared" si="39"/>
        <v>2.25</v>
      </c>
      <c r="E66" s="4">
        <f t="shared" si="25"/>
        <v>117</v>
      </c>
      <c r="F66" s="15">
        <f t="shared" si="40"/>
        <v>4.2</v>
      </c>
      <c r="G66" s="15">
        <f t="shared" si="26"/>
        <v>9.450000000000001</v>
      </c>
      <c r="I66" s="15">
        <f t="shared" si="41"/>
        <v>0</v>
      </c>
      <c r="J66" s="15">
        <f t="shared" si="27"/>
        <v>0</v>
      </c>
      <c r="K66" s="15"/>
      <c r="L66" s="15">
        <f t="shared" si="28"/>
        <v>4.2</v>
      </c>
      <c r="M66" s="15">
        <f t="shared" si="29"/>
        <v>9.450000000000001</v>
      </c>
      <c r="O66" s="117"/>
      <c r="Q66">
        <f t="shared" si="30"/>
        <v>5.19</v>
      </c>
      <c r="R66" s="4">
        <f t="shared" si="31"/>
        <v>84.2484542698906</v>
      </c>
      <c r="T66" s="4">
        <f t="shared" si="32"/>
        <v>12.386457473162675</v>
      </c>
      <c r="X66" s="3" t="e">
        <f t="shared" si="33"/>
        <v>#NUM!</v>
      </c>
      <c r="AA66" s="1">
        <f t="shared" si="21"/>
        <v>8.525250084704775E-06</v>
      </c>
      <c r="AB66">
        <f t="shared" si="34"/>
        <v>2.29</v>
      </c>
      <c r="AC66">
        <f t="shared" si="35"/>
        <v>1</v>
      </c>
      <c r="AD66" s="8" t="e">
        <f t="shared" si="22"/>
        <v>#NUM!</v>
      </c>
      <c r="AE66" s="4" t="e">
        <f t="shared" si="23"/>
        <v>#NUM!</v>
      </c>
      <c r="AF66" s="5" t="e">
        <f t="shared" si="24"/>
        <v>#NUM!</v>
      </c>
      <c r="AG66" s="4">
        <f t="shared" si="36"/>
        <v>225</v>
      </c>
      <c r="AH66" s="8" t="e">
        <f t="shared" si="37"/>
        <v>#NUM!</v>
      </c>
      <c r="AI66" s="10" t="e">
        <f t="shared" si="38"/>
        <v>#NUM!</v>
      </c>
    </row>
    <row r="67" spans="1:35" ht="12.75">
      <c r="A67" s="120"/>
      <c r="B67" s="114"/>
      <c r="D67">
        <f t="shared" si="39"/>
        <v>2.25</v>
      </c>
      <c r="E67" s="4">
        <f t="shared" si="25"/>
        <v>119.25</v>
      </c>
      <c r="F67" s="15">
        <f t="shared" si="40"/>
        <v>4.2</v>
      </c>
      <c r="G67" s="15">
        <f t="shared" si="26"/>
        <v>9.450000000000001</v>
      </c>
      <c r="I67" s="15">
        <f t="shared" si="41"/>
        <v>0</v>
      </c>
      <c r="J67" s="15">
        <f t="shared" si="27"/>
        <v>0</v>
      </c>
      <c r="K67" s="15"/>
      <c r="L67" s="15">
        <f t="shared" si="28"/>
        <v>4.2</v>
      </c>
      <c r="M67" s="15">
        <f t="shared" si="29"/>
        <v>9.450000000000001</v>
      </c>
      <c r="O67" s="117"/>
      <c r="Q67">
        <f t="shared" si="30"/>
        <v>5.19</v>
      </c>
      <c r="R67" s="4">
        <f t="shared" si="31"/>
        <v>84.3954542698906</v>
      </c>
      <c r="T67" s="4">
        <f t="shared" si="32"/>
        <v>12.386457473162675</v>
      </c>
      <c r="X67" s="3" t="e">
        <f t="shared" si="33"/>
        <v>#NUM!</v>
      </c>
      <c r="AA67" s="1">
        <f t="shared" si="21"/>
        <v>8.533991292704775E-06</v>
      </c>
      <c r="AB67">
        <f t="shared" si="34"/>
        <v>2.29</v>
      </c>
      <c r="AC67">
        <f t="shared" si="35"/>
        <v>1</v>
      </c>
      <c r="AD67" s="8" t="e">
        <f t="shared" si="22"/>
        <v>#NUM!</v>
      </c>
      <c r="AE67" s="4" t="e">
        <f t="shared" si="23"/>
        <v>#NUM!</v>
      </c>
      <c r="AF67" s="5" t="e">
        <f t="shared" si="24"/>
        <v>#NUM!</v>
      </c>
      <c r="AG67" s="4">
        <f t="shared" si="36"/>
        <v>225</v>
      </c>
      <c r="AH67" s="8" t="e">
        <f t="shared" si="37"/>
        <v>#NUM!</v>
      </c>
      <c r="AI67" s="10" t="e">
        <f t="shared" si="38"/>
        <v>#NUM!</v>
      </c>
    </row>
    <row r="68" spans="1:35" ht="12.75">
      <c r="A68" s="120"/>
      <c r="B68" s="114"/>
      <c r="D68">
        <f t="shared" si="39"/>
        <v>2.25</v>
      </c>
      <c r="E68" s="4">
        <f t="shared" si="25"/>
        <v>121.5</v>
      </c>
      <c r="F68" s="15">
        <f t="shared" si="40"/>
        <v>4.2</v>
      </c>
      <c r="G68" s="15">
        <f t="shared" si="26"/>
        <v>9.450000000000001</v>
      </c>
      <c r="I68" s="15">
        <f t="shared" si="41"/>
        <v>0</v>
      </c>
      <c r="J68" s="15">
        <f t="shared" si="27"/>
        <v>0</v>
      </c>
      <c r="K68" s="15"/>
      <c r="L68" s="15">
        <f t="shared" si="28"/>
        <v>4.2</v>
      </c>
      <c r="M68" s="15">
        <f t="shared" si="29"/>
        <v>9.450000000000001</v>
      </c>
      <c r="O68" s="117"/>
      <c r="Q68">
        <f t="shared" si="30"/>
        <v>5.19</v>
      </c>
      <c r="R68" s="4">
        <f t="shared" si="31"/>
        <v>84.54245426989061</v>
      </c>
      <c r="T68" s="4">
        <f t="shared" si="32"/>
        <v>12.386457473162675</v>
      </c>
      <c r="X68" s="3" t="e">
        <f t="shared" si="33"/>
        <v>#NUM!</v>
      </c>
      <c r="AA68" s="1">
        <f t="shared" si="21"/>
        <v>8.542732500704776E-06</v>
      </c>
      <c r="AB68">
        <f t="shared" si="34"/>
        <v>2.29</v>
      </c>
      <c r="AC68">
        <f t="shared" si="35"/>
        <v>1</v>
      </c>
      <c r="AD68" s="8" t="e">
        <f t="shared" si="22"/>
        <v>#NUM!</v>
      </c>
      <c r="AE68" s="4" t="e">
        <f t="shared" si="23"/>
        <v>#NUM!</v>
      </c>
      <c r="AF68" s="5" t="e">
        <f t="shared" si="24"/>
        <v>#NUM!</v>
      </c>
      <c r="AG68" s="4">
        <f t="shared" si="36"/>
        <v>225</v>
      </c>
      <c r="AH68" s="8" t="e">
        <f t="shared" si="37"/>
        <v>#NUM!</v>
      </c>
      <c r="AI68" s="10" t="e">
        <f t="shared" si="38"/>
        <v>#NUM!</v>
      </c>
    </row>
    <row r="69" spans="1:35" ht="12.75">
      <c r="A69" s="120"/>
      <c r="B69" s="114"/>
      <c r="D69">
        <f t="shared" si="39"/>
        <v>2.25</v>
      </c>
      <c r="E69" s="4">
        <f t="shared" si="25"/>
        <v>123.75</v>
      </c>
      <c r="F69" s="15">
        <f t="shared" si="40"/>
        <v>4.2</v>
      </c>
      <c r="G69" s="15">
        <f t="shared" si="26"/>
        <v>9.450000000000001</v>
      </c>
      <c r="I69" s="15">
        <f t="shared" si="41"/>
        <v>0</v>
      </c>
      <c r="J69" s="15">
        <f t="shared" si="27"/>
        <v>0</v>
      </c>
      <c r="K69" s="15"/>
      <c r="L69" s="15">
        <f t="shared" si="28"/>
        <v>4.2</v>
      </c>
      <c r="M69" s="15">
        <f t="shared" si="29"/>
        <v>9.450000000000001</v>
      </c>
      <c r="O69" s="117"/>
      <c r="Q69">
        <f t="shared" si="30"/>
        <v>5.19</v>
      </c>
      <c r="R69" s="4">
        <f t="shared" si="31"/>
        <v>84.68945426989062</v>
      </c>
      <c r="T69" s="4">
        <f t="shared" si="32"/>
        <v>12.386457473162675</v>
      </c>
      <c r="X69" s="3" t="e">
        <f t="shared" si="33"/>
        <v>#NUM!</v>
      </c>
      <c r="AA69" s="1">
        <f t="shared" si="21"/>
        <v>8.551473708704776E-06</v>
      </c>
      <c r="AB69">
        <f t="shared" si="34"/>
        <v>2.29</v>
      </c>
      <c r="AC69">
        <f t="shared" si="35"/>
        <v>1</v>
      </c>
      <c r="AD69" s="8" t="e">
        <f t="shared" si="22"/>
        <v>#NUM!</v>
      </c>
      <c r="AE69" s="4" t="e">
        <f t="shared" si="23"/>
        <v>#NUM!</v>
      </c>
      <c r="AF69" s="5" t="e">
        <f t="shared" si="24"/>
        <v>#NUM!</v>
      </c>
      <c r="AG69" s="4">
        <f t="shared" si="36"/>
        <v>225</v>
      </c>
      <c r="AH69" s="8" t="e">
        <f t="shared" si="37"/>
        <v>#NUM!</v>
      </c>
      <c r="AI69" s="10" t="e">
        <f t="shared" si="38"/>
        <v>#NUM!</v>
      </c>
    </row>
    <row r="70" spans="1:35" ht="12.75">
      <c r="A70" s="120"/>
      <c r="B70" s="114"/>
      <c r="D70">
        <f t="shared" si="39"/>
        <v>2.25</v>
      </c>
      <c r="E70" s="4">
        <f t="shared" si="25"/>
        <v>126</v>
      </c>
      <c r="F70" s="15">
        <f t="shared" si="40"/>
        <v>4.2</v>
      </c>
      <c r="G70" s="15">
        <f t="shared" si="26"/>
        <v>9.450000000000001</v>
      </c>
      <c r="I70" s="15">
        <f t="shared" si="41"/>
        <v>0</v>
      </c>
      <c r="J70" s="15">
        <f t="shared" si="27"/>
        <v>0</v>
      </c>
      <c r="K70" s="15"/>
      <c r="L70" s="15">
        <f t="shared" si="28"/>
        <v>4.2</v>
      </c>
      <c r="M70" s="15">
        <f t="shared" si="29"/>
        <v>9.450000000000001</v>
      </c>
      <c r="O70" s="117"/>
      <c r="Q70">
        <f t="shared" si="30"/>
        <v>5.19</v>
      </c>
      <c r="R70" s="4">
        <f t="shared" si="31"/>
        <v>84.83645426989062</v>
      </c>
      <c r="T70" s="4">
        <f t="shared" si="32"/>
        <v>12.386457473162675</v>
      </c>
      <c r="X70" s="3" t="e">
        <f t="shared" si="33"/>
        <v>#NUM!</v>
      </c>
      <c r="AA70" s="1">
        <f t="shared" si="21"/>
        <v>8.560214916704776E-06</v>
      </c>
      <c r="AB70">
        <f t="shared" si="34"/>
        <v>2.29</v>
      </c>
      <c r="AC70">
        <f t="shared" si="35"/>
        <v>1</v>
      </c>
      <c r="AD70" s="8" t="e">
        <f t="shared" si="22"/>
        <v>#NUM!</v>
      </c>
      <c r="AE70" s="4" t="e">
        <f t="shared" si="23"/>
        <v>#NUM!</v>
      </c>
      <c r="AF70" s="5" t="e">
        <f t="shared" si="24"/>
        <v>#NUM!</v>
      </c>
      <c r="AG70" s="4">
        <f t="shared" si="36"/>
        <v>225</v>
      </c>
      <c r="AH70" s="8" t="e">
        <f t="shared" si="37"/>
        <v>#NUM!</v>
      </c>
      <c r="AI70" s="10" t="e">
        <f t="shared" si="38"/>
        <v>#NUM!</v>
      </c>
    </row>
    <row r="71" spans="1:35" ht="12.75">
      <c r="A71" s="120"/>
      <c r="B71" s="114"/>
      <c r="D71">
        <f t="shared" si="39"/>
        <v>2.25</v>
      </c>
      <c r="E71" s="4">
        <f t="shared" si="25"/>
        <v>128.25</v>
      </c>
      <c r="F71" s="15">
        <f t="shared" si="40"/>
        <v>4.2</v>
      </c>
      <c r="G71" s="15">
        <f t="shared" si="26"/>
        <v>9.450000000000001</v>
      </c>
      <c r="I71" s="15">
        <f t="shared" si="41"/>
        <v>0</v>
      </c>
      <c r="J71" s="15">
        <f t="shared" si="27"/>
        <v>0</v>
      </c>
      <c r="K71" s="15"/>
      <c r="L71" s="15">
        <f t="shared" si="28"/>
        <v>4.2</v>
      </c>
      <c r="M71" s="15">
        <f t="shared" si="29"/>
        <v>9.450000000000001</v>
      </c>
      <c r="O71" s="117"/>
      <c r="Q71">
        <f t="shared" si="30"/>
        <v>5.19</v>
      </c>
      <c r="R71" s="4">
        <f t="shared" si="31"/>
        <v>84.98345426989063</v>
      </c>
      <c r="T71" s="4">
        <f t="shared" si="32"/>
        <v>12.386457473162675</v>
      </c>
      <c r="X71" s="3" t="e">
        <f t="shared" si="33"/>
        <v>#NUM!</v>
      </c>
      <c r="AA71" s="1">
        <f t="shared" si="21"/>
        <v>8.568956124704776E-06</v>
      </c>
      <c r="AB71">
        <f t="shared" si="34"/>
        <v>2.29</v>
      </c>
      <c r="AC71">
        <f t="shared" si="35"/>
        <v>1</v>
      </c>
      <c r="AD71" s="8" t="e">
        <f t="shared" si="22"/>
        <v>#NUM!</v>
      </c>
      <c r="AE71" s="4" t="e">
        <f t="shared" si="23"/>
        <v>#NUM!</v>
      </c>
      <c r="AF71" s="5" t="e">
        <f t="shared" si="24"/>
        <v>#NUM!</v>
      </c>
      <c r="AG71" s="4">
        <f t="shared" si="36"/>
        <v>225</v>
      </c>
      <c r="AH71" s="8" t="e">
        <f t="shared" si="37"/>
        <v>#NUM!</v>
      </c>
      <c r="AI71" s="10" t="e">
        <f t="shared" si="38"/>
        <v>#NUM!</v>
      </c>
    </row>
    <row r="72" spans="1:35" ht="12.75">
      <c r="A72" s="120"/>
      <c r="B72" s="114"/>
      <c r="D72">
        <f t="shared" si="39"/>
        <v>2.25</v>
      </c>
      <c r="E72" s="4">
        <f t="shared" si="25"/>
        <v>130.5</v>
      </c>
      <c r="F72" s="15">
        <f t="shared" si="40"/>
        <v>4.2</v>
      </c>
      <c r="G72" s="15">
        <f t="shared" si="26"/>
        <v>9.450000000000001</v>
      </c>
      <c r="I72" s="15">
        <f t="shared" si="41"/>
        <v>0</v>
      </c>
      <c r="J72" s="15">
        <f t="shared" si="27"/>
        <v>0</v>
      </c>
      <c r="K72" s="15"/>
      <c r="L72" s="15">
        <f t="shared" si="28"/>
        <v>4.2</v>
      </c>
      <c r="M72" s="15">
        <f t="shared" si="29"/>
        <v>9.450000000000001</v>
      </c>
      <c r="O72" s="117"/>
      <c r="Q72">
        <f t="shared" si="30"/>
        <v>5.19</v>
      </c>
      <c r="R72" s="4">
        <f t="shared" si="31"/>
        <v>85.13045426989063</v>
      </c>
      <c r="T72" s="4">
        <f t="shared" si="32"/>
        <v>12.386457473162675</v>
      </c>
      <c r="X72" s="3" t="e">
        <f t="shared" si="33"/>
        <v>#NUM!</v>
      </c>
      <c r="AA72" s="1">
        <f t="shared" si="21"/>
        <v>8.577697332704776E-06</v>
      </c>
      <c r="AB72">
        <f t="shared" si="34"/>
        <v>2.29</v>
      </c>
      <c r="AC72">
        <f t="shared" si="35"/>
        <v>1</v>
      </c>
      <c r="AD72" s="8" t="e">
        <f t="shared" si="22"/>
        <v>#NUM!</v>
      </c>
      <c r="AE72" s="4" t="e">
        <f t="shared" si="23"/>
        <v>#NUM!</v>
      </c>
      <c r="AF72" s="5" t="e">
        <f t="shared" si="24"/>
        <v>#NUM!</v>
      </c>
      <c r="AG72" s="4">
        <f t="shared" si="36"/>
        <v>225</v>
      </c>
      <c r="AH72" s="8" t="e">
        <f t="shared" si="37"/>
        <v>#NUM!</v>
      </c>
      <c r="AI72" s="10" t="e">
        <f t="shared" si="38"/>
        <v>#NUM!</v>
      </c>
    </row>
    <row r="73" spans="1:35" ht="12.75">
      <c r="A73" s="120"/>
      <c r="B73" s="114"/>
      <c r="D73">
        <f t="shared" si="39"/>
        <v>2.25</v>
      </c>
      <c r="E73" s="4">
        <f t="shared" si="25"/>
        <v>132.75</v>
      </c>
      <c r="F73" s="15">
        <f t="shared" si="40"/>
        <v>4.2</v>
      </c>
      <c r="G73" s="15">
        <f t="shared" si="26"/>
        <v>9.450000000000001</v>
      </c>
      <c r="I73" s="15">
        <f t="shared" si="41"/>
        <v>0</v>
      </c>
      <c r="J73" s="15">
        <f t="shared" si="27"/>
        <v>0</v>
      </c>
      <c r="K73" s="15"/>
      <c r="L73" s="15">
        <f t="shared" si="28"/>
        <v>4.2</v>
      </c>
      <c r="M73" s="15">
        <f t="shared" si="29"/>
        <v>9.450000000000001</v>
      </c>
      <c r="O73" s="117"/>
      <c r="Q73">
        <f t="shared" si="30"/>
        <v>5.19</v>
      </c>
      <c r="R73" s="4">
        <f t="shared" si="31"/>
        <v>85.27745426989064</v>
      </c>
      <c r="T73" s="4">
        <f t="shared" si="32"/>
        <v>12.386457473162675</v>
      </c>
      <c r="X73" s="3" t="e">
        <f t="shared" si="33"/>
        <v>#NUM!</v>
      </c>
      <c r="AA73" s="1">
        <f t="shared" si="21"/>
        <v>8.586438540704776E-06</v>
      </c>
      <c r="AB73">
        <f t="shared" si="34"/>
        <v>2.29</v>
      </c>
      <c r="AC73">
        <f t="shared" si="35"/>
        <v>1</v>
      </c>
      <c r="AD73" s="8" t="e">
        <f t="shared" si="22"/>
        <v>#NUM!</v>
      </c>
      <c r="AE73" s="4" t="e">
        <f t="shared" si="23"/>
        <v>#NUM!</v>
      </c>
      <c r="AF73" s="5" t="e">
        <f t="shared" si="24"/>
        <v>#NUM!</v>
      </c>
      <c r="AG73" s="4">
        <f t="shared" si="36"/>
        <v>225</v>
      </c>
      <c r="AH73" s="8" t="e">
        <f t="shared" si="37"/>
        <v>#NUM!</v>
      </c>
      <c r="AI73" s="10" t="e">
        <f t="shared" si="38"/>
        <v>#NUM!</v>
      </c>
    </row>
    <row r="74" spans="1:35" ht="13.5" thickBot="1">
      <c r="A74" s="100"/>
      <c r="B74" s="115"/>
      <c r="D74">
        <f t="shared" si="39"/>
        <v>2.25</v>
      </c>
      <c r="E74" s="4">
        <f t="shared" si="25"/>
        <v>135</v>
      </c>
      <c r="F74" s="15">
        <f t="shared" si="40"/>
        <v>4.2</v>
      </c>
      <c r="G74" s="15">
        <f t="shared" si="26"/>
        <v>9.450000000000001</v>
      </c>
      <c r="I74" s="15">
        <f t="shared" si="41"/>
        <v>0</v>
      </c>
      <c r="J74" s="15">
        <f t="shared" si="27"/>
        <v>0</v>
      </c>
      <c r="K74" s="15"/>
      <c r="L74" s="15">
        <f t="shared" si="28"/>
        <v>4.2</v>
      </c>
      <c r="M74" s="15">
        <f t="shared" si="29"/>
        <v>9.450000000000001</v>
      </c>
      <c r="O74" s="118"/>
      <c r="Q74">
        <f t="shared" si="30"/>
        <v>5.19</v>
      </c>
      <c r="R74" s="4">
        <f t="shared" si="31"/>
        <v>85.42445426989065</v>
      </c>
      <c r="T74" s="4">
        <f t="shared" si="32"/>
        <v>12.386457473162675</v>
      </c>
      <c r="X74" s="3" t="e">
        <f t="shared" si="33"/>
        <v>#NUM!</v>
      </c>
      <c r="AA74" s="1">
        <f t="shared" si="21"/>
        <v>8.595179748704778E-06</v>
      </c>
      <c r="AB74">
        <f t="shared" si="34"/>
        <v>2.29</v>
      </c>
      <c r="AC74">
        <f t="shared" si="35"/>
        <v>1</v>
      </c>
      <c r="AD74" s="8" t="e">
        <f t="shared" si="22"/>
        <v>#NUM!</v>
      </c>
      <c r="AE74" s="4" t="e">
        <f t="shared" si="23"/>
        <v>#NUM!</v>
      </c>
      <c r="AF74" s="5" t="e">
        <f t="shared" si="24"/>
        <v>#NUM!</v>
      </c>
      <c r="AG74" s="4">
        <f t="shared" si="36"/>
        <v>225</v>
      </c>
      <c r="AH74" s="8" t="e">
        <f t="shared" si="37"/>
        <v>#NUM!</v>
      </c>
      <c r="AI74" s="10" t="e">
        <f t="shared" si="38"/>
        <v>#NUM!</v>
      </c>
    </row>
    <row r="75" spans="1:35" ht="13.5" thickBot="1">
      <c r="A75" s="20" t="s">
        <v>46</v>
      </c>
      <c r="AB75" t="s">
        <v>40</v>
      </c>
      <c r="AH75" s="3" t="e">
        <f>0.1*(X74*AD74^2)/2</f>
        <v>#NUM!</v>
      </c>
      <c r="AI75" s="10" t="e">
        <f t="shared" si="38"/>
        <v>#NUM!</v>
      </c>
    </row>
    <row r="77" spans="1:34" ht="12.75">
      <c r="A77" t="s">
        <v>53</v>
      </c>
      <c r="B77" s="15">
        <f>B60+B45+B30+B15</f>
        <v>567</v>
      </c>
      <c r="C77" t="s">
        <v>35</v>
      </c>
      <c r="N77" t="s">
        <v>39</v>
      </c>
      <c r="O77" s="15">
        <f>O60+O45+O30+O15</f>
        <v>567</v>
      </c>
      <c r="P77" t="s">
        <v>35</v>
      </c>
      <c r="AG77" s="6" t="s">
        <v>66</v>
      </c>
      <c r="AH77" s="11" t="e">
        <f>SUM(AH15:AH75)</f>
        <v>#NUM!</v>
      </c>
    </row>
    <row r="78" spans="33:34" ht="12.75">
      <c r="AG78" s="25" t="s">
        <v>67</v>
      </c>
      <c r="AH78" s="67" t="e">
        <f>AH77/100000</f>
        <v>#NUM!</v>
      </c>
    </row>
    <row r="79" spans="33:34" ht="12.75">
      <c r="AG79" s="6"/>
      <c r="AH79" s="11"/>
    </row>
    <row r="80" spans="29:36" ht="12.75">
      <c r="AC80" s="12"/>
      <c r="AD80" s="12"/>
      <c r="AE80" s="12"/>
      <c r="AF80" s="12"/>
      <c r="AG80" s="23"/>
      <c r="AH80" s="12"/>
      <c r="AI80" s="23"/>
      <c r="AJ80" s="24"/>
    </row>
    <row r="97" ht="20.25">
      <c r="C97" s="77" t="s">
        <v>251</v>
      </c>
    </row>
    <row r="103" spans="4:10" ht="12.75">
      <c r="D103" t="s">
        <v>199</v>
      </c>
      <c r="I103" s="40">
        <f>'Supply helium'!P188</f>
        <v>77.54757562313371</v>
      </c>
      <c r="J103" t="s">
        <v>89</v>
      </c>
    </row>
    <row r="104" spans="4:10" ht="12.75">
      <c r="D104" t="s">
        <v>149</v>
      </c>
      <c r="I104" s="40">
        <f>'Supply helium'!AG190</f>
        <v>19.106309119300043</v>
      </c>
      <c r="J104" s="3" t="s">
        <v>70</v>
      </c>
    </row>
    <row r="105" spans="4:32" ht="18">
      <c r="D105" t="s">
        <v>90</v>
      </c>
      <c r="P105" s="14" t="s">
        <v>92</v>
      </c>
      <c r="AF105" t="s">
        <v>0</v>
      </c>
    </row>
    <row r="106" spans="16:32" ht="18">
      <c r="P106" s="14" t="s">
        <v>93</v>
      </c>
      <c r="AF106" s="13">
        <v>36527</v>
      </c>
    </row>
    <row r="107" ht="12.75">
      <c r="I107" s="40"/>
    </row>
    <row r="108" spans="6:24" ht="12.75">
      <c r="F108" t="s">
        <v>59</v>
      </c>
      <c r="H108" t="s">
        <v>60</v>
      </c>
      <c r="I108" s="70">
        <f>'Cryo Power'!D24</f>
        <v>5.25</v>
      </c>
      <c r="J108" t="s">
        <v>28</v>
      </c>
      <c r="L108" s="3"/>
      <c r="O108" s="22"/>
      <c r="P108" s="22"/>
      <c r="Q108" s="22"/>
      <c r="R108" s="22" t="s">
        <v>94</v>
      </c>
      <c r="S108" s="22"/>
      <c r="T108" s="22"/>
      <c r="U108" s="22"/>
      <c r="V108" s="22"/>
      <c r="W108" s="22"/>
      <c r="X108" s="22"/>
    </row>
    <row r="109" spans="2:32" ht="12.75">
      <c r="B109" t="s">
        <v>64</v>
      </c>
      <c r="F109" t="s">
        <v>84</v>
      </c>
      <c r="H109" t="s">
        <v>85</v>
      </c>
      <c r="I109" s="17">
        <v>2.29</v>
      </c>
      <c r="J109" t="s">
        <v>86</v>
      </c>
      <c r="AF109" t="s">
        <v>27</v>
      </c>
    </row>
    <row r="110" spans="2:35" ht="12.75">
      <c r="B110" t="s">
        <v>65</v>
      </c>
      <c r="F110" t="s">
        <v>61</v>
      </c>
      <c r="H110" t="s">
        <v>62</v>
      </c>
      <c r="I110" s="40">
        <f>'Cryo Power'!D29</f>
        <v>135</v>
      </c>
      <c r="J110" t="s">
        <v>63</v>
      </c>
      <c r="O110" t="s">
        <v>30</v>
      </c>
      <c r="R110" t="s">
        <v>97</v>
      </c>
      <c r="X110" s="16" t="s">
        <v>96</v>
      </c>
      <c r="Y110" s="16"/>
      <c r="Z110" s="16"/>
      <c r="AA110" s="16" t="s">
        <v>96</v>
      </c>
      <c r="AC110" s="16" t="s">
        <v>54</v>
      </c>
      <c r="AD110" s="19" t="s">
        <v>79</v>
      </c>
      <c r="AF110" t="s">
        <v>58</v>
      </c>
      <c r="AH110" s="5"/>
      <c r="AI110" s="5"/>
    </row>
    <row r="111" spans="1:35" ht="12.75">
      <c r="A111" s="2"/>
      <c r="B111" t="s">
        <v>29</v>
      </c>
      <c r="D111" s="2" t="s">
        <v>24</v>
      </c>
      <c r="E111" s="2"/>
      <c r="F111" s="2"/>
      <c r="G111" s="2"/>
      <c r="L111" s="2"/>
      <c r="M111" t="s">
        <v>30</v>
      </c>
      <c r="O111" t="s">
        <v>38</v>
      </c>
      <c r="Q111" s="2" t="s">
        <v>95</v>
      </c>
      <c r="R111" t="s">
        <v>98</v>
      </c>
      <c r="T111" s="2" t="s">
        <v>4</v>
      </c>
      <c r="X111" s="16" t="s">
        <v>73</v>
      </c>
      <c r="AA111" s="2" t="s">
        <v>100</v>
      </c>
      <c r="AB111" s="2" t="s">
        <v>7</v>
      </c>
      <c r="AC111" s="16" t="s">
        <v>55</v>
      </c>
      <c r="AD111" s="19" t="s">
        <v>80</v>
      </c>
      <c r="AE111" s="2" t="s">
        <v>8</v>
      </c>
      <c r="AF111" s="2" t="s">
        <v>9</v>
      </c>
      <c r="AG111" s="2" t="s">
        <v>10</v>
      </c>
      <c r="AH111" s="7" t="s">
        <v>11</v>
      </c>
      <c r="AI111" s="7" t="s">
        <v>71</v>
      </c>
    </row>
    <row r="112" spans="1:35" ht="12.75">
      <c r="A112" s="2"/>
      <c r="B112" s="2" t="s">
        <v>51</v>
      </c>
      <c r="D112" s="2" t="s">
        <v>25</v>
      </c>
      <c r="F112" s="2" t="s">
        <v>48</v>
      </c>
      <c r="G112" s="16" t="s">
        <v>48</v>
      </c>
      <c r="H112" s="2"/>
      <c r="I112" s="2" t="s">
        <v>34</v>
      </c>
      <c r="J112" s="2" t="s">
        <v>36</v>
      </c>
      <c r="L112" t="s">
        <v>30</v>
      </c>
      <c r="M112" t="s">
        <v>31</v>
      </c>
      <c r="O112" t="s">
        <v>50</v>
      </c>
      <c r="Q112" s="2" t="s">
        <v>123</v>
      </c>
      <c r="R112" t="s">
        <v>99</v>
      </c>
      <c r="T112" s="2" t="s">
        <v>15</v>
      </c>
      <c r="X112" s="2" t="s">
        <v>16</v>
      </c>
      <c r="AA112" s="2" t="s">
        <v>17</v>
      </c>
      <c r="AB112" s="2" t="s">
        <v>18</v>
      </c>
      <c r="AC112" s="16" t="s">
        <v>56</v>
      </c>
      <c r="AD112" s="7" t="s">
        <v>19</v>
      </c>
      <c r="AE112" s="2"/>
      <c r="AF112" s="2"/>
      <c r="AG112" s="2" t="s">
        <v>18</v>
      </c>
      <c r="AH112" s="7" t="s">
        <v>20</v>
      </c>
      <c r="AI112" s="7" t="s">
        <v>72</v>
      </c>
    </row>
    <row r="113" spans="1:35" ht="13.5" thickBot="1">
      <c r="A113" s="2"/>
      <c r="B113" s="2"/>
      <c r="D113" t="s">
        <v>26</v>
      </c>
      <c r="E113" s="2" t="s">
        <v>23</v>
      </c>
      <c r="F113" s="2" t="s">
        <v>33</v>
      </c>
      <c r="G113" s="16" t="s">
        <v>32</v>
      </c>
      <c r="H113" s="2"/>
      <c r="I113" s="2" t="s">
        <v>33</v>
      </c>
      <c r="J113" s="2" t="s">
        <v>37</v>
      </c>
      <c r="L113" t="s">
        <v>33</v>
      </c>
      <c r="M113" s="2" t="s">
        <v>37</v>
      </c>
      <c r="O113" s="2" t="s">
        <v>51</v>
      </c>
      <c r="Q113" s="2"/>
      <c r="T113" s="2"/>
      <c r="X113" s="2"/>
      <c r="AA113" s="2"/>
      <c r="AB113" s="2"/>
      <c r="AC113" s="2"/>
      <c r="AD113" s="7"/>
      <c r="AE113" s="2"/>
      <c r="AF113" s="2"/>
      <c r="AG113" s="2"/>
      <c r="AH113" s="7"/>
      <c r="AI113" s="7"/>
    </row>
    <row r="114" spans="1:35" ht="13.5" thickBot="1">
      <c r="A114" s="20" t="s">
        <v>47</v>
      </c>
      <c r="B114" s="15"/>
      <c r="D114">
        <v>0</v>
      </c>
      <c r="E114" s="4">
        <v>0</v>
      </c>
      <c r="F114" s="15">
        <v>0</v>
      </c>
      <c r="G114" s="15">
        <v>0</v>
      </c>
      <c r="I114" s="15"/>
      <c r="L114">
        <v>0</v>
      </c>
      <c r="M114" s="15">
        <v>0</v>
      </c>
      <c r="O114" s="15"/>
      <c r="Q114">
        <v>5.19</v>
      </c>
      <c r="R114" s="4">
        <f>I103</f>
        <v>77.54757562313371</v>
      </c>
      <c r="T114" s="4">
        <f>2*'Trace Tube Helium'!T114</f>
        <v>17.112868877395798</v>
      </c>
      <c r="X114" s="3">
        <f>0.00096*(100/R114)*(AI114/2)</f>
        <v>0.011826325070216834</v>
      </c>
      <c r="AA114" s="1">
        <f aca="true" t="shared" si="42" ref="AA114:AA174">(3.5155+0.059464*R114)*10^-6</f>
        <v>8.126789036854022E-06</v>
      </c>
      <c r="AB114" s="27">
        <f>I109</f>
        <v>2.29</v>
      </c>
      <c r="AC114" s="9">
        <v>1</v>
      </c>
      <c r="AD114" s="8">
        <f aca="true" t="shared" si="43" ref="AD114:AD174">4*T114/(X114*3.14159*AB114^2*AC114)</f>
        <v>351.3278121648556</v>
      </c>
      <c r="AE114" s="4">
        <f aca="true" t="shared" si="44" ref="AE114:AE174">X114*AD114*AB114/AA114/10</f>
        <v>117078.95562839424</v>
      </c>
      <c r="AF114" s="5">
        <f aca="true" t="shared" si="45" ref="AF114:AF174">4*(0.0791/AE114^0.25)</f>
        <v>0.017104751334634932</v>
      </c>
      <c r="AG114" s="4">
        <v>0</v>
      </c>
      <c r="AH114" s="10">
        <f>AF114*AG114/(AB114)*(V114*AD114^2/2)*0.1</f>
        <v>0</v>
      </c>
      <c r="AI114" s="10">
        <f>I104</f>
        <v>19.106309119300043</v>
      </c>
    </row>
    <row r="115" spans="1:35" ht="12.75">
      <c r="A115" s="108" t="s">
        <v>42</v>
      </c>
      <c r="B115" s="113">
        <f>O115</f>
        <v>177.1875</v>
      </c>
      <c r="D115">
        <f>I110/60</f>
        <v>2.25</v>
      </c>
      <c r="E115" s="4">
        <f aca="true" t="shared" si="46" ref="E115:E174">E114+D115</f>
        <v>2.25</v>
      </c>
      <c r="F115" s="15">
        <f>I108</f>
        <v>5.25</v>
      </c>
      <c r="G115" s="15">
        <f aca="true" t="shared" si="47" ref="G115:G174">F115*D115</f>
        <v>11.8125</v>
      </c>
      <c r="I115" s="15">
        <v>0</v>
      </c>
      <c r="J115" s="15">
        <f aca="true" t="shared" si="48" ref="J115:J174">I115*D115</f>
        <v>0</v>
      </c>
      <c r="K115" s="15"/>
      <c r="L115" s="15">
        <f aca="true" t="shared" si="49" ref="L115:L174">I115+F115</f>
        <v>5.25</v>
      </c>
      <c r="M115" s="15">
        <f aca="true" t="shared" si="50" ref="M115:M174">L115*D115</f>
        <v>11.8125</v>
      </c>
      <c r="O115" s="101">
        <f>SUM(M115:M129)</f>
        <v>177.1875</v>
      </c>
      <c r="Q115">
        <f aca="true" t="shared" si="51" ref="Q115:Q174">Q114</f>
        <v>5.19</v>
      </c>
      <c r="R115" s="4">
        <f aca="true" t="shared" si="52" ref="R115:R174">R114+M115/(T115*Q115)</f>
        <v>77.6805756231337</v>
      </c>
      <c r="T115" s="4">
        <f aca="true" t="shared" si="53" ref="T115:T174">T114</f>
        <v>17.112868877395798</v>
      </c>
      <c r="X115" s="3">
        <f aca="true" t="shared" si="54" ref="X115:X174">0.00096*(100/R115)*(AI114/2)</f>
        <v>0.011806076749169758</v>
      </c>
      <c r="AA115" s="1">
        <f t="shared" si="42"/>
        <v>8.134697748854023E-06</v>
      </c>
      <c r="AB115">
        <f aca="true" t="shared" si="55" ref="AB115:AB174">AB114</f>
        <v>2.29</v>
      </c>
      <c r="AC115">
        <f aca="true" t="shared" si="56" ref="AC115:AC174">AC114</f>
        <v>1</v>
      </c>
      <c r="AD115" s="8">
        <f t="shared" si="43"/>
        <v>351.9303661279223</v>
      </c>
      <c r="AE115" s="4">
        <f t="shared" si="44"/>
        <v>116965.12918149815</v>
      </c>
      <c r="AF115" s="5">
        <f t="shared" si="45"/>
        <v>0.017108911255979468</v>
      </c>
      <c r="AG115" s="4">
        <f aca="true" t="shared" si="57" ref="AG115:AG174">100*(E115-E114)</f>
        <v>225</v>
      </c>
      <c r="AH115" s="8">
        <f aca="true" t="shared" si="58" ref="AH115:AH174">AF115*AG115/(AB115)*(X115*AD115^2/2)*0.1</f>
        <v>122.90187216390721</v>
      </c>
      <c r="AI115" s="10">
        <f aca="true" t="shared" si="59" ref="AI115:AI175">AI114-AH115/100000</f>
        <v>19.105080100578405</v>
      </c>
    </row>
    <row r="116" spans="1:35" ht="12.75">
      <c r="A116" s="111"/>
      <c r="B116" s="114"/>
      <c r="D116">
        <f aca="true" t="shared" si="60" ref="D116:D174">D115</f>
        <v>2.25</v>
      </c>
      <c r="E116" s="4">
        <f t="shared" si="46"/>
        <v>4.5</v>
      </c>
      <c r="F116" s="15">
        <f aca="true" t="shared" si="61" ref="F116:F174">F115</f>
        <v>5.25</v>
      </c>
      <c r="G116" s="15">
        <f t="shared" si="47"/>
        <v>11.8125</v>
      </c>
      <c r="I116" s="15">
        <f aca="true" t="shared" si="62" ref="I116:I174">I115</f>
        <v>0</v>
      </c>
      <c r="J116" s="15">
        <f t="shared" si="48"/>
        <v>0</v>
      </c>
      <c r="K116" s="15"/>
      <c r="L116" s="15">
        <f t="shared" si="49"/>
        <v>5.25</v>
      </c>
      <c r="M116" s="15">
        <f t="shared" si="50"/>
        <v>11.8125</v>
      </c>
      <c r="O116" s="121"/>
      <c r="Q116">
        <f t="shared" si="51"/>
        <v>5.19</v>
      </c>
      <c r="R116" s="4">
        <f t="shared" si="52"/>
        <v>77.8135756231337</v>
      </c>
      <c r="T116" s="4">
        <f t="shared" si="53"/>
        <v>17.112868877395798</v>
      </c>
      <c r="X116" s="3">
        <f t="shared" si="54"/>
        <v>0.011785139514333406</v>
      </c>
      <c r="AA116" s="1">
        <f t="shared" si="42"/>
        <v>8.142606460854022E-06</v>
      </c>
      <c r="AB116">
        <f t="shared" si="55"/>
        <v>2.29</v>
      </c>
      <c r="AC116">
        <f t="shared" si="56"/>
        <v>1</v>
      </c>
      <c r="AD116" s="8">
        <f t="shared" si="43"/>
        <v>352.5555983292638</v>
      </c>
      <c r="AE116" s="4">
        <f t="shared" si="44"/>
        <v>116851.52384821986</v>
      </c>
      <c r="AF116" s="5">
        <f t="shared" si="45"/>
        <v>0.01711306814516138</v>
      </c>
      <c r="AG116" s="4">
        <f t="shared" si="57"/>
        <v>225</v>
      </c>
      <c r="AH116" s="8">
        <f t="shared" si="58"/>
        <v>123.15013115105126</v>
      </c>
      <c r="AI116" s="10">
        <f t="shared" si="59"/>
        <v>19.103848599266893</v>
      </c>
    </row>
    <row r="117" spans="1:35" ht="12.75">
      <c r="A117" s="111"/>
      <c r="B117" s="114"/>
      <c r="D117">
        <f t="shared" si="60"/>
        <v>2.25</v>
      </c>
      <c r="E117" s="4">
        <f t="shared" si="46"/>
        <v>6.75</v>
      </c>
      <c r="F117" s="15">
        <f t="shared" si="61"/>
        <v>5.25</v>
      </c>
      <c r="G117" s="15">
        <f t="shared" si="47"/>
        <v>11.8125</v>
      </c>
      <c r="I117" s="15">
        <f t="shared" si="62"/>
        <v>0</v>
      </c>
      <c r="J117" s="15">
        <f t="shared" si="48"/>
        <v>0</v>
      </c>
      <c r="K117" s="15"/>
      <c r="L117" s="15">
        <f t="shared" si="49"/>
        <v>5.25</v>
      </c>
      <c r="M117" s="15">
        <f t="shared" si="50"/>
        <v>11.8125</v>
      </c>
      <c r="O117" s="121"/>
      <c r="Q117">
        <f t="shared" si="51"/>
        <v>5.19</v>
      </c>
      <c r="R117" s="4">
        <f t="shared" si="52"/>
        <v>77.9465756231337</v>
      </c>
      <c r="T117" s="4">
        <f t="shared" si="53"/>
        <v>17.112868877395798</v>
      </c>
      <c r="X117" s="3">
        <f t="shared" si="54"/>
        <v>0.011764272200979921</v>
      </c>
      <c r="AA117" s="1">
        <f t="shared" si="42"/>
        <v>8.150515172854022E-06</v>
      </c>
      <c r="AB117">
        <f t="shared" si="55"/>
        <v>2.29</v>
      </c>
      <c r="AC117">
        <f t="shared" si="56"/>
        <v>1</v>
      </c>
      <c r="AD117" s="8">
        <f t="shared" si="43"/>
        <v>353.18095687411693</v>
      </c>
      <c r="AE117" s="4">
        <f t="shared" si="44"/>
        <v>116738.13898489802</v>
      </c>
      <c r="AF117" s="5">
        <f t="shared" si="45"/>
        <v>0.017117222007332667</v>
      </c>
      <c r="AG117" s="4">
        <f t="shared" si="57"/>
        <v>225</v>
      </c>
      <c r="AH117" s="8">
        <f t="shared" si="58"/>
        <v>123.39851856070743</v>
      </c>
      <c r="AI117" s="10">
        <f t="shared" si="59"/>
        <v>19.102614614081286</v>
      </c>
    </row>
    <row r="118" spans="1:35" ht="12.75">
      <c r="A118" s="111"/>
      <c r="B118" s="114"/>
      <c r="D118">
        <f t="shared" si="60"/>
        <v>2.25</v>
      </c>
      <c r="E118" s="4">
        <f t="shared" si="46"/>
        <v>9</v>
      </c>
      <c r="F118" s="15">
        <f t="shared" si="61"/>
        <v>5.25</v>
      </c>
      <c r="G118" s="15">
        <f t="shared" si="47"/>
        <v>11.8125</v>
      </c>
      <c r="I118" s="15">
        <f t="shared" si="62"/>
        <v>0</v>
      </c>
      <c r="J118" s="15">
        <f t="shared" si="48"/>
        <v>0</v>
      </c>
      <c r="K118" s="15"/>
      <c r="L118" s="15">
        <f t="shared" si="49"/>
        <v>5.25</v>
      </c>
      <c r="M118" s="15">
        <f t="shared" si="50"/>
        <v>11.8125</v>
      </c>
      <c r="O118" s="121"/>
      <c r="Q118">
        <f t="shared" si="51"/>
        <v>5.19</v>
      </c>
      <c r="R118" s="4">
        <f t="shared" si="52"/>
        <v>78.07957562313369</v>
      </c>
      <c r="T118" s="4">
        <f t="shared" si="53"/>
        <v>17.112868877395798</v>
      </c>
      <c r="X118" s="3">
        <f t="shared" si="54"/>
        <v>0.01174347445100908</v>
      </c>
      <c r="AA118" s="1">
        <f t="shared" si="42"/>
        <v>8.158423884854021E-06</v>
      </c>
      <c r="AB118">
        <f t="shared" si="55"/>
        <v>2.29</v>
      </c>
      <c r="AC118">
        <f t="shared" si="56"/>
        <v>1</v>
      </c>
      <c r="AD118" s="8">
        <f t="shared" si="43"/>
        <v>353.8064420545185</v>
      </c>
      <c r="AE118" s="4">
        <f t="shared" si="44"/>
        <v>116624.97395036707</v>
      </c>
      <c r="AF118" s="5">
        <f t="shared" si="45"/>
        <v>0.017121372847631558</v>
      </c>
      <c r="AG118" s="4">
        <f t="shared" si="57"/>
        <v>225</v>
      </c>
      <c r="AH118" s="8">
        <f t="shared" si="58"/>
        <v>123.64703444826392</v>
      </c>
      <c r="AI118" s="10">
        <f t="shared" si="59"/>
        <v>19.101378143736802</v>
      </c>
    </row>
    <row r="119" spans="1:35" ht="12.75">
      <c r="A119" s="111"/>
      <c r="B119" s="114"/>
      <c r="D119">
        <f t="shared" si="60"/>
        <v>2.25</v>
      </c>
      <c r="E119" s="4">
        <f t="shared" si="46"/>
        <v>11.25</v>
      </c>
      <c r="F119" s="15">
        <f t="shared" si="61"/>
        <v>5.25</v>
      </c>
      <c r="G119" s="15">
        <f t="shared" si="47"/>
        <v>11.8125</v>
      </c>
      <c r="I119" s="15">
        <f t="shared" si="62"/>
        <v>0</v>
      </c>
      <c r="J119" s="15">
        <f t="shared" si="48"/>
        <v>0</v>
      </c>
      <c r="K119" s="15"/>
      <c r="L119" s="15">
        <f t="shared" si="49"/>
        <v>5.25</v>
      </c>
      <c r="M119" s="15">
        <f t="shared" si="50"/>
        <v>11.8125</v>
      </c>
      <c r="O119" s="121"/>
      <c r="Q119">
        <f t="shared" si="51"/>
        <v>5.19</v>
      </c>
      <c r="R119" s="4">
        <f t="shared" si="52"/>
        <v>78.21257562313369</v>
      </c>
      <c r="T119" s="4">
        <f t="shared" si="53"/>
        <v>17.112868877395798</v>
      </c>
      <c r="X119" s="3">
        <f t="shared" si="54"/>
        <v>0.011722745908756087</v>
      </c>
      <c r="AA119" s="1">
        <f t="shared" si="42"/>
        <v>8.16633259685402E-06</v>
      </c>
      <c r="AB119">
        <f t="shared" si="55"/>
        <v>2.29</v>
      </c>
      <c r="AC119">
        <f t="shared" si="56"/>
        <v>1</v>
      </c>
      <c r="AD119" s="8">
        <f t="shared" si="43"/>
        <v>354.43205416285826</v>
      </c>
      <c r="AE119" s="4">
        <f t="shared" si="44"/>
        <v>116512.0281059453</v>
      </c>
      <c r="AF119" s="5">
        <f t="shared" si="45"/>
        <v>0.01712552067118261</v>
      </c>
      <c r="AG119" s="4">
        <f t="shared" si="57"/>
        <v>225</v>
      </c>
      <c r="AH119" s="8">
        <f t="shared" si="58"/>
        <v>123.89567886944786</v>
      </c>
      <c r="AI119" s="10">
        <f t="shared" si="59"/>
        <v>19.10013918694811</v>
      </c>
    </row>
    <row r="120" spans="1:35" ht="12.75">
      <c r="A120" s="111"/>
      <c r="B120" s="114"/>
      <c r="D120">
        <f t="shared" si="60"/>
        <v>2.25</v>
      </c>
      <c r="E120" s="4">
        <f t="shared" si="46"/>
        <v>13.5</v>
      </c>
      <c r="F120" s="15">
        <f t="shared" si="61"/>
        <v>5.25</v>
      </c>
      <c r="G120" s="15">
        <f t="shared" si="47"/>
        <v>11.8125</v>
      </c>
      <c r="I120" s="15">
        <f t="shared" si="62"/>
        <v>0</v>
      </c>
      <c r="J120" s="15">
        <f t="shared" si="48"/>
        <v>0</v>
      </c>
      <c r="K120" s="15"/>
      <c r="L120" s="15">
        <f t="shared" si="49"/>
        <v>5.25</v>
      </c>
      <c r="M120" s="15">
        <f t="shared" si="50"/>
        <v>11.8125</v>
      </c>
      <c r="O120" s="121"/>
      <c r="Q120">
        <f t="shared" si="51"/>
        <v>5.19</v>
      </c>
      <c r="R120" s="4">
        <f t="shared" si="52"/>
        <v>78.34557562313368</v>
      </c>
      <c r="T120" s="4">
        <f t="shared" si="53"/>
        <v>17.112868877395798</v>
      </c>
      <c r="X120" s="3">
        <f t="shared" si="54"/>
        <v>0.011702086220970938</v>
      </c>
      <c r="AA120" s="1">
        <f t="shared" si="42"/>
        <v>8.174241308854021E-06</v>
      </c>
      <c r="AB120">
        <f t="shared" si="55"/>
        <v>2.29</v>
      </c>
      <c r="AC120">
        <f t="shared" si="56"/>
        <v>1</v>
      </c>
      <c r="AD120" s="8">
        <f t="shared" si="43"/>
        <v>355.05779349187907</v>
      </c>
      <c r="AE120" s="4">
        <f t="shared" si="44"/>
        <v>116399.30081542258</v>
      </c>
      <c r="AF120" s="5">
        <f t="shared" si="45"/>
        <v>0.017129665483096735</v>
      </c>
      <c r="AG120" s="4">
        <f t="shared" si="57"/>
        <v>225</v>
      </c>
      <c r="AH120" s="8">
        <f t="shared" si="58"/>
        <v>124.14445188032485</v>
      </c>
      <c r="AI120" s="10">
        <f t="shared" si="59"/>
        <v>19.098897742429305</v>
      </c>
    </row>
    <row r="121" spans="1:35" ht="12.75">
      <c r="A121" s="111"/>
      <c r="B121" s="114"/>
      <c r="D121">
        <f t="shared" si="60"/>
        <v>2.25</v>
      </c>
      <c r="E121" s="4">
        <f t="shared" si="46"/>
        <v>15.75</v>
      </c>
      <c r="F121" s="15">
        <f t="shared" si="61"/>
        <v>5.25</v>
      </c>
      <c r="G121" s="15">
        <f t="shared" si="47"/>
        <v>11.8125</v>
      </c>
      <c r="I121" s="15">
        <f t="shared" si="62"/>
        <v>0</v>
      </c>
      <c r="J121" s="15">
        <f t="shared" si="48"/>
        <v>0</v>
      </c>
      <c r="K121" s="15"/>
      <c r="L121" s="15">
        <f t="shared" si="49"/>
        <v>5.25</v>
      </c>
      <c r="M121" s="15">
        <f t="shared" si="50"/>
        <v>11.8125</v>
      </c>
      <c r="O121" s="121"/>
      <c r="Q121">
        <f t="shared" si="51"/>
        <v>5.19</v>
      </c>
      <c r="R121" s="4">
        <f t="shared" si="52"/>
        <v>78.47857562313368</v>
      </c>
      <c r="T121" s="4">
        <f t="shared" si="53"/>
        <v>17.112868877395798</v>
      </c>
      <c r="X121" s="3">
        <f t="shared" si="54"/>
        <v>0.011681495036797926</v>
      </c>
      <c r="AA121" s="1">
        <f t="shared" si="42"/>
        <v>8.18215002085402E-06</v>
      </c>
      <c r="AB121">
        <f t="shared" si="55"/>
        <v>2.29</v>
      </c>
      <c r="AC121">
        <f t="shared" si="56"/>
        <v>1</v>
      </c>
      <c r="AD121" s="8">
        <f t="shared" si="43"/>
        <v>355.6836603346782</v>
      </c>
      <c r="AE121" s="4">
        <f t="shared" si="44"/>
        <v>116286.79144504876</v>
      </c>
      <c r="AF121" s="5">
        <f t="shared" si="45"/>
        <v>0.01713380728847125</v>
      </c>
      <c r="AG121" s="4">
        <f t="shared" si="57"/>
        <v>225</v>
      </c>
      <c r="AH121" s="8">
        <f t="shared" si="58"/>
        <v>124.39335353729908</v>
      </c>
      <c r="AI121" s="10">
        <f t="shared" si="59"/>
        <v>19.09765380889393</v>
      </c>
    </row>
    <row r="122" spans="1:35" ht="12.75">
      <c r="A122" s="111"/>
      <c r="B122" s="114"/>
      <c r="D122">
        <f t="shared" si="60"/>
        <v>2.25</v>
      </c>
      <c r="E122" s="4">
        <f t="shared" si="46"/>
        <v>18</v>
      </c>
      <c r="F122" s="15">
        <f t="shared" si="61"/>
        <v>5.25</v>
      </c>
      <c r="G122" s="15">
        <f t="shared" si="47"/>
        <v>11.8125</v>
      </c>
      <c r="I122" s="15">
        <f t="shared" si="62"/>
        <v>0</v>
      </c>
      <c r="J122" s="15">
        <f t="shared" si="48"/>
        <v>0</v>
      </c>
      <c r="K122" s="15"/>
      <c r="L122" s="15">
        <f t="shared" si="49"/>
        <v>5.25</v>
      </c>
      <c r="M122" s="15">
        <f t="shared" si="50"/>
        <v>11.8125</v>
      </c>
      <c r="O122" s="121"/>
      <c r="Q122">
        <f t="shared" si="51"/>
        <v>5.19</v>
      </c>
      <c r="R122" s="4">
        <f t="shared" si="52"/>
        <v>78.61157562313367</v>
      </c>
      <c r="T122" s="4">
        <f t="shared" si="53"/>
        <v>17.112868877395798</v>
      </c>
      <c r="X122" s="3">
        <f t="shared" si="54"/>
        <v>0.0116609720077554</v>
      </c>
      <c r="AA122" s="1">
        <f t="shared" si="42"/>
        <v>8.19005873285402E-06</v>
      </c>
      <c r="AB122">
        <f t="shared" si="55"/>
        <v>2.29</v>
      </c>
      <c r="AC122">
        <f t="shared" si="56"/>
        <v>1</v>
      </c>
      <c r="AD122" s="8">
        <f t="shared" si="43"/>
        <v>356.3096549847079</v>
      </c>
      <c r="AE122" s="4">
        <f t="shared" si="44"/>
        <v>116174.49936352149</v>
      </c>
      <c r="AF122" s="5">
        <f t="shared" si="45"/>
        <v>0.017137946092389923</v>
      </c>
      <c r="AG122" s="4">
        <f t="shared" si="57"/>
        <v>225</v>
      </c>
      <c r="AH122" s="8">
        <f t="shared" si="58"/>
        <v>124.64238389711294</v>
      </c>
      <c r="AI122" s="10">
        <f t="shared" si="59"/>
        <v>19.09640738505496</v>
      </c>
    </row>
    <row r="123" spans="1:35" ht="12.75">
      <c r="A123" s="111"/>
      <c r="B123" s="114"/>
      <c r="D123">
        <f t="shared" si="60"/>
        <v>2.25</v>
      </c>
      <c r="E123" s="4">
        <f t="shared" si="46"/>
        <v>20.25</v>
      </c>
      <c r="F123" s="15">
        <f t="shared" si="61"/>
        <v>5.25</v>
      </c>
      <c r="G123" s="15">
        <f t="shared" si="47"/>
        <v>11.8125</v>
      </c>
      <c r="I123" s="15">
        <f t="shared" si="62"/>
        <v>0</v>
      </c>
      <c r="J123" s="15">
        <f t="shared" si="48"/>
        <v>0</v>
      </c>
      <c r="K123" s="15"/>
      <c r="L123" s="15">
        <f t="shared" si="49"/>
        <v>5.25</v>
      </c>
      <c r="M123" s="15">
        <f t="shared" si="50"/>
        <v>11.8125</v>
      </c>
      <c r="O123" s="121"/>
      <c r="Q123">
        <f t="shared" si="51"/>
        <v>5.19</v>
      </c>
      <c r="R123" s="4">
        <f t="shared" si="52"/>
        <v>78.74457562313367</v>
      </c>
      <c r="T123" s="4">
        <f t="shared" si="53"/>
        <v>17.112868877395798</v>
      </c>
      <c r="X123" s="3">
        <f t="shared" si="54"/>
        <v>0.011640516787715726</v>
      </c>
      <c r="AA123" s="1">
        <f t="shared" si="42"/>
        <v>8.19796744485402E-06</v>
      </c>
      <c r="AB123">
        <f t="shared" si="55"/>
        <v>2.29</v>
      </c>
      <c r="AC123">
        <f t="shared" si="56"/>
        <v>1</v>
      </c>
      <c r="AD123" s="8">
        <f t="shared" si="43"/>
        <v>356.9357777357754</v>
      </c>
      <c r="AE123" s="4">
        <f t="shared" si="44"/>
        <v>116062.42394197453</v>
      </c>
      <c r="AF123" s="5">
        <f t="shared" si="45"/>
        <v>0.01714208189992304</v>
      </c>
      <c r="AG123" s="4">
        <f t="shared" si="57"/>
        <v>225</v>
      </c>
      <c r="AH123" s="8">
        <f t="shared" si="58"/>
        <v>124.89154301684685</v>
      </c>
      <c r="AI123" s="10">
        <f t="shared" si="59"/>
        <v>19.095158469624792</v>
      </c>
    </row>
    <row r="124" spans="1:35" ht="12.75">
      <c r="A124" s="111"/>
      <c r="B124" s="114"/>
      <c r="D124">
        <f t="shared" si="60"/>
        <v>2.25</v>
      </c>
      <c r="E124" s="4">
        <f t="shared" si="46"/>
        <v>22.5</v>
      </c>
      <c r="F124" s="15">
        <f t="shared" si="61"/>
        <v>5.25</v>
      </c>
      <c r="G124" s="15">
        <f t="shared" si="47"/>
        <v>11.8125</v>
      </c>
      <c r="I124" s="15">
        <f t="shared" si="62"/>
        <v>0</v>
      </c>
      <c r="J124" s="15">
        <f t="shared" si="48"/>
        <v>0</v>
      </c>
      <c r="K124" s="15"/>
      <c r="L124" s="15">
        <f t="shared" si="49"/>
        <v>5.25</v>
      </c>
      <c r="M124" s="15">
        <f t="shared" si="50"/>
        <v>11.8125</v>
      </c>
      <c r="O124" s="121"/>
      <c r="Q124">
        <f t="shared" si="51"/>
        <v>5.19</v>
      </c>
      <c r="R124" s="4">
        <f t="shared" si="52"/>
        <v>78.87757562313367</v>
      </c>
      <c r="T124" s="4">
        <f t="shared" si="53"/>
        <v>17.112868877395798</v>
      </c>
      <c r="X124" s="3">
        <f t="shared" si="54"/>
        <v>0.011620129032885411</v>
      </c>
      <c r="AA124" s="1">
        <f t="shared" si="42"/>
        <v>8.205876156854018E-06</v>
      </c>
      <c r="AB124">
        <f t="shared" si="55"/>
        <v>2.29</v>
      </c>
      <c r="AC124">
        <f t="shared" si="56"/>
        <v>1</v>
      </c>
      <c r="AD124" s="8">
        <f t="shared" si="43"/>
        <v>357.562028882045</v>
      </c>
      <c r="AE124" s="4">
        <f t="shared" si="44"/>
        <v>115950.56455396609</v>
      </c>
      <c r="AF124" s="5">
        <f t="shared" si="45"/>
        <v>0.017146214716127418</v>
      </c>
      <c r="AG124" s="4">
        <f t="shared" si="57"/>
        <v>225</v>
      </c>
      <c r="AH124" s="8">
        <f t="shared" si="58"/>
        <v>125.14083095391946</v>
      </c>
      <c r="AI124" s="10">
        <f t="shared" si="59"/>
        <v>19.093907061315253</v>
      </c>
    </row>
    <row r="125" spans="1:35" ht="12.75">
      <c r="A125" s="111"/>
      <c r="B125" s="114"/>
      <c r="D125">
        <f t="shared" si="60"/>
        <v>2.25</v>
      </c>
      <c r="E125" s="4">
        <f t="shared" si="46"/>
        <v>24.75</v>
      </c>
      <c r="F125" s="15">
        <f t="shared" si="61"/>
        <v>5.25</v>
      </c>
      <c r="G125" s="15">
        <f t="shared" si="47"/>
        <v>11.8125</v>
      </c>
      <c r="I125" s="15">
        <f t="shared" si="62"/>
        <v>0</v>
      </c>
      <c r="J125" s="15">
        <f t="shared" si="48"/>
        <v>0</v>
      </c>
      <c r="K125" s="15"/>
      <c r="L125" s="15">
        <f t="shared" si="49"/>
        <v>5.25</v>
      </c>
      <c r="M125" s="15">
        <f t="shared" si="50"/>
        <v>11.8125</v>
      </c>
      <c r="O125" s="121"/>
      <c r="Q125">
        <f t="shared" si="51"/>
        <v>5.19</v>
      </c>
      <c r="R125" s="4">
        <f t="shared" si="52"/>
        <v>79.01057562313366</v>
      </c>
      <c r="T125" s="4">
        <f t="shared" si="53"/>
        <v>17.112868877395798</v>
      </c>
      <c r="X125" s="3">
        <f t="shared" si="54"/>
        <v>0.01159980840178547</v>
      </c>
      <c r="AA125" s="1">
        <f t="shared" si="42"/>
        <v>8.213784868854019E-06</v>
      </c>
      <c r="AB125">
        <f t="shared" si="55"/>
        <v>2.29</v>
      </c>
      <c r="AC125">
        <f t="shared" si="56"/>
        <v>1</v>
      </c>
      <c r="AD125" s="8">
        <f t="shared" si="43"/>
        <v>358.18840871803775</v>
      </c>
      <c r="AE125" s="4">
        <f t="shared" si="44"/>
        <v>115838.92057546694</v>
      </c>
      <c r="AF125" s="5">
        <f t="shared" si="45"/>
        <v>0.017150344546046494</v>
      </c>
      <c r="AG125" s="4">
        <f t="shared" si="57"/>
        <v>225</v>
      </c>
      <c r="AH125" s="8">
        <f t="shared" si="58"/>
        <v>125.39024776608694</v>
      </c>
      <c r="AI125" s="10">
        <f t="shared" si="59"/>
        <v>19.092653158837592</v>
      </c>
    </row>
    <row r="126" spans="1:35" ht="12.75">
      <c r="A126" s="111"/>
      <c r="B126" s="114"/>
      <c r="D126">
        <f t="shared" si="60"/>
        <v>2.25</v>
      </c>
      <c r="E126" s="4">
        <f t="shared" si="46"/>
        <v>27</v>
      </c>
      <c r="F126" s="15">
        <f t="shared" si="61"/>
        <v>5.25</v>
      </c>
      <c r="G126" s="15">
        <f t="shared" si="47"/>
        <v>11.8125</v>
      </c>
      <c r="I126" s="15">
        <f t="shared" si="62"/>
        <v>0</v>
      </c>
      <c r="J126" s="15">
        <f t="shared" si="48"/>
        <v>0</v>
      </c>
      <c r="K126" s="15"/>
      <c r="L126" s="15">
        <f t="shared" si="49"/>
        <v>5.25</v>
      </c>
      <c r="M126" s="15">
        <f t="shared" si="50"/>
        <v>11.8125</v>
      </c>
      <c r="O126" s="121"/>
      <c r="Q126">
        <f t="shared" si="51"/>
        <v>5.19</v>
      </c>
      <c r="R126" s="4">
        <f t="shared" si="52"/>
        <v>79.14357562313366</v>
      </c>
      <c r="T126" s="4">
        <f t="shared" si="53"/>
        <v>17.112868877395798</v>
      </c>
      <c r="X126" s="3">
        <f t="shared" si="54"/>
        <v>0.011579554555231986</v>
      </c>
      <c r="AA126" s="1">
        <f t="shared" si="42"/>
        <v>8.22169358085402E-06</v>
      </c>
      <c r="AB126">
        <f t="shared" si="55"/>
        <v>2.29</v>
      </c>
      <c r="AC126">
        <f t="shared" si="56"/>
        <v>1</v>
      </c>
      <c r="AD126" s="8">
        <f t="shared" si="43"/>
        <v>358.8149175386326</v>
      </c>
      <c r="AE126" s="4">
        <f t="shared" si="44"/>
        <v>115727.49138484911</v>
      </c>
      <c r="AF126" s="5">
        <f t="shared" si="45"/>
        <v>0.017154471394710356</v>
      </c>
      <c r="AG126" s="4">
        <f t="shared" si="57"/>
        <v>225</v>
      </c>
      <c r="AH126" s="8">
        <f t="shared" si="58"/>
        <v>125.63979351144351</v>
      </c>
      <c r="AI126" s="10">
        <f t="shared" si="59"/>
        <v>19.091396760902477</v>
      </c>
    </row>
    <row r="127" spans="1:35" ht="12.75">
      <c r="A127" s="111"/>
      <c r="B127" s="114"/>
      <c r="D127">
        <f t="shared" si="60"/>
        <v>2.25</v>
      </c>
      <c r="E127" s="4">
        <f t="shared" si="46"/>
        <v>29.25</v>
      </c>
      <c r="F127" s="15">
        <f t="shared" si="61"/>
        <v>5.25</v>
      </c>
      <c r="G127" s="15">
        <f t="shared" si="47"/>
        <v>11.8125</v>
      </c>
      <c r="I127" s="15">
        <f t="shared" si="62"/>
        <v>0</v>
      </c>
      <c r="J127" s="15">
        <f t="shared" si="48"/>
        <v>0</v>
      </c>
      <c r="K127" s="15"/>
      <c r="L127" s="15">
        <f t="shared" si="49"/>
        <v>5.25</v>
      </c>
      <c r="M127" s="15">
        <f t="shared" si="50"/>
        <v>11.8125</v>
      </c>
      <c r="O127" s="121"/>
      <c r="Q127">
        <f t="shared" si="51"/>
        <v>5.19</v>
      </c>
      <c r="R127" s="4">
        <f t="shared" si="52"/>
        <v>79.27657562313365</v>
      </c>
      <c r="T127" s="4">
        <f t="shared" si="53"/>
        <v>17.112868877395798</v>
      </c>
      <c r="X127" s="3">
        <f t="shared" si="54"/>
        <v>0.011559367156316834</v>
      </c>
      <c r="AA127" s="1">
        <f t="shared" si="42"/>
        <v>8.22960229285402E-06</v>
      </c>
      <c r="AB127">
        <f t="shared" si="55"/>
        <v>2.29</v>
      </c>
      <c r="AC127">
        <f t="shared" si="56"/>
        <v>1</v>
      </c>
      <c r="AD127" s="8">
        <f t="shared" si="43"/>
        <v>359.4415556390672</v>
      </c>
      <c r="AE127" s="4">
        <f t="shared" si="44"/>
        <v>115616.27636287412</v>
      </c>
      <c r="AF127" s="5">
        <f t="shared" si="45"/>
        <v>0.017158595267135767</v>
      </c>
      <c r="AG127" s="4">
        <f t="shared" si="57"/>
        <v>225</v>
      </c>
      <c r="AH127" s="8">
        <f t="shared" si="58"/>
        <v>125.88946824842074</v>
      </c>
      <c r="AI127" s="10">
        <f t="shared" si="59"/>
        <v>19.090137866219994</v>
      </c>
    </row>
    <row r="128" spans="1:35" ht="12.75">
      <c r="A128" s="111"/>
      <c r="B128" s="114"/>
      <c r="D128">
        <f t="shared" si="60"/>
        <v>2.25</v>
      </c>
      <c r="E128" s="4">
        <f t="shared" si="46"/>
        <v>31.5</v>
      </c>
      <c r="F128" s="15">
        <f t="shared" si="61"/>
        <v>5.25</v>
      </c>
      <c r="G128" s="15">
        <f t="shared" si="47"/>
        <v>11.8125</v>
      </c>
      <c r="I128" s="15">
        <f t="shared" si="62"/>
        <v>0</v>
      </c>
      <c r="J128" s="15">
        <f t="shared" si="48"/>
        <v>0</v>
      </c>
      <c r="K128" s="15"/>
      <c r="L128" s="15">
        <f t="shared" si="49"/>
        <v>5.25</v>
      </c>
      <c r="M128" s="15">
        <f t="shared" si="50"/>
        <v>11.8125</v>
      </c>
      <c r="O128" s="121"/>
      <c r="Q128">
        <f t="shared" si="51"/>
        <v>5.19</v>
      </c>
      <c r="R128" s="4">
        <f t="shared" si="52"/>
        <v>79.40957562313365</v>
      </c>
      <c r="T128" s="4">
        <f t="shared" si="53"/>
        <v>17.112868877395798</v>
      </c>
      <c r="X128" s="3">
        <f t="shared" si="54"/>
        <v>0.011539245870388645</v>
      </c>
      <c r="AA128" s="1">
        <f t="shared" si="42"/>
        <v>8.23751100485402E-06</v>
      </c>
      <c r="AB128">
        <f t="shared" si="55"/>
        <v>2.29</v>
      </c>
      <c r="AC128">
        <f t="shared" si="56"/>
        <v>1</v>
      </c>
      <c r="AD128" s="8">
        <f t="shared" si="43"/>
        <v>360.0683233149381</v>
      </c>
      <c r="AE128" s="4">
        <f t="shared" si="44"/>
        <v>115505.27489268154</v>
      </c>
      <c r="AF128" s="5">
        <f t="shared" si="45"/>
        <v>0.01716271616832628</v>
      </c>
      <c r="AG128" s="4">
        <f t="shared" si="57"/>
        <v>225</v>
      </c>
      <c r="AH128" s="8">
        <f t="shared" si="58"/>
        <v>126.13927203578771</v>
      </c>
      <c r="AI128" s="10">
        <f t="shared" si="59"/>
        <v>19.088876473499635</v>
      </c>
    </row>
    <row r="129" spans="1:35" ht="13.5" thickBot="1">
      <c r="A129" s="112"/>
      <c r="B129" s="115"/>
      <c r="D129">
        <f t="shared" si="60"/>
        <v>2.25</v>
      </c>
      <c r="E129" s="4">
        <f t="shared" si="46"/>
        <v>33.75</v>
      </c>
      <c r="F129" s="15">
        <f t="shared" si="61"/>
        <v>5.25</v>
      </c>
      <c r="G129" s="15">
        <f t="shared" si="47"/>
        <v>11.8125</v>
      </c>
      <c r="I129" s="15">
        <f t="shared" si="62"/>
        <v>0</v>
      </c>
      <c r="J129" s="15">
        <f t="shared" si="48"/>
        <v>0</v>
      </c>
      <c r="K129" s="15"/>
      <c r="L129" s="15">
        <f t="shared" si="49"/>
        <v>5.25</v>
      </c>
      <c r="M129" s="15">
        <f t="shared" si="50"/>
        <v>11.8125</v>
      </c>
      <c r="O129" s="122"/>
      <c r="Q129">
        <f t="shared" si="51"/>
        <v>5.19</v>
      </c>
      <c r="R129" s="4">
        <f t="shared" si="52"/>
        <v>79.54257562313364</v>
      </c>
      <c r="T129" s="4">
        <f t="shared" si="53"/>
        <v>17.112868877395798</v>
      </c>
      <c r="X129" s="3">
        <f t="shared" si="54"/>
        <v>0.011519190365033913</v>
      </c>
      <c r="AA129" s="1">
        <f t="shared" si="42"/>
        <v>8.24541971685402E-06</v>
      </c>
      <c r="AB129">
        <f t="shared" si="55"/>
        <v>2.29</v>
      </c>
      <c r="AC129">
        <f t="shared" si="56"/>
        <v>1</v>
      </c>
      <c r="AD129" s="8">
        <f t="shared" si="43"/>
        <v>360.69522086220246</v>
      </c>
      <c r="AE129" s="4">
        <f t="shared" si="44"/>
        <v>115394.4863597776</v>
      </c>
      <c r="AF129" s="5">
        <f t="shared" si="45"/>
        <v>0.017166834103272202</v>
      </c>
      <c r="AG129" s="4">
        <f t="shared" si="57"/>
        <v>225</v>
      </c>
      <c r="AH129" s="8">
        <f t="shared" si="58"/>
        <v>126.38920493265076</v>
      </c>
      <c r="AI129" s="10">
        <f t="shared" si="59"/>
        <v>19.08761258145031</v>
      </c>
    </row>
    <row r="130" spans="1:35" ht="12.75">
      <c r="A130" s="108" t="s">
        <v>43</v>
      </c>
      <c r="B130" s="113">
        <f>O130</f>
        <v>177.1875</v>
      </c>
      <c r="D130">
        <f t="shared" si="60"/>
        <v>2.25</v>
      </c>
      <c r="E130" s="4">
        <f t="shared" si="46"/>
        <v>36</v>
      </c>
      <c r="F130" s="15">
        <f t="shared" si="61"/>
        <v>5.25</v>
      </c>
      <c r="G130" s="15">
        <f t="shared" si="47"/>
        <v>11.8125</v>
      </c>
      <c r="I130" s="15">
        <f t="shared" si="62"/>
        <v>0</v>
      </c>
      <c r="J130" s="15">
        <f t="shared" si="48"/>
        <v>0</v>
      </c>
      <c r="K130" s="15"/>
      <c r="L130" s="15">
        <f t="shared" si="49"/>
        <v>5.25</v>
      </c>
      <c r="M130" s="15">
        <f t="shared" si="50"/>
        <v>11.8125</v>
      </c>
      <c r="O130" s="116">
        <f>SUM(M130:M144)</f>
        <v>177.1875</v>
      </c>
      <c r="Q130">
        <f t="shared" si="51"/>
        <v>5.19</v>
      </c>
      <c r="R130" s="4">
        <f t="shared" si="52"/>
        <v>79.67557562313364</v>
      </c>
      <c r="T130" s="4">
        <f t="shared" si="53"/>
        <v>17.112868877395798</v>
      </c>
      <c r="X130" s="3">
        <f t="shared" si="54"/>
        <v>0.011499200310058336</v>
      </c>
      <c r="AA130" s="1">
        <f t="shared" si="42"/>
        <v>8.253328428854019E-06</v>
      </c>
      <c r="AB130">
        <f t="shared" si="55"/>
        <v>2.29</v>
      </c>
      <c r="AC130">
        <f t="shared" si="56"/>
        <v>1</v>
      </c>
      <c r="AD130" s="8">
        <f t="shared" si="43"/>
        <v>361.3222485771782</v>
      </c>
      <c r="AE130" s="4">
        <f t="shared" si="44"/>
        <v>115283.91015202408</v>
      </c>
      <c r="AF130" s="5">
        <f t="shared" si="45"/>
        <v>0.017170949076950704</v>
      </c>
      <c r="AG130" s="4">
        <f t="shared" si="57"/>
        <v>225</v>
      </c>
      <c r="AH130" s="8">
        <f t="shared" si="58"/>
        <v>126.63926699845364</v>
      </c>
      <c r="AI130" s="10">
        <f t="shared" si="59"/>
        <v>19.086346188780325</v>
      </c>
    </row>
    <row r="131" spans="1:35" ht="12.75">
      <c r="A131" s="111"/>
      <c r="B131" s="114"/>
      <c r="D131">
        <f t="shared" si="60"/>
        <v>2.25</v>
      </c>
      <c r="E131" s="4">
        <f t="shared" si="46"/>
        <v>38.25</v>
      </c>
      <c r="F131" s="15">
        <f t="shared" si="61"/>
        <v>5.25</v>
      </c>
      <c r="G131" s="15">
        <f t="shared" si="47"/>
        <v>11.8125</v>
      </c>
      <c r="I131" s="15">
        <f t="shared" si="62"/>
        <v>0</v>
      </c>
      <c r="J131" s="15">
        <f t="shared" si="48"/>
        <v>0</v>
      </c>
      <c r="K131" s="15"/>
      <c r="L131" s="15">
        <f t="shared" si="49"/>
        <v>5.25</v>
      </c>
      <c r="M131" s="15">
        <f t="shared" si="50"/>
        <v>11.8125</v>
      </c>
      <c r="O131" s="117"/>
      <c r="Q131">
        <f t="shared" si="51"/>
        <v>5.19</v>
      </c>
      <c r="R131" s="4">
        <f t="shared" si="52"/>
        <v>79.80857562313363</v>
      </c>
      <c r="T131" s="4">
        <f t="shared" si="53"/>
        <v>17.112868877395798</v>
      </c>
      <c r="X131" s="3">
        <f t="shared" si="54"/>
        <v>0.01147927537746831</v>
      </c>
      <c r="AA131" s="1">
        <f t="shared" si="42"/>
        <v>8.261237140854018E-06</v>
      </c>
      <c r="AB131">
        <f t="shared" si="55"/>
        <v>2.29</v>
      </c>
      <c r="AC131">
        <f t="shared" si="56"/>
        <v>1</v>
      </c>
      <c r="AD131" s="8">
        <f t="shared" si="43"/>
        <v>361.9494067565445</v>
      </c>
      <c r="AE131" s="4">
        <f t="shared" si="44"/>
        <v>115173.54565962656</v>
      </c>
      <c r="AF131" s="5">
        <f t="shared" si="45"/>
        <v>0.017175061094325823</v>
      </c>
      <c r="AG131" s="4">
        <f t="shared" si="57"/>
        <v>225</v>
      </c>
      <c r="AH131" s="8">
        <f t="shared" si="58"/>
        <v>126.88945829297676</v>
      </c>
      <c r="AI131" s="10">
        <f t="shared" si="59"/>
        <v>19.085077294197397</v>
      </c>
    </row>
    <row r="132" spans="1:35" ht="12.75">
      <c r="A132" s="111"/>
      <c r="B132" s="114"/>
      <c r="D132">
        <f t="shared" si="60"/>
        <v>2.25</v>
      </c>
      <c r="E132" s="4">
        <f t="shared" si="46"/>
        <v>40.5</v>
      </c>
      <c r="F132" s="15">
        <f t="shared" si="61"/>
        <v>5.25</v>
      </c>
      <c r="G132" s="15">
        <f t="shared" si="47"/>
        <v>11.8125</v>
      </c>
      <c r="I132" s="15">
        <f t="shared" si="62"/>
        <v>0</v>
      </c>
      <c r="J132" s="15">
        <f t="shared" si="48"/>
        <v>0</v>
      </c>
      <c r="K132" s="15"/>
      <c r="L132" s="15">
        <f t="shared" si="49"/>
        <v>5.25</v>
      </c>
      <c r="M132" s="15">
        <f t="shared" si="50"/>
        <v>11.8125</v>
      </c>
      <c r="O132" s="117"/>
      <c r="Q132">
        <f t="shared" si="51"/>
        <v>5.19</v>
      </c>
      <c r="R132" s="4">
        <f t="shared" si="52"/>
        <v>79.94157562313363</v>
      </c>
      <c r="T132" s="4">
        <f t="shared" si="53"/>
        <v>17.112868877395798</v>
      </c>
      <c r="X132" s="3">
        <f t="shared" si="54"/>
        <v>0.011459415241452626</v>
      </c>
      <c r="AA132" s="1">
        <f t="shared" si="42"/>
        <v>8.269145852854018E-06</v>
      </c>
      <c r="AB132">
        <f t="shared" si="55"/>
        <v>2.29</v>
      </c>
      <c r="AC132">
        <f t="shared" si="56"/>
        <v>1</v>
      </c>
      <c r="AD132" s="8">
        <f t="shared" si="43"/>
        <v>362.576695697343</v>
      </c>
      <c r="AE132" s="4">
        <f t="shared" si="44"/>
        <v>115063.39227512354</v>
      </c>
      <c r="AF132" s="5">
        <f t="shared" si="45"/>
        <v>0.01717917016034857</v>
      </c>
      <c r="AG132" s="4">
        <f t="shared" si="57"/>
        <v>225</v>
      </c>
      <c r="AH132" s="8">
        <f t="shared" si="58"/>
        <v>127.1397788763378</v>
      </c>
      <c r="AI132" s="10">
        <f t="shared" si="59"/>
        <v>19.083805896408634</v>
      </c>
    </row>
    <row r="133" spans="1:35" ht="12.75">
      <c r="A133" s="111"/>
      <c r="B133" s="114"/>
      <c r="D133">
        <f t="shared" si="60"/>
        <v>2.25</v>
      </c>
      <c r="E133" s="4">
        <f t="shared" si="46"/>
        <v>42.75</v>
      </c>
      <c r="F133" s="15">
        <f t="shared" si="61"/>
        <v>5.25</v>
      </c>
      <c r="G133" s="15">
        <f t="shared" si="47"/>
        <v>11.8125</v>
      </c>
      <c r="I133" s="15">
        <f t="shared" si="62"/>
        <v>0</v>
      </c>
      <c r="J133" s="15">
        <f t="shared" si="48"/>
        <v>0</v>
      </c>
      <c r="K133" s="15"/>
      <c r="L133" s="15">
        <f t="shared" si="49"/>
        <v>5.25</v>
      </c>
      <c r="M133" s="15">
        <f t="shared" si="50"/>
        <v>11.8125</v>
      </c>
      <c r="O133" s="117"/>
      <c r="Q133">
        <f t="shared" si="51"/>
        <v>5.19</v>
      </c>
      <c r="R133" s="4">
        <f t="shared" si="52"/>
        <v>80.07457562313363</v>
      </c>
      <c r="T133" s="4">
        <f t="shared" si="53"/>
        <v>17.112868877395798</v>
      </c>
      <c r="X133" s="3">
        <f t="shared" si="54"/>
        <v>0.01143961957836433</v>
      </c>
      <c r="AA133" s="1">
        <f t="shared" si="42"/>
        <v>8.277054564854017E-06</v>
      </c>
      <c r="AB133">
        <f t="shared" si="55"/>
        <v>2.29</v>
      </c>
      <c r="AC133">
        <f t="shared" si="56"/>
        <v>1</v>
      </c>
      <c r="AD133" s="8">
        <f t="shared" si="43"/>
        <v>363.2041156969789</v>
      </c>
      <c r="AE133" s="4">
        <f t="shared" si="44"/>
        <v>114953.44939337535</v>
      </c>
      <c r="AF133" s="5">
        <f t="shared" si="45"/>
        <v>0.017183276279956902</v>
      </c>
      <c r="AG133" s="4">
        <f t="shared" si="57"/>
        <v>225</v>
      </c>
      <c r="AH133" s="8">
        <f t="shared" si="58"/>
        <v>127.3902288089913</v>
      </c>
      <c r="AI133" s="10">
        <f t="shared" si="59"/>
        <v>19.082531994120544</v>
      </c>
    </row>
    <row r="134" spans="1:35" ht="12.75">
      <c r="A134" s="111"/>
      <c r="B134" s="114"/>
      <c r="D134">
        <f t="shared" si="60"/>
        <v>2.25</v>
      </c>
      <c r="E134" s="4">
        <f t="shared" si="46"/>
        <v>45</v>
      </c>
      <c r="F134" s="15">
        <f t="shared" si="61"/>
        <v>5.25</v>
      </c>
      <c r="G134" s="15">
        <f t="shared" si="47"/>
        <v>11.8125</v>
      </c>
      <c r="I134" s="15">
        <f t="shared" si="62"/>
        <v>0</v>
      </c>
      <c r="J134" s="15">
        <f t="shared" si="48"/>
        <v>0</v>
      </c>
      <c r="K134" s="15"/>
      <c r="L134" s="15">
        <f t="shared" si="49"/>
        <v>5.25</v>
      </c>
      <c r="M134" s="15">
        <f t="shared" si="50"/>
        <v>11.8125</v>
      </c>
      <c r="O134" s="117"/>
      <c r="Q134">
        <f t="shared" si="51"/>
        <v>5.19</v>
      </c>
      <c r="R134" s="4">
        <f t="shared" si="52"/>
        <v>80.20757562313362</v>
      </c>
      <c r="T134" s="4">
        <f t="shared" si="53"/>
        <v>17.112868877395798</v>
      </c>
      <c r="X134" s="3">
        <f t="shared" si="54"/>
        <v>0.011419888066702803</v>
      </c>
      <c r="AA134" s="1">
        <f t="shared" si="42"/>
        <v>8.284963276854018E-06</v>
      </c>
      <c r="AB134">
        <f t="shared" si="55"/>
        <v>2.29</v>
      </c>
      <c r="AC134">
        <f t="shared" si="56"/>
        <v>1</v>
      </c>
      <c r="AD134" s="8">
        <f t="shared" si="43"/>
        <v>363.83166705322077</v>
      </c>
      <c r="AE134" s="4">
        <f t="shared" si="44"/>
        <v>114843.7164115529</v>
      </c>
      <c r="AF134" s="5">
        <f t="shared" si="45"/>
        <v>0.017187379458075823</v>
      </c>
      <c r="AG134" s="4">
        <f t="shared" si="57"/>
        <v>225</v>
      </c>
      <c r="AH134" s="8">
        <f t="shared" si="58"/>
        <v>127.64080815172815</v>
      </c>
      <c r="AI134" s="10">
        <f t="shared" si="59"/>
        <v>19.081255586039028</v>
      </c>
    </row>
    <row r="135" spans="1:35" ht="12.75">
      <c r="A135" s="111"/>
      <c r="B135" s="114"/>
      <c r="D135">
        <f t="shared" si="60"/>
        <v>2.25</v>
      </c>
      <c r="E135" s="4">
        <f t="shared" si="46"/>
        <v>47.25</v>
      </c>
      <c r="F135" s="15">
        <f t="shared" si="61"/>
        <v>5.25</v>
      </c>
      <c r="G135" s="15">
        <f t="shared" si="47"/>
        <v>11.8125</v>
      </c>
      <c r="I135" s="15">
        <f t="shared" si="62"/>
        <v>0</v>
      </c>
      <c r="J135" s="15">
        <f t="shared" si="48"/>
        <v>0</v>
      </c>
      <c r="K135" s="15"/>
      <c r="L135" s="15">
        <f t="shared" si="49"/>
        <v>5.25</v>
      </c>
      <c r="M135" s="15">
        <f t="shared" si="50"/>
        <v>11.8125</v>
      </c>
      <c r="O135" s="117"/>
      <c r="Q135">
        <f t="shared" si="51"/>
        <v>5.19</v>
      </c>
      <c r="R135" s="4">
        <f t="shared" si="52"/>
        <v>80.34057562313362</v>
      </c>
      <c r="T135" s="4">
        <f t="shared" si="53"/>
        <v>17.112868877395798</v>
      </c>
      <c r="X135" s="3">
        <f t="shared" si="54"/>
        <v>0.011400220387095969</v>
      </c>
      <c r="AA135" s="1">
        <f t="shared" si="42"/>
        <v>8.292871988854017E-06</v>
      </c>
      <c r="AB135">
        <f t="shared" si="55"/>
        <v>2.29</v>
      </c>
      <c r="AC135">
        <f t="shared" si="56"/>
        <v>1</v>
      </c>
      <c r="AD135" s="8">
        <f t="shared" si="43"/>
        <v>364.459350064202</v>
      </c>
      <c r="AE135" s="4">
        <f t="shared" si="44"/>
        <v>114734.19272912669</v>
      </c>
      <c r="AF135" s="5">
        <f t="shared" si="45"/>
        <v>0.01719147969961741</v>
      </c>
      <c r="AG135" s="4">
        <f t="shared" si="57"/>
        <v>225</v>
      </c>
      <c r="AH135" s="8">
        <f t="shared" si="58"/>
        <v>127.89151696567626</v>
      </c>
      <c r="AI135" s="10">
        <f t="shared" si="59"/>
        <v>19.07997667086937</v>
      </c>
    </row>
    <row r="136" spans="1:35" ht="12.75">
      <c r="A136" s="111"/>
      <c r="B136" s="114"/>
      <c r="D136">
        <f t="shared" si="60"/>
        <v>2.25</v>
      </c>
      <c r="E136" s="4">
        <f t="shared" si="46"/>
        <v>49.5</v>
      </c>
      <c r="F136" s="15">
        <f t="shared" si="61"/>
        <v>5.25</v>
      </c>
      <c r="G136" s="15">
        <f t="shared" si="47"/>
        <v>11.8125</v>
      </c>
      <c r="I136" s="15">
        <f t="shared" si="62"/>
        <v>0</v>
      </c>
      <c r="J136" s="15">
        <f t="shared" si="48"/>
        <v>0</v>
      </c>
      <c r="K136" s="15"/>
      <c r="L136" s="15">
        <f t="shared" si="49"/>
        <v>5.25</v>
      </c>
      <c r="M136" s="15">
        <f t="shared" si="50"/>
        <v>11.8125</v>
      </c>
      <c r="O136" s="117"/>
      <c r="Q136">
        <f t="shared" si="51"/>
        <v>5.19</v>
      </c>
      <c r="R136" s="4">
        <f t="shared" si="52"/>
        <v>80.47357562313361</v>
      </c>
      <c r="T136" s="4">
        <f t="shared" si="53"/>
        <v>17.112868877395798</v>
      </c>
      <c r="X136" s="3">
        <f t="shared" si="54"/>
        <v>0.011380616222282723</v>
      </c>
      <c r="AA136" s="1">
        <f t="shared" si="42"/>
        <v>8.300780700854018E-06</v>
      </c>
      <c r="AB136">
        <f t="shared" si="55"/>
        <v>2.29</v>
      </c>
      <c r="AC136">
        <f t="shared" si="56"/>
        <v>1</v>
      </c>
      <c r="AD136" s="8">
        <f t="shared" si="43"/>
        <v>365.0871650284214</v>
      </c>
      <c r="AE136" s="4">
        <f t="shared" si="44"/>
        <v>114624.87774785582</v>
      </c>
      <c r="AF136" s="5">
        <f t="shared" si="45"/>
        <v>0.017195577009480875</v>
      </c>
      <c r="AG136" s="4">
        <f t="shared" si="57"/>
        <v>225</v>
      </c>
      <c r="AH136" s="8">
        <f t="shared" si="58"/>
        <v>128.14235531229983</v>
      </c>
      <c r="AI136" s="10">
        <f t="shared" si="59"/>
        <v>19.078695247316247</v>
      </c>
    </row>
    <row r="137" spans="1:35" ht="12.75">
      <c r="A137" s="111"/>
      <c r="B137" s="114"/>
      <c r="D137">
        <f t="shared" si="60"/>
        <v>2.25</v>
      </c>
      <c r="E137" s="4">
        <f t="shared" si="46"/>
        <v>51.75</v>
      </c>
      <c r="F137" s="15">
        <f t="shared" si="61"/>
        <v>5.25</v>
      </c>
      <c r="G137" s="15">
        <f t="shared" si="47"/>
        <v>11.8125</v>
      </c>
      <c r="I137" s="15">
        <f t="shared" si="62"/>
        <v>0</v>
      </c>
      <c r="J137" s="15">
        <f t="shared" si="48"/>
        <v>0</v>
      </c>
      <c r="K137" s="15"/>
      <c r="L137" s="15">
        <f t="shared" si="49"/>
        <v>5.25</v>
      </c>
      <c r="M137" s="15">
        <f t="shared" si="50"/>
        <v>11.8125</v>
      </c>
      <c r="O137" s="117"/>
      <c r="Q137">
        <f t="shared" si="51"/>
        <v>5.19</v>
      </c>
      <c r="R137" s="4">
        <f t="shared" si="52"/>
        <v>80.60657562313361</v>
      </c>
      <c r="T137" s="4">
        <f t="shared" si="53"/>
        <v>17.112868877395798</v>
      </c>
      <c r="X137" s="3">
        <f t="shared" si="54"/>
        <v>0.01136107525709549</v>
      </c>
      <c r="AA137" s="1">
        <f t="shared" si="42"/>
        <v>8.308689412854017E-06</v>
      </c>
      <c r="AB137">
        <f t="shared" si="55"/>
        <v>2.29</v>
      </c>
      <c r="AC137">
        <f t="shared" si="56"/>
        <v>1</v>
      </c>
      <c r="AD137" s="8">
        <f t="shared" si="43"/>
        <v>365.71511224474415</v>
      </c>
      <c r="AE137" s="4">
        <f t="shared" si="44"/>
        <v>114515.77087177735</v>
      </c>
      <c r="AF137" s="5">
        <f t="shared" si="45"/>
        <v>0.01719967139255256</v>
      </c>
      <c r="AG137" s="4">
        <f t="shared" si="57"/>
        <v>225</v>
      </c>
      <c r="AH137" s="8">
        <f t="shared" si="58"/>
        <v>128.39332325339942</v>
      </c>
      <c r="AI137" s="10">
        <f t="shared" si="59"/>
        <v>19.07741131408371</v>
      </c>
    </row>
    <row r="138" spans="1:35" ht="12.75">
      <c r="A138" s="111"/>
      <c r="B138" s="114"/>
      <c r="D138">
        <f t="shared" si="60"/>
        <v>2.25</v>
      </c>
      <c r="E138" s="4">
        <f t="shared" si="46"/>
        <v>54</v>
      </c>
      <c r="F138" s="15">
        <f t="shared" si="61"/>
        <v>5.25</v>
      </c>
      <c r="G138" s="15">
        <f t="shared" si="47"/>
        <v>11.8125</v>
      </c>
      <c r="I138" s="15">
        <f t="shared" si="62"/>
        <v>0</v>
      </c>
      <c r="J138" s="15">
        <f t="shared" si="48"/>
        <v>0</v>
      </c>
      <c r="K138" s="15"/>
      <c r="L138" s="15">
        <f t="shared" si="49"/>
        <v>5.25</v>
      </c>
      <c r="M138" s="15">
        <f t="shared" si="50"/>
        <v>11.8125</v>
      </c>
      <c r="O138" s="117"/>
      <c r="Q138">
        <f t="shared" si="51"/>
        <v>5.19</v>
      </c>
      <c r="R138" s="4">
        <f t="shared" si="52"/>
        <v>80.7395756231336</v>
      </c>
      <c r="T138" s="4">
        <f t="shared" si="53"/>
        <v>17.112868877395798</v>
      </c>
      <c r="X138" s="3">
        <f t="shared" si="54"/>
        <v>0.011341597178443012</v>
      </c>
      <c r="AA138" s="1">
        <f t="shared" si="42"/>
        <v>8.316598124854016E-06</v>
      </c>
      <c r="AB138">
        <f t="shared" si="55"/>
        <v>2.29</v>
      </c>
      <c r="AC138">
        <f t="shared" si="56"/>
        <v>1</v>
      </c>
      <c r="AD138" s="8">
        <f t="shared" si="43"/>
        <v>366.34319201240174</v>
      </c>
      <c r="AE138" s="4">
        <f t="shared" si="44"/>
        <v>114406.87150719509</v>
      </c>
      <c r="AF138" s="5">
        <f t="shared" si="45"/>
        <v>0.01720376285370607</v>
      </c>
      <c r="AG138" s="4">
        <f t="shared" si="57"/>
        <v>225</v>
      </c>
      <c r="AH138" s="8">
        <f t="shared" si="58"/>
        <v>128.6444208511119</v>
      </c>
      <c r="AI138" s="10">
        <f t="shared" si="59"/>
        <v>19.0761248698752</v>
      </c>
    </row>
    <row r="139" spans="1:35" ht="12.75">
      <c r="A139" s="111"/>
      <c r="B139" s="114"/>
      <c r="D139">
        <f t="shared" si="60"/>
        <v>2.25</v>
      </c>
      <c r="E139" s="4">
        <f t="shared" si="46"/>
        <v>56.25</v>
      </c>
      <c r="F139" s="15">
        <f t="shared" si="61"/>
        <v>5.25</v>
      </c>
      <c r="G139" s="15">
        <f t="shared" si="47"/>
        <v>11.8125</v>
      </c>
      <c r="I139" s="15">
        <f t="shared" si="62"/>
        <v>0</v>
      </c>
      <c r="J139" s="15">
        <f t="shared" si="48"/>
        <v>0</v>
      </c>
      <c r="K139" s="15"/>
      <c r="L139" s="15">
        <f t="shared" si="49"/>
        <v>5.25</v>
      </c>
      <c r="M139" s="15">
        <f t="shared" si="50"/>
        <v>11.8125</v>
      </c>
      <c r="O139" s="117"/>
      <c r="Q139">
        <f t="shared" si="51"/>
        <v>5.19</v>
      </c>
      <c r="R139" s="4">
        <f t="shared" si="52"/>
        <v>80.8725756231336</v>
      </c>
      <c r="T139" s="4">
        <f t="shared" si="53"/>
        <v>17.112868877395798</v>
      </c>
      <c r="X139" s="3">
        <f t="shared" si="54"/>
        <v>0.011322181675293237</v>
      </c>
      <c r="AA139" s="1">
        <f t="shared" si="42"/>
        <v>8.324506836854016E-06</v>
      </c>
      <c r="AB139">
        <f t="shared" si="55"/>
        <v>2.29</v>
      </c>
      <c r="AC139">
        <f t="shared" si="56"/>
        <v>1</v>
      </c>
      <c r="AD139" s="8">
        <f t="shared" si="43"/>
        <v>366.97140463099424</v>
      </c>
      <c r="AE139" s="4">
        <f t="shared" si="44"/>
        <v>114298.17906266902</v>
      </c>
      <c r="AF139" s="5">
        <f t="shared" si="45"/>
        <v>0.017207851397802235</v>
      </c>
      <c r="AG139" s="4">
        <f t="shared" si="57"/>
        <v>225</v>
      </c>
      <c r="AH139" s="8">
        <f t="shared" si="58"/>
        <v>128.89564816791048</v>
      </c>
      <c r="AI139" s="10">
        <f t="shared" si="59"/>
        <v>19.07483591339352</v>
      </c>
    </row>
    <row r="140" spans="1:35" ht="12.75">
      <c r="A140" s="111"/>
      <c r="B140" s="114"/>
      <c r="D140">
        <f t="shared" si="60"/>
        <v>2.25</v>
      </c>
      <c r="E140" s="4">
        <f t="shared" si="46"/>
        <v>58.5</v>
      </c>
      <c r="F140" s="15">
        <f t="shared" si="61"/>
        <v>5.25</v>
      </c>
      <c r="G140" s="15">
        <f t="shared" si="47"/>
        <v>11.8125</v>
      </c>
      <c r="I140" s="15">
        <f t="shared" si="62"/>
        <v>0</v>
      </c>
      <c r="J140" s="15">
        <f t="shared" si="48"/>
        <v>0</v>
      </c>
      <c r="K140" s="15"/>
      <c r="L140" s="15">
        <f t="shared" si="49"/>
        <v>5.25</v>
      </c>
      <c r="M140" s="15">
        <f t="shared" si="50"/>
        <v>11.8125</v>
      </c>
      <c r="O140" s="117"/>
      <c r="Q140">
        <f t="shared" si="51"/>
        <v>5.19</v>
      </c>
      <c r="R140" s="4">
        <f t="shared" si="52"/>
        <v>81.0055756231336</v>
      </c>
      <c r="T140" s="4">
        <f t="shared" si="53"/>
        <v>17.112868877395798</v>
      </c>
      <c r="X140" s="3">
        <f t="shared" si="54"/>
        <v>0.011302828438656438</v>
      </c>
      <c r="AA140" s="1">
        <f t="shared" si="42"/>
        <v>8.332415548854015E-06</v>
      </c>
      <c r="AB140">
        <f t="shared" si="55"/>
        <v>2.29</v>
      </c>
      <c r="AC140">
        <f t="shared" si="56"/>
        <v>1</v>
      </c>
      <c r="AD140" s="8">
        <f t="shared" si="43"/>
        <v>367.5997504004896</v>
      </c>
      <c r="AE140" s="4">
        <f t="shared" si="44"/>
        <v>114189.69294900475</v>
      </c>
      <c r="AF140" s="5">
        <f t="shared" si="45"/>
        <v>0.0172119370296892</v>
      </c>
      <c r="AG140" s="4">
        <f t="shared" si="57"/>
        <v>225</v>
      </c>
      <c r="AH140" s="8">
        <f t="shared" si="58"/>
        <v>129.14700526660408</v>
      </c>
      <c r="AI140" s="10">
        <f t="shared" si="59"/>
        <v>19.073544443340854</v>
      </c>
    </row>
    <row r="141" spans="1:35" ht="12.75">
      <c r="A141" s="111"/>
      <c r="B141" s="114"/>
      <c r="D141">
        <f t="shared" si="60"/>
        <v>2.25</v>
      </c>
      <c r="E141" s="4">
        <f t="shared" si="46"/>
        <v>60.75</v>
      </c>
      <c r="F141" s="15">
        <f t="shared" si="61"/>
        <v>5.25</v>
      </c>
      <c r="G141" s="15">
        <f t="shared" si="47"/>
        <v>11.8125</v>
      </c>
      <c r="I141" s="15">
        <f t="shared" si="62"/>
        <v>0</v>
      </c>
      <c r="J141" s="15">
        <f t="shared" si="48"/>
        <v>0</v>
      </c>
      <c r="K141" s="15"/>
      <c r="L141" s="15">
        <f t="shared" si="49"/>
        <v>5.25</v>
      </c>
      <c r="M141" s="15">
        <f t="shared" si="50"/>
        <v>11.8125</v>
      </c>
      <c r="O141" s="117"/>
      <c r="Q141">
        <f t="shared" si="51"/>
        <v>5.19</v>
      </c>
      <c r="R141" s="4">
        <f t="shared" si="52"/>
        <v>81.13857562313359</v>
      </c>
      <c r="T141" s="4">
        <f t="shared" si="53"/>
        <v>17.112868877395798</v>
      </c>
      <c r="X141" s="3">
        <f t="shared" si="54"/>
        <v>0.011283537161568465</v>
      </c>
      <c r="AA141" s="1">
        <f t="shared" si="42"/>
        <v>8.340324260854016E-06</v>
      </c>
      <c r="AB141">
        <f t="shared" si="55"/>
        <v>2.29</v>
      </c>
      <c r="AC141">
        <f t="shared" si="56"/>
        <v>1</v>
      </c>
      <c r="AD141" s="8">
        <f t="shared" si="43"/>
        <v>368.22822962122535</v>
      </c>
      <c r="AE141" s="4">
        <f t="shared" si="44"/>
        <v>114081.41257924246</v>
      </c>
      <c r="AF141" s="5">
        <f t="shared" si="45"/>
        <v>0.017216019754202474</v>
      </c>
      <c r="AG141" s="4">
        <f t="shared" si="57"/>
        <v>225</v>
      </c>
      <c r="AH141" s="8">
        <f t="shared" si="58"/>
        <v>129.39849221033816</v>
      </c>
      <c r="AI141" s="10">
        <f t="shared" si="59"/>
        <v>19.07225045841875</v>
      </c>
    </row>
    <row r="142" spans="1:35" ht="12.75">
      <c r="A142" s="111"/>
      <c r="B142" s="114"/>
      <c r="D142">
        <f t="shared" si="60"/>
        <v>2.25</v>
      </c>
      <c r="E142" s="4">
        <f t="shared" si="46"/>
        <v>63</v>
      </c>
      <c r="F142" s="15">
        <f t="shared" si="61"/>
        <v>5.25</v>
      </c>
      <c r="G142" s="15">
        <f t="shared" si="47"/>
        <v>11.8125</v>
      </c>
      <c r="I142" s="15">
        <f t="shared" si="62"/>
        <v>0</v>
      </c>
      <c r="J142" s="15">
        <f t="shared" si="48"/>
        <v>0</v>
      </c>
      <c r="K142" s="15"/>
      <c r="L142" s="15">
        <f t="shared" si="49"/>
        <v>5.25</v>
      </c>
      <c r="M142" s="15">
        <f t="shared" si="50"/>
        <v>11.8125</v>
      </c>
      <c r="O142" s="117"/>
      <c r="Q142">
        <f t="shared" si="51"/>
        <v>5.19</v>
      </c>
      <c r="R142" s="4">
        <f t="shared" si="52"/>
        <v>81.27157562313359</v>
      </c>
      <c r="T142" s="4">
        <f t="shared" si="53"/>
        <v>17.112868877395798</v>
      </c>
      <c r="X142" s="3">
        <f t="shared" si="54"/>
        <v>0.011264307539074168</v>
      </c>
      <c r="AA142" s="1">
        <f t="shared" si="42"/>
        <v>8.348232972854015E-06</v>
      </c>
      <c r="AB142">
        <f t="shared" si="55"/>
        <v>2.29</v>
      </c>
      <c r="AC142">
        <f t="shared" si="56"/>
        <v>1</v>
      </c>
      <c r="AD142" s="8">
        <f t="shared" si="43"/>
        <v>368.85684259390894</v>
      </c>
      <c r="AE142" s="4">
        <f t="shared" si="44"/>
        <v>113973.33736864691</v>
      </c>
      <c r="AF142" s="5">
        <f t="shared" si="45"/>
        <v>0.017220099576164924</v>
      </c>
      <c r="AG142" s="4">
        <f t="shared" si="57"/>
        <v>225</v>
      </c>
      <c r="AH142" s="8">
        <f t="shared" si="58"/>
        <v>129.65010906259354</v>
      </c>
      <c r="AI142" s="10">
        <f t="shared" si="59"/>
        <v>19.070953957328125</v>
      </c>
    </row>
    <row r="143" spans="1:35" ht="12.75">
      <c r="A143" s="111"/>
      <c r="B143" s="114"/>
      <c r="D143">
        <f t="shared" si="60"/>
        <v>2.25</v>
      </c>
      <c r="E143" s="4">
        <f t="shared" si="46"/>
        <v>65.25</v>
      </c>
      <c r="F143" s="15">
        <f t="shared" si="61"/>
        <v>5.25</v>
      </c>
      <c r="G143" s="15">
        <f t="shared" si="47"/>
        <v>11.8125</v>
      </c>
      <c r="I143" s="15">
        <f t="shared" si="62"/>
        <v>0</v>
      </c>
      <c r="J143" s="15">
        <f t="shared" si="48"/>
        <v>0</v>
      </c>
      <c r="K143" s="15"/>
      <c r="L143" s="15">
        <f t="shared" si="49"/>
        <v>5.25</v>
      </c>
      <c r="M143" s="15">
        <f t="shared" si="50"/>
        <v>11.8125</v>
      </c>
      <c r="O143" s="117"/>
      <c r="Q143">
        <f t="shared" si="51"/>
        <v>5.19</v>
      </c>
      <c r="R143" s="4">
        <f t="shared" si="52"/>
        <v>81.40457562313358</v>
      </c>
      <c r="T143" s="4">
        <f t="shared" si="53"/>
        <v>17.112868877395798</v>
      </c>
      <c r="X143" s="3">
        <f t="shared" si="54"/>
        <v>0.011245139268210984</v>
      </c>
      <c r="AA143" s="1">
        <f t="shared" si="42"/>
        <v>8.356141684854015E-06</v>
      </c>
      <c r="AB143">
        <f t="shared" si="55"/>
        <v>2.29</v>
      </c>
      <c r="AC143">
        <f t="shared" si="56"/>
        <v>1</v>
      </c>
      <c r="AD143" s="8">
        <f t="shared" si="43"/>
        <v>369.4855896196187</v>
      </c>
      <c r="AE143" s="4">
        <f t="shared" si="44"/>
        <v>113865.46673469615</v>
      </c>
      <c r="AF143" s="5">
        <f t="shared" si="45"/>
        <v>0.0172241765003869</v>
      </c>
      <c r="AG143" s="4">
        <f t="shared" si="57"/>
        <v>225</v>
      </c>
      <c r="AH143" s="8">
        <f t="shared" si="58"/>
        <v>129.90185588718717</v>
      </c>
      <c r="AI143" s="10">
        <f t="shared" si="59"/>
        <v>19.069654938769254</v>
      </c>
    </row>
    <row r="144" spans="1:35" ht="13.5" thickBot="1">
      <c r="A144" s="112"/>
      <c r="B144" s="115"/>
      <c r="D144">
        <f t="shared" si="60"/>
        <v>2.25</v>
      </c>
      <c r="E144" s="4">
        <f t="shared" si="46"/>
        <v>67.5</v>
      </c>
      <c r="F144" s="15">
        <f t="shared" si="61"/>
        <v>5.25</v>
      </c>
      <c r="G144" s="15">
        <f t="shared" si="47"/>
        <v>11.8125</v>
      </c>
      <c r="I144" s="15">
        <f t="shared" si="62"/>
        <v>0</v>
      </c>
      <c r="J144" s="15">
        <f t="shared" si="48"/>
        <v>0</v>
      </c>
      <c r="K144" s="15"/>
      <c r="L144" s="15">
        <f t="shared" si="49"/>
        <v>5.25</v>
      </c>
      <c r="M144" s="15">
        <f t="shared" si="50"/>
        <v>11.8125</v>
      </c>
      <c r="O144" s="118"/>
      <c r="Q144">
        <f t="shared" si="51"/>
        <v>5.19</v>
      </c>
      <c r="R144" s="4">
        <f t="shared" si="52"/>
        <v>81.53757562313358</v>
      </c>
      <c r="T144" s="4">
        <f t="shared" si="53"/>
        <v>17.112868877395798</v>
      </c>
      <c r="X144" s="3">
        <f t="shared" si="54"/>
        <v>0.01122603204799268</v>
      </c>
      <c r="AA144" s="1">
        <f t="shared" si="42"/>
        <v>8.364050396854014E-06</v>
      </c>
      <c r="AB144">
        <f t="shared" si="55"/>
        <v>2.29</v>
      </c>
      <c r="AC144">
        <f t="shared" si="56"/>
        <v>1</v>
      </c>
      <c r="AD144" s="8">
        <f t="shared" si="43"/>
        <v>370.11447099980455</v>
      </c>
      <c r="AE144" s="4">
        <f t="shared" si="44"/>
        <v>113757.8000970718</v>
      </c>
      <c r="AF144" s="5">
        <f t="shared" si="45"/>
        <v>0.017228250531666215</v>
      </c>
      <c r="AG144" s="4">
        <f t="shared" si="57"/>
        <v>225</v>
      </c>
      <c r="AH144" s="8">
        <f t="shared" si="58"/>
        <v>130.15373274827172</v>
      </c>
      <c r="AI144" s="10">
        <f t="shared" si="59"/>
        <v>19.068353401441772</v>
      </c>
    </row>
    <row r="145" spans="1:35" ht="12.75">
      <c r="A145" s="108" t="s">
        <v>44</v>
      </c>
      <c r="B145" s="113">
        <f>O145</f>
        <v>177.1875</v>
      </c>
      <c r="D145">
        <f t="shared" si="60"/>
        <v>2.25</v>
      </c>
      <c r="E145" s="4">
        <f t="shared" si="46"/>
        <v>69.75</v>
      </c>
      <c r="F145" s="15">
        <f t="shared" si="61"/>
        <v>5.25</v>
      </c>
      <c r="G145" s="15">
        <f t="shared" si="47"/>
        <v>11.8125</v>
      </c>
      <c r="I145" s="15">
        <f t="shared" si="62"/>
        <v>0</v>
      </c>
      <c r="J145" s="15">
        <f t="shared" si="48"/>
        <v>0</v>
      </c>
      <c r="K145" s="15"/>
      <c r="L145" s="15">
        <f t="shared" si="49"/>
        <v>5.25</v>
      </c>
      <c r="M145" s="15">
        <f t="shared" si="50"/>
        <v>11.8125</v>
      </c>
      <c r="O145" s="116">
        <f>SUM(M145:M159)</f>
        <v>177.1875</v>
      </c>
      <c r="Q145">
        <f t="shared" si="51"/>
        <v>5.19</v>
      </c>
      <c r="R145" s="4">
        <f t="shared" si="52"/>
        <v>81.67057562313357</v>
      </c>
      <c r="T145" s="4">
        <f t="shared" si="53"/>
        <v>17.112868877395798</v>
      </c>
      <c r="X145" s="3">
        <f t="shared" si="54"/>
        <v>0.011206985579393265</v>
      </c>
      <c r="AA145" s="1">
        <f t="shared" si="42"/>
        <v>8.371959108854013E-06</v>
      </c>
      <c r="AB145">
        <f t="shared" si="55"/>
        <v>2.29</v>
      </c>
      <c r="AC145">
        <f t="shared" si="56"/>
        <v>1</v>
      </c>
      <c r="AD145" s="8">
        <f t="shared" si="43"/>
        <v>370.7434870362888</v>
      </c>
      <c r="AE145" s="4">
        <f t="shared" si="44"/>
        <v>113650.33687764806</v>
      </c>
      <c r="AF145" s="5">
        <f t="shared" si="45"/>
        <v>0.017232321674788203</v>
      </c>
      <c r="AG145" s="4">
        <f t="shared" si="57"/>
        <v>225</v>
      </c>
      <c r="AH145" s="8">
        <f t="shared" si="58"/>
        <v>130.40573971033518</v>
      </c>
      <c r="AI145" s="10">
        <f t="shared" si="59"/>
        <v>19.06704934404467</v>
      </c>
    </row>
    <row r="146" spans="1:35" ht="12.75">
      <c r="A146" s="111"/>
      <c r="B146" s="114"/>
      <c r="D146">
        <f t="shared" si="60"/>
        <v>2.25</v>
      </c>
      <c r="E146" s="4">
        <f t="shared" si="46"/>
        <v>72</v>
      </c>
      <c r="F146" s="15">
        <f t="shared" si="61"/>
        <v>5.25</v>
      </c>
      <c r="G146" s="15">
        <f t="shared" si="47"/>
        <v>11.8125</v>
      </c>
      <c r="I146" s="15">
        <f t="shared" si="62"/>
        <v>0</v>
      </c>
      <c r="J146" s="15">
        <f t="shared" si="48"/>
        <v>0</v>
      </c>
      <c r="K146" s="15"/>
      <c r="L146" s="15">
        <f t="shared" si="49"/>
        <v>5.25</v>
      </c>
      <c r="M146" s="15">
        <f t="shared" si="50"/>
        <v>11.8125</v>
      </c>
      <c r="O146" s="117"/>
      <c r="Q146">
        <f t="shared" si="51"/>
        <v>5.19</v>
      </c>
      <c r="R146" s="4">
        <f t="shared" si="52"/>
        <v>81.80357562313357</v>
      </c>
      <c r="T146" s="4">
        <f t="shared" si="53"/>
        <v>17.112868877395798</v>
      </c>
      <c r="X146" s="3">
        <f t="shared" si="54"/>
        <v>0.011187999565331052</v>
      </c>
      <c r="AA146" s="1">
        <f t="shared" si="42"/>
        <v>8.379867820854014E-06</v>
      </c>
      <c r="AB146">
        <f t="shared" si="55"/>
        <v>2.29</v>
      </c>
      <c r="AC146">
        <f t="shared" si="56"/>
        <v>1</v>
      </c>
      <c r="AD146" s="8">
        <f t="shared" si="43"/>
        <v>371.3726380312672</v>
      </c>
      <c r="AE146" s="4">
        <f t="shared" si="44"/>
        <v>113543.07650048181</v>
      </c>
      <c r="AF146" s="5">
        <f t="shared" si="45"/>
        <v>0.01723638993452579</v>
      </c>
      <c r="AG146" s="4">
        <f t="shared" si="57"/>
        <v>225</v>
      </c>
      <c r="AH146" s="8">
        <f t="shared" si="58"/>
        <v>130.65787683820164</v>
      </c>
      <c r="AI146" s="10">
        <f t="shared" si="59"/>
        <v>19.065742765276287</v>
      </c>
    </row>
    <row r="147" spans="1:35" ht="12.75">
      <c r="A147" s="111"/>
      <c r="B147" s="114"/>
      <c r="D147">
        <f t="shared" si="60"/>
        <v>2.25</v>
      </c>
      <c r="E147" s="4">
        <f t="shared" si="46"/>
        <v>74.25</v>
      </c>
      <c r="F147" s="15">
        <f t="shared" si="61"/>
        <v>5.25</v>
      </c>
      <c r="G147" s="15">
        <f t="shared" si="47"/>
        <v>11.8125</v>
      </c>
      <c r="I147" s="15">
        <f t="shared" si="62"/>
        <v>0</v>
      </c>
      <c r="J147" s="15">
        <f t="shared" si="48"/>
        <v>0</v>
      </c>
      <c r="K147" s="15"/>
      <c r="L147" s="15">
        <f t="shared" si="49"/>
        <v>5.25</v>
      </c>
      <c r="M147" s="15">
        <f t="shared" si="50"/>
        <v>11.8125</v>
      </c>
      <c r="O147" s="117"/>
      <c r="Q147">
        <f t="shared" si="51"/>
        <v>5.19</v>
      </c>
      <c r="R147" s="4">
        <f t="shared" si="52"/>
        <v>81.93657562313356</v>
      </c>
      <c r="T147" s="4">
        <f t="shared" si="53"/>
        <v>17.112868877395798</v>
      </c>
      <c r="X147" s="3">
        <f t="shared" si="54"/>
        <v>0.011169073710652868</v>
      </c>
      <c r="AA147" s="1">
        <f t="shared" si="42"/>
        <v>8.387776532854013E-06</v>
      </c>
      <c r="AB147">
        <f t="shared" si="55"/>
        <v>2.29</v>
      </c>
      <c r="AC147">
        <f t="shared" si="56"/>
        <v>1</v>
      </c>
      <c r="AD147" s="8">
        <f t="shared" si="43"/>
        <v>372.0019242873091</v>
      </c>
      <c r="AE147" s="4">
        <f t="shared" si="44"/>
        <v>113436.01839180198</v>
      </c>
      <c r="AF147" s="5">
        <f t="shared" si="45"/>
        <v>0.01724045531563951</v>
      </c>
      <c r="AG147" s="4">
        <f t="shared" si="57"/>
        <v>225</v>
      </c>
      <c r="AH147" s="8">
        <f t="shared" si="58"/>
        <v>130.9101441970303</v>
      </c>
      <c r="AI147" s="10">
        <f t="shared" si="59"/>
        <v>19.06443366383432</v>
      </c>
    </row>
    <row r="148" spans="1:35" ht="12.75">
      <c r="A148" s="111"/>
      <c r="B148" s="114"/>
      <c r="D148">
        <f t="shared" si="60"/>
        <v>2.25</v>
      </c>
      <c r="E148" s="4">
        <f t="shared" si="46"/>
        <v>76.5</v>
      </c>
      <c r="F148" s="15">
        <f t="shared" si="61"/>
        <v>5.25</v>
      </c>
      <c r="G148" s="15">
        <f t="shared" si="47"/>
        <v>11.8125</v>
      </c>
      <c r="I148" s="15">
        <f t="shared" si="62"/>
        <v>0</v>
      </c>
      <c r="J148" s="15">
        <f t="shared" si="48"/>
        <v>0</v>
      </c>
      <c r="K148" s="15"/>
      <c r="L148" s="15">
        <f t="shared" si="49"/>
        <v>5.25</v>
      </c>
      <c r="M148" s="15">
        <f t="shared" si="50"/>
        <v>11.8125</v>
      </c>
      <c r="O148" s="117"/>
      <c r="Q148">
        <f t="shared" si="51"/>
        <v>5.19</v>
      </c>
      <c r="R148" s="4">
        <f t="shared" si="52"/>
        <v>82.06957562313356</v>
      </c>
      <c r="T148" s="4">
        <f t="shared" si="53"/>
        <v>17.112868877395798</v>
      </c>
      <c r="X148" s="3">
        <f t="shared" si="54"/>
        <v>0.011150207722118442</v>
      </c>
      <c r="AA148" s="1">
        <f t="shared" si="42"/>
        <v>8.395685244854014E-06</v>
      </c>
      <c r="AB148">
        <f t="shared" si="55"/>
        <v>2.29</v>
      </c>
      <c r="AC148">
        <f t="shared" si="56"/>
        <v>1</v>
      </c>
      <c r="AD148" s="8">
        <f t="shared" si="43"/>
        <v>372.63134610735887</v>
      </c>
      <c r="AE148" s="4">
        <f t="shared" si="44"/>
        <v>113329.16197999958</v>
      </c>
      <c r="AF148" s="5">
        <f t="shared" si="45"/>
        <v>0.017244517822877545</v>
      </c>
      <c r="AG148" s="4">
        <f t="shared" si="57"/>
        <v>225</v>
      </c>
      <c r="AH148" s="8">
        <f t="shared" si="58"/>
        <v>131.16254185231568</v>
      </c>
      <c r="AI148" s="10">
        <f t="shared" si="59"/>
        <v>19.063122038415795</v>
      </c>
    </row>
    <row r="149" spans="1:35" ht="12.75">
      <c r="A149" s="111"/>
      <c r="B149" s="114"/>
      <c r="D149">
        <f t="shared" si="60"/>
        <v>2.25</v>
      </c>
      <c r="E149" s="4">
        <f t="shared" si="46"/>
        <v>78.75</v>
      </c>
      <c r="F149" s="15">
        <f t="shared" si="61"/>
        <v>5.25</v>
      </c>
      <c r="G149" s="15">
        <f t="shared" si="47"/>
        <v>11.8125</v>
      </c>
      <c r="I149" s="15">
        <f t="shared" si="62"/>
        <v>0</v>
      </c>
      <c r="J149" s="15">
        <f t="shared" si="48"/>
        <v>0</v>
      </c>
      <c r="K149" s="15"/>
      <c r="L149" s="15">
        <f t="shared" si="49"/>
        <v>5.25</v>
      </c>
      <c r="M149" s="15">
        <f t="shared" si="50"/>
        <v>11.8125</v>
      </c>
      <c r="O149" s="117"/>
      <c r="Q149">
        <f t="shared" si="51"/>
        <v>5.19</v>
      </c>
      <c r="R149" s="4">
        <f t="shared" si="52"/>
        <v>82.20257562313355</v>
      </c>
      <c r="T149" s="4">
        <f t="shared" si="53"/>
        <v>17.112868877395798</v>
      </c>
      <c r="X149" s="3">
        <f t="shared" si="54"/>
        <v>0.011131401308384907</v>
      </c>
      <c r="AA149" s="1">
        <f t="shared" si="42"/>
        <v>8.403593956854012E-06</v>
      </c>
      <c r="AB149">
        <f t="shared" si="55"/>
        <v>2.29</v>
      </c>
      <c r="AC149">
        <f t="shared" si="56"/>
        <v>1</v>
      </c>
      <c r="AD149" s="8">
        <f t="shared" si="43"/>
        <v>373.26090379473646</v>
      </c>
      <c r="AE149" s="4">
        <f t="shared" si="44"/>
        <v>113222.50669561734</v>
      </c>
      <c r="AF149" s="5">
        <f t="shared" si="45"/>
        <v>0.01724857746097581</v>
      </c>
      <c r="AG149" s="4">
        <f t="shared" si="57"/>
        <v>225</v>
      </c>
      <c r="AH149" s="8">
        <f t="shared" si="58"/>
        <v>131.41506986988816</v>
      </c>
      <c r="AI149" s="10">
        <f t="shared" si="59"/>
        <v>19.061807887717094</v>
      </c>
    </row>
    <row r="150" spans="1:35" ht="12.75">
      <c r="A150" s="111"/>
      <c r="B150" s="114"/>
      <c r="D150">
        <f t="shared" si="60"/>
        <v>2.25</v>
      </c>
      <c r="E150" s="4">
        <f t="shared" si="46"/>
        <v>81</v>
      </c>
      <c r="F150" s="15">
        <f t="shared" si="61"/>
        <v>5.25</v>
      </c>
      <c r="G150" s="15">
        <f t="shared" si="47"/>
        <v>11.8125</v>
      </c>
      <c r="I150" s="15">
        <f t="shared" si="62"/>
        <v>0</v>
      </c>
      <c r="J150" s="15">
        <f t="shared" si="48"/>
        <v>0</v>
      </c>
      <c r="K150" s="15"/>
      <c r="L150" s="15">
        <f t="shared" si="49"/>
        <v>5.25</v>
      </c>
      <c r="M150" s="15">
        <f t="shared" si="50"/>
        <v>11.8125</v>
      </c>
      <c r="O150" s="117"/>
      <c r="Q150">
        <f t="shared" si="51"/>
        <v>5.19</v>
      </c>
      <c r="R150" s="4">
        <f t="shared" si="52"/>
        <v>82.33557562313355</v>
      </c>
      <c r="T150" s="4">
        <f t="shared" si="53"/>
        <v>17.112868877395798</v>
      </c>
      <c r="X150" s="3">
        <f t="shared" si="54"/>
        <v>0.011112654179991492</v>
      </c>
      <c r="AA150" s="1">
        <f t="shared" si="42"/>
        <v>8.411502668854011E-06</v>
      </c>
      <c r="AB150">
        <f t="shared" si="55"/>
        <v>2.29</v>
      </c>
      <c r="AC150">
        <f t="shared" si="56"/>
        <v>1</v>
      </c>
      <c r="AD150" s="8">
        <f t="shared" si="43"/>
        <v>373.8905976531382</v>
      </c>
      <c r="AE150" s="4">
        <f t="shared" si="44"/>
        <v>113116.0519713397</v>
      </c>
      <c r="AF150" s="5">
        <f t="shared" si="45"/>
        <v>0.017252634234657935</v>
      </c>
      <c r="AG150" s="4">
        <f t="shared" si="57"/>
        <v>225</v>
      </c>
      <c r="AH150" s="8">
        <f t="shared" si="58"/>
        <v>131.66772831591277</v>
      </c>
      <c r="AI150" s="10">
        <f t="shared" si="59"/>
        <v>19.060491210433934</v>
      </c>
    </row>
    <row r="151" spans="1:35" ht="12.75">
      <c r="A151" s="111"/>
      <c r="B151" s="114"/>
      <c r="D151">
        <f t="shared" si="60"/>
        <v>2.25</v>
      </c>
      <c r="E151" s="4">
        <f t="shared" si="46"/>
        <v>83.25</v>
      </c>
      <c r="F151" s="15">
        <f t="shared" si="61"/>
        <v>5.25</v>
      </c>
      <c r="G151" s="15">
        <f t="shared" si="47"/>
        <v>11.8125</v>
      </c>
      <c r="I151" s="15">
        <f t="shared" si="62"/>
        <v>0</v>
      </c>
      <c r="J151" s="15">
        <f t="shared" si="48"/>
        <v>0</v>
      </c>
      <c r="K151" s="15"/>
      <c r="L151" s="15">
        <f t="shared" si="49"/>
        <v>5.25</v>
      </c>
      <c r="M151" s="15">
        <f t="shared" si="50"/>
        <v>11.8125</v>
      </c>
      <c r="O151" s="117"/>
      <c r="Q151">
        <f t="shared" si="51"/>
        <v>5.19</v>
      </c>
      <c r="R151" s="4">
        <f t="shared" si="52"/>
        <v>82.46857562313355</v>
      </c>
      <c r="T151" s="4">
        <f t="shared" si="53"/>
        <v>17.112868877395798</v>
      </c>
      <c r="X151" s="3">
        <f t="shared" si="54"/>
        <v>0.011093966049344327</v>
      </c>
      <c r="AA151" s="1">
        <f t="shared" si="42"/>
        <v>8.419411380854014E-06</v>
      </c>
      <c r="AB151">
        <f t="shared" si="55"/>
        <v>2.29</v>
      </c>
      <c r="AC151">
        <f t="shared" si="56"/>
        <v>1</v>
      </c>
      <c r="AD151" s="8">
        <f t="shared" si="43"/>
        <v>374.52042798663746</v>
      </c>
      <c r="AE151" s="4">
        <f t="shared" si="44"/>
        <v>113009.79724198263</v>
      </c>
      <c r="AF151" s="5">
        <f t="shared" si="45"/>
        <v>0.01725668814863537</v>
      </c>
      <c r="AG151" s="4">
        <f t="shared" si="57"/>
        <v>225</v>
      </c>
      <c r="AH151" s="8">
        <f t="shared" si="58"/>
        <v>131.92051725689018</v>
      </c>
      <c r="AI151" s="10">
        <f t="shared" si="59"/>
        <v>19.059172005261367</v>
      </c>
    </row>
    <row r="152" spans="1:35" ht="12.75">
      <c r="A152" s="111"/>
      <c r="B152" s="114"/>
      <c r="D152">
        <f t="shared" si="60"/>
        <v>2.25</v>
      </c>
      <c r="E152" s="4">
        <f t="shared" si="46"/>
        <v>85.5</v>
      </c>
      <c r="F152" s="15">
        <f t="shared" si="61"/>
        <v>5.25</v>
      </c>
      <c r="G152" s="15">
        <f t="shared" si="47"/>
        <v>11.8125</v>
      </c>
      <c r="I152" s="15">
        <f t="shared" si="62"/>
        <v>0</v>
      </c>
      <c r="J152" s="15">
        <f t="shared" si="48"/>
        <v>0</v>
      </c>
      <c r="K152" s="15"/>
      <c r="L152" s="15">
        <f t="shared" si="49"/>
        <v>5.25</v>
      </c>
      <c r="M152" s="15">
        <f t="shared" si="50"/>
        <v>11.8125</v>
      </c>
      <c r="O152" s="117"/>
      <c r="Q152">
        <f t="shared" si="51"/>
        <v>5.19</v>
      </c>
      <c r="R152" s="4">
        <f t="shared" si="52"/>
        <v>82.60157562313354</v>
      </c>
      <c r="T152" s="4">
        <f t="shared" si="53"/>
        <v>17.112868877395798</v>
      </c>
      <c r="X152" s="3">
        <f t="shared" si="54"/>
        <v>0.011075336630701437</v>
      </c>
      <c r="AA152" s="1">
        <f t="shared" si="42"/>
        <v>8.427320092854013E-06</v>
      </c>
      <c r="AB152">
        <f t="shared" si="55"/>
        <v>2.29</v>
      </c>
      <c r="AC152">
        <f t="shared" si="56"/>
        <v>1</v>
      </c>
      <c r="AD152" s="8">
        <f t="shared" si="43"/>
        <v>375.1503950996854</v>
      </c>
      <c r="AE152" s="4">
        <f t="shared" si="44"/>
        <v>112903.7419444838</v>
      </c>
      <c r="AF152" s="5">
        <f t="shared" si="45"/>
        <v>0.01726073920760738</v>
      </c>
      <c r="AG152" s="4">
        <f t="shared" si="57"/>
        <v>225</v>
      </c>
      <c r="AH152" s="8">
        <f t="shared" si="58"/>
        <v>132.1734367596559</v>
      </c>
      <c r="AI152" s="10">
        <f t="shared" si="59"/>
        <v>19.05785027089377</v>
      </c>
    </row>
    <row r="153" spans="1:35" ht="12.75">
      <c r="A153" s="111"/>
      <c r="B153" s="114"/>
      <c r="D153">
        <f t="shared" si="60"/>
        <v>2.25</v>
      </c>
      <c r="E153" s="4">
        <f t="shared" si="46"/>
        <v>87.75</v>
      </c>
      <c r="F153" s="15">
        <f t="shared" si="61"/>
        <v>5.25</v>
      </c>
      <c r="G153" s="15">
        <f t="shared" si="47"/>
        <v>11.8125</v>
      </c>
      <c r="I153" s="15">
        <f t="shared" si="62"/>
        <v>0</v>
      </c>
      <c r="J153" s="15">
        <f t="shared" si="48"/>
        <v>0</v>
      </c>
      <c r="K153" s="15"/>
      <c r="L153" s="15">
        <f t="shared" si="49"/>
        <v>5.25</v>
      </c>
      <c r="M153" s="15">
        <f t="shared" si="50"/>
        <v>11.8125</v>
      </c>
      <c r="O153" s="117"/>
      <c r="Q153">
        <f t="shared" si="51"/>
        <v>5.19</v>
      </c>
      <c r="R153" s="4">
        <f t="shared" si="52"/>
        <v>82.73457562313354</v>
      </c>
      <c r="T153" s="4">
        <f t="shared" si="53"/>
        <v>17.112868877395798</v>
      </c>
      <c r="X153" s="3">
        <f t="shared" si="54"/>
        <v>0.011056765640157812</v>
      </c>
      <c r="AA153" s="1">
        <f t="shared" si="42"/>
        <v>8.435228804854013E-06</v>
      </c>
      <c r="AB153">
        <f t="shared" si="55"/>
        <v>2.29</v>
      </c>
      <c r="AC153">
        <f t="shared" si="56"/>
        <v>1</v>
      </c>
      <c r="AD153" s="8">
        <f t="shared" si="43"/>
        <v>375.7804992971127</v>
      </c>
      <c r="AE153" s="4">
        <f t="shared" si="44"/>
        <v>112797.88551789257</v>
      </c>
      <c r="AF153" s="5">
        <f t="shared" si="45"/>
        <v>0.017264787416261102</v>
      </c>
      <c r="AG153" s="4">
        <f t="shared" si="57"/>
        <v>225</v>
      </c>
      <c r="AH153" s="8">
        <f t="shared" si="58"/>
        <v>132.42648689138082</v>
      </c>
      <c r="AI153" s="10">
        <f t="shared" si="59"/>
        <v>19.056526006024857</v>
      </c>
    </row>
    <row r="154" spans="1:35" ht="12.75">
      <c r="A154" s="111"/>
      <c r="B154" s="114"/>
      <c r="D154">
        <f t="shared" si="60"/>
        <v>2.25</v>
      </c>
      <c r="E154" s="4">
        <f t="shared" si="46"/>
        <v>90</v>
      </c>
      <c r="F154" s="15">
        <f t="shared" si="61"/>
        <v>5.25</v>
      </c>
      <c r="G154" s="15">
        <f t="shared" si="47"/>
        <v>11.8125</v>
      </c>
      <c r="I154" s="15">
        <f t="shared" si="62"/>
        <v>0</v>
      </c>
      <c r="J154" s="15">
        <f t="shared" si="48"/>
        <v>0</v>
      </c>
      <c r="K154" s="15"/>
      <c r="L154" s="15">
        <f t="shared" si="49"/>
        <v>5.25</v>
      </c>
      <c r="M154" s="15">
        <f t="shared" si="50"/>
        <v>11.8125</v>
      </c>
      <c r="O154" s="117"/>
      <c r="Q154">
        <f t="shared" si="51"/>
        <v>5.19</v>
      </c>
      <c r="R154" s="4">
        <f t="shared" si="52"/>
        <v>82.86757562313353</v>
      </c>
      <c r="T154" s="4">
        <f t="shared" si="53"/>
        <v>17.112868877395798</v>
      </c>
      <c r="X154" s="3">
        <f t="shared" si="54"/>
        <v>0.011038252795630712</v>
      </c>
      <c r="AA154" s="1">
        <f t="shared" si="42"/>
        <v>8.443137516854012E-06</v>
      </c>
      <c r="AB154">
        <f t="shared" si="55"/>
        <v>2.29</v>
      </c>
      <c r="AC154">
        <f t="shared" si="56"/>
        <v>1</v>
      </c>
      <c r="AD154" s="8">
        <f t="shared" si="43"/>
        <v>376.4107408841288</v>
      </c>
      <c r="AE154" s="4">
        <f t="shared" si="44"/>
        <v>112692.22740336003</v>
      </c>
      <c r="AF154" s="5">
        <f t="shared" si="45"/>
        <v>0.017268832779271617</v>
      </c>
      <c r="AG154" s="4">
        <f t="shared" si="57"/>
        <v>225</v>
      </c>
      <c r="AH154" s="8">
        <f t="shared" si="58"/>
        <v>132.6796677195706</v>
      </c>
      <c r="AI154" s="10">
        <f t="shared" si="59"/>
        <v>19.055199209347663</v>
      </c>
    </row>
    <row r="155" spans="1:35" ht="12.75">
      <c r="A155" s="111"/>
      <c r="B155" s="114"/>
      <c r="D155">
        <f t="shared" si="60"/>
        <v>2.25</v>
      </c>
      <c r="E155" s="4">
        <f t="shared" si="46"/>
        <v>92.25</v>
      </c>
      <c r="F155" s="15">
        <f t="shared" si="61"/>
        <v>5.25</v>
      </c>
      <c r="G155" s="15">
        <f t="shared" si="47"/>
        <v>11.8125</v>
      </c>
      <c r="I155" s="15">
        <f t="shared" si="62"/>
        <v>0</v>
      </c>
      <c r="J155" s="15">
        <f t="shared" si="48"/>
        <v>0</v>
      </c>
      <c r="K155" s="15"/>
      <c r="L155" s="15">
        <f t="shared" si="49"/>
        <v>5.25</v>
      </c>
      <c r="M155" s="15">
        <f t="shared" si="50"/>
        <v>11.8125</v>
      </c>
      <c r="O155" s="117"/>
      <c r="Q155">
        <f t="shared" si="51"/>
        <v>5.19</v>
      </c>
      <c r="R155" s="4">
        <f t="shared" si="52"/>
        <v>83.00057562313353</v>
      </c>
      <c r="T155" s="4">
        <f t="shared" si="53"/>
        <v>17.112868877395798</v>
      </c>
      <c r="X155" s="3">
        <f t="shared" si="54"/>
        <v>0.01101979781684503</v>
      </c>
      <c r="AA155" s="1">
        <f t="shared" si="42"/>
        <v>8.451046228854013E-06</v>
      </c>
      <c r="AB155">
        <f t="shared" si="55"/>
        <v>2.29</v>
      </c>
      <c r="AC155">
        <f t="shared" si="56"/>
        <v>1</v>
      </c>
      <c r="AD155" s="8">
        <f t="shared" si="43"/>
        <v>377.04112016632405</v>
      </c>
      <c r="AE155" s="4">
        <f t="shared" si="44"/>
        <v>112586.76704412913</v>
      </c>
      <c r="AF155" s="5">
        <f t="shared" si="45"/>
        <v>0.017272875301301945</v>
      </c>
      <c r="AG155" s="4">
        <f t="shared" si="57"/>
        <v>225</v>
      </c>
      <c r="AH155" s="8">
        <f t="shared" si="58"/>
        <v>132.93297931206607</v>
      </c>
      <c r="AI155" s="10">
        <f t="shared" si="59"/>
        <v>19.053869879554544</v>
      </c>
    </row>
    <row r="156" spans="1:35" ht="12.75">
      <c r="A156" s="111"/>
      <c r="B156" s="114"/>
      <c r="D156">
        <f t="shared" si="60"/>
        <v>2.25</v>
      </c>
      <c r="E156" s="4">
        <f t="shared" si="46"/>
        <v>94.5</v>
      </c>
      <c r="F156" s="15">
        <f t="shared" si="61"/>
        <v>5.25</v>
      </c>
      <c r="G156" s="15">
        <f t="shared" si="47"/>
        <v>11.8125</v>
      </c>
      <c r="I156" s="15">
        <f t="shared" si="62"/>
        <v>0</v>
      </c>
      <c r="J156" s="15">
        <f t="shared" si="48"/>
        <v>0</v>
      </c>
      <c r="K156" s="15"/>
      <c r="L156" s="15">
        <f t="shared" si="49"/>
        <v>5.25</v>
      </c>
      <c r="M156" s="15">
        <f t="shared" si="50"/>
        <v>11.8125</v>
      </c>
      <c r="O156" s="117"/>
      <c r="Q156">
        <f t="shared" si="51"/>
        <v>5.19</v>
      </c>
      <c r="R156" s="4">
        <f t="shared" si="52"/>
        <v>83.13357562313352</v>
      </c>
      <c r="T156" s="4">
        <f t="shared" si="53"/>
        <v>17.112868877395798</v>
      </c>
      <c r="X156" s="3">
        <f t="shared" si="54"/>
        <v>0.011001400425318853</v>
      </c>
      <c r="AA156" s="1">
        <f t="shared" si="42"/>
        <v>8.458954940854012E-06</v>
      </c>
      <c r="AB156">
        <f t="shared" si="55"/>
        <v>2.29</v>
      </c>
      <c r="AC156">
        <f t="shared" si="56"/>
        <v>1</v>
      </c>
      <c r="AD156" s="8">
        <f t="shared" si="43"/>
        <v>377.6716374496696</v>
      </c>
      <c r="AE156" s="4">
        <f t="shared" si="44"/>
        <v>112481.50388552516</v>
      </c>
      <c r="AF156" s="5">
        <f t="shared" si="45"/>
        <v>0.01727691498700312</v>
      </c>
      <c r="AG156" s="4">
        <f t="shared" si="57"/>
        <v>225</v>
      </c>
      <c r="AH156" s="8">
        <f t="shared" si="58"/>
        <v>133.18642173704276</v>
      </c>
      <c r="AI156" s="10">
        <f t="shared" si="59"/>
        <v>19.052538015337174</v>
      </c>
    </row>
    <row r="157" spans="1:35" ht="12.75">
      <c r="A157" s="111"/>
      <c r="B157" s="114"/>
      <c r="D157">
        <f t="shared" si="60"/>
        <v>2.25</v>
      </c>
      <c r="E157" s="4">
        <f t="shared" si="46"/>
        <v>96.75</v>
      </c>
      <c r="F157" s="15">
        <f t="shared" si="61"/>
        <v>5.25</v>
      </c>
      <c r="G157" s="15">
        <f t="shared" si="47"/>
        <v>11.8125</v>
      </c>
      <c r="I157" s="15">
        <f t="shared" si="62"/>
        <v>0</v>
      </c>
      <c r="J157" s="15">
        <f t="shared" si="48"/>
        <v>0</v>
      </c>
      <c r="K157" s="15"/>
      <c r="L157" s="15">
        <f t="shared" si="49"/>
        <v>5.25</v>
      </c>
      <c r="M157" s="15">
        <f t="shared" si="50"/>
        <v>11.8125</v>
      </c>
      <c r="O157" s="117"/>
      <c r="Q157">
        <f t="shared" si="51"/>
        <v>5.19</v>
      </c>
      <c r="R157" s="4">
        <f t="shared" si="52"/>
        <v>83.26657562313352</v>
      </c>
      <c r="T157" s="4">
        <f t="shared" si="53"/>
        <v>17.112868877395798</v>
      </c>
      <c r="X157" s="3">
        <f t="shared" si="54"/>
        <v>0.010983060344349115</v>
      </c>
      <c r="AA157" s="1">
        <f t="shared" si="42"/>
        <v>8.466863652854011E-06</v>
      </c>
      <c r="AB157">
        <f t="shared" si="55"/>
        <v>2.29</v>
      </c>
      <c r="AC157">
        <f t="shared" si="56"/>
        <v>1</v>
      </c>
      <c r="AD157" s="8">
        <f t="shared" si="43"/>
        <v>378.30229304051903</v>
      </c>
      <c r="AE157" s="4">
        <f t="shared" si="44"/>
        <v>112376.4373749457</v>
      </c>
      <c r="AF157" s="5">
        <f t="shared" si="45"/>
        <v>0.01728095184101421</v>
      </c>
      <c r="AG157" s="4">
        <f t="shared" si="57"/>
        <v>225</v>
      </c>
      <c r="AH157" s="8">
        <f t="shared" si="58"/>
        <v>133.43999506301117</v>
      </c>
      <c r="AI157" s="10">
        <f t="shared" si="59"/>
        <v>19.051203615386544</v>
      </c>
    </row>
    <row r="158" spans="1:35" ht="12.75">
      <c r="A158" s="111"/>
      <c r="B158" s="114"/>
      <c r="D158">
        <f t="shared" si="60"/>
        <v>2.25</v>
      </c>
      <c r="E158" s="4">
        <f t="shared" si="46"/>
        <v>99</v>
      </c>
      <c r="F158" s="15">
        <f t="shared" si="61"/>
        <v>5.25</v>
      </c>
      <c r="G158" s="15">
        <f t="shared" si="47"/>
        <v>11.8125</v>
      </c>
      <c r="I158" s="15">
        <f t="shared" si="62"/>
        <v>0</v>
      </c>
      <c r="J158" s="15">
        <f t="shared" si="48"/>
        <v>0</v>
      </c>
      <c r="K158" s="15"/>
      <c r="L158" s="15">
        <f t="shared" si="49"/>
        <v>5.25</v>
      </c>
      <c r="M158" s="15">
        <f t="shared" si="50"/>
        <v>11.8125</v>
      </c>
      <c r="O158" s="117"/>
      <c r="Q158">
        <f t="shared" si="51"/>
        <v>5.19</v>
      </c>
      <c r="R158" s="4">
        <f t="shared" si="52"/>
        <v>83.39957562313352</v>
      </c>
      <c r="T158" s="4">
        <f t="shared" si="53"/>
        <v>17.112868877395798</v>
      </c>
      <c r="X158" s="3">
        <f t="shared" si="54"/>
        <v>0.010964777298997435</v>
      </c>
      <c r="AA158" s="1">
        <f t="shared" si="42"/>
        <v>8.474772364854012E-06</v>
      </c>
      <c r="AB158">
        <f t="shared" si="55"/>
        <v>2.29</v>
      </c>
      <c r="AC158">
        <f t="shared" si="56"/>
        <v>1</v>
      </c>
      <c r="AD158" s="8">
        <f t="shared" si="43"/>
        <v>378.93308724560853</v>
      </c>
      <c r="AE158" s="4">
        <f t="shared" si="44"/>
        <v>112271.56696185116</v>
      </c>
      <c r="AF158" s="5">
        <f t="shared" si="45"/>
        <v>0.017284985867962396</v>
      </c>
      <c r="AG158" s="4">
        <f t="shared" si="57"/>
        <v>225</v>
      </c>
      <c r="AH158" s="8">
        <f t="shared" si="58"/>
        <v>133.69369935881681</v>
      </c>
      <c r="AI158" s="10">
        <f t="shared" si="59"/>
        <v>19.049866678392956</v>
      </c>
    </row>
    <row r="159" spans="1:35" ht="13.5" thickBot="1">
      <c r="A159" s="112"/>
      <c r="B159" s="115"/>
      <c r="D159">
        <f t="shared" si="60"/>
        <v>2.25</v>
      </c>
      <c r="E159" s="4">
        <f t="shared" si="46"/>
        <v>101.25</v>
      </c>
      <c r="F159" s="15">
        <f t="shared" si="61"/>
        <v>5.25</v>
      </c>
      <c r="G159" s="15">
        <f t="shared" si="47"/>
        <v>11.8125</v>
      </c>
      <c r="I159" s="15">
        <f t="shared" si="62"/>
        <v>0</v>
      </c>
      <c r="J159" s="15">
        <f t="shared" si="48"/>
        <v>0</v>
      </c>
      <c r="K159" s="15"/>
      <c r="L159" s="15">
        <f t="shared" si="49"/>
        <v>5.25</v>
      </c>
      <c r="M159" s="15">
        <f t="shared" si="50"/>
        <v>11.8125</v>
      </c>
      <c r="O159" s="118"/>
      <c r="Q159">
        <f t="shared" si="51"/>
        <v>5.19</v>
      </c>
      <c r="R159" s="4">
        <f t="shared" si="52"/>
        <v>83.53257562313351</v>
      </c>
      <c r="T159" s="4">
        <f t="shared" si="53"/>
        <v>17.112868877395798</v>
      </c>
      <c r="X159" s="3">
        <f t="shared" si="54"/>
        <v>0.010946551016076052</v>
      </c>
      <c r="AA159" s="1">
        <f t="shared" si="42"/>
        <v>8.48268107685401E-06</v>
      </c>
      <c r="AB159">
        <f t="shared" si="55"/>
        <v>2.29</v>
      </c>
      <c r="AC159">
        <f t="shared" si="56"/>
        <v>1</v>
      </c>
      <c r="AD159" s="8">
        <f t="shared" si="43"/>
        <v>379.56402037205794</v>
      </c>
      <c r="AE159" s="4">
        <f t="shared" si="44"/>
        <v>112166.8920977551</v>
      </c>
      <c r="AF159" s="5">
        <f t="shared" si="45"/>
        <v>0.01728901707246296</v>
      </c>
      <c r="AG159" s="4">
        <f t="shared" si="57"/>
        <v>225</v>
      </c>
      <c r="AH159" s="8">
        <f t="shared" si="58"/>
        <v>133.94753469363962</v>
      </c>
      <c r="AI159" s="10">
        <f t="shared" si="59"/>
        <v>19.04852720304602</v>
      </c>
    </row>
    <row r="160" spans="1:35" ht="12.75">
      <c r="A160" s="119" t="s">
        <v>45</v>
      </c>
      <c r="B160" s="113">
        <f>O160</f>
        <v>177.1875</v>
      </c>
      <c r="D160">
        <f t="shared" si="60"/>
        <v>2.25</v>
      </c>
      <c r="E160" s="4">
        <f t="shared" si="46"/>
        <v>103.5</v>
      </c>
      <c r="F160" s="15">
        <f t="shared" si="61"/>
        <v>5.25</v>
      </c>
      <c r="G160" s="15">
        <f t="shared" si="47"/>
        <v>11.8125</v>
      </c>
      <c r="I160" s="15">
        <f t="shared" si="62"/>
        <v>0</v>
      </c>
      <c r="J160" s="15">
        <f t="shared" si="48"/>
        <v>0</v>
      </c>
      <c r="K160" s="15"/>
      <c r="L160" s="15">
        <f t="shared" si="49"/>
        <v>5.25</v>
      </c>
      <c r="M160" s="15">
        <f t="shared" si="50"/>
        <v>11.8125</v>
      </c>
      <c r="O160" s="116">
        <f>SUM(M160:M174)</f>
        <v>177.1875</v>
      </c>
      <c r="Q160">
        <f t="shared" si="51"/>
        <v>5.19</v>
      </c>
      <c r="R160" s="4">
        <f t="shared" si="52"/>
        <v>83.6655756231335</v>
      </c>
      <c r="T160" s="4">
        <f t="shared" si="53"/>
        <v>17.112868877395798</v>
      </c>
      <c r="X160" s="3">
        <f t="shared" si="54"/>
        <v>0.010928381224133922</v>
      </c>
      <c r="AA160" s="1">
        <f t="shared" si="42"/>
        <v>8.490589788854011E-06</v>
      </c>
      <c r="AB160">
        <f t="shared" si="55"/>
        <v>2.29</v>
      </c>
      <c r="AC160">
        <f t="shared" si="56"/>
        <v>1</v>
      </c>
      <c r="AD160" s="8">
        <f t="shared" si="43"/>
        <v>380.1950927273715</v>
      </c>
      <c r="AE160" s="4">
        <f t="shared" si="44"/>
        <v>112062.41223621464</v>
      </c>
      <c r="AF160" s="5">
        <f t="shared" si="45"/>
        <v>0.01729304545911937</v>
      </c>
      <c r="AG160" s="4">
        <f t="shared" si="57"/>
        <v>225</v>
      </c>
      <c r="AH160" s="8">
        <f t="shared" si="58"/>
        <v>134.2015011369945</v>
      </c>
      <c r="AI160" s="10">
        <f t="shared" si="59"/>
        <v>19.04718518803465</v>
      </c>
    </row>
    <row r="161" spans="1:35" ht="12.75">
      <c r="A161" s="120"/>
      <c r="B161" s="114"/>
      <c r="D161">
        <f t="shared" si="60"/>
        <v>2.25</v>
      </c>
      <c r="E161" s="4">
        <f t="shared" si="46"/>
        <v>105.75</v>
      </c>
      <c r="F161" s="15">
        <f t="shared" si="61"/>
        <v>5.25</v>
      </c>
      <c r="G161" s="15">
        <f t="shared" si="47"/>
        <v>11.8125</v>
      </c>
      <c r="I161" s="15">
        <f t="shared" si="62"/>
        <v>0</v>
      </c>
      <c r="J161" s="15">
        <f t="shared" si="48"/>
        <v>0</v>
      </c>
      <c r="K161" s="15"/>
      <c r="L161" s="15">
        <f t="shared" si="49"/>
        <v>5.25</v>
      </c>
      <c r="M161" s="15">
        <f t="shared" si="50"/>
        <v>11.8125</v>
      </c>
      <c r="O161" s="117"/>
      <c r="Q161">
        <f t="shared" si="51"/>
        <v>5.19</v>
      </c>
      <c r="R161" s="4">
        <f t="shared" si="52"/>
        <v>83.7985756231335</v>
      </c>
      <c r="T161" s="4">
        <f t="shared" si="53"/>
        <v>17.112868877395798</v>
      </c>
      <c r="X161" s="3">
        <f t="shared" si="54"/>
        <v>0.010910267653442914</v>
      </c>
      <c r="AA161" s="1">
        <f t="shared" si="42"/>
        <v>8.49849850085401E-06</v>
      </c>
      <c r="AB161">
        <f t="shared" si="55"/>
        <v>2.29</v>
      </c>
      <c r="AC161">
        <f t="shared" si="56"/>
        <v>1</v>
      </c>
      <c r="AD161" s="8">
        <f t="shared" si="43"/>
        <v>380.82630461943893</v>
      </c>
      <c r="AE161" s="4">
        <f t="shared" si="44"/>
        <v>111958.12683282106</v>
      </c>
      <c r="AF161" s="5">
        <f t="shared" si="45"/>
        <v>0.01729707103252331</v>
      </c>
      <c r="AG161" s="4">
        <f t="shared" si="57"/>
        <v>225</v>
      </c>
      <c r="AH161" s="8">
        <f t="shared" si="58"/>
        <v>134.455598758731</v>
      </c>
      <c r="AI161" s="10">
        <f t="shared" si="59"/>
        <v>19.045840632047064</v>
      </c>
    </row>
    <row r="162" spans="1:35" ht="12.75">
      <c r="A162" s="120"/>
      <c r="B162" s="114"/>
      <c r="D162">
        <f t="shared" si="60"/>
        <v>2.25</v>
      </c>
      <c r="E162" s="4">
        <f t="shared" si="46"/>
        <v>108</v>
      </c>
      <c r="F162" s="15">
        <f t="shared" si="61"/>
        <v>5.25</v>
      </c>
      <c r="G162" s="15">
        <f t="shared" si="47"/>
        <v>11.8125</v>
      </c>
      <c r="I162" s="15">
        <f t="shared" si="62"/>
        <v>0</v>
      </c>
      <c r="J162" s="15">
        <f t="shared" si="48"/>
        <v>0</v>
      </c>
      <c r="K162" s="15"/>
      <c r="L162" s="15">
        <f t="shared" si="49"/>
        <v>5.25</v>
      </c>
      <c r="M162" s="15">
        <f t="shared" si="50"/>
        <v>11.8125</v>
      </c>
      <c r="O162" s="117"/>
      <c r="Q162">
        <f t="shared" si="51"/>
        <v>5.19</v>
      </c>
      <c r="R162" s="4">
        <f t="shared" si="52"/>
        <v>83.9315756231335</v>
      </c>
      <c r="T162" s="4">
        <f t="shared" si="53"/>
        <v>17.112868877395798</v>
      </c>
      <c r="X162" s="3">
        <f t="shared" si="54"/>
        <v>0.010892210035984172</v>
      </c>
      <c r="AA162" s="1">
        <f t="shared" si="42"/>
        <v>8.50640721285401E-06</v>
      </c>
      <c r="AB162">
        <f t="shared" si="55"/>
        <v>2.29</v>
      </c>
      <c r="AC162">
        <f t="shared" si="56"/>
        <v>1</v>
      </c>
      <c r="AD162" s="8">
        <f t="shared" si="43"/>
        <v>381.457656356536</v>
      </c>
      <c r="AE162" s="4">
        <f t="shared" si="44"/>
        <v>111854.03534519013</v>
      </c>
      <c r="AF162" s="5">
        <f t="shared" si="45"/>
        <v>0.017301093797254703</v>
      </c>
      <c r="AG162" s="4">
        <f t="shared" si="57"/>
        <v>225</v>
      </c>
      <c r="AH162" s="8">
        <f t="shared" si="58"/>
        <v>134.7098276290333</v>
      </c>
      <c r="AI162" s="10">
        <f t="shared" si="59"/>
        <v>19.044493533770773</v>
      </c>
    </row>
    <row r="163" spans="1:35" ht="12.75">
      <c r="A163" s="120"/>
      <c r="B163" s="114"/>
      <c r="D163">
        <f t="shared" si="60"/>
        <v>2.25</v>
      </c>
      <c r="E163" s="4">
        <f t="shared" si="46"/>
        <v>110.25</v>
      </c>
      <c r="F163" s="15">
        <f t="shared" si="61"/>
        <v>5.25</v>
      </c>
      <c r="G163" s="15">
        <f t="shared" si="47"/>
        <v>11.8125</v>
      </c>
      <c r="I163" s="15">
        <f t="shared" si="62"/>
        <v>0</v>
      </c>
      <c r="J163" s="15">
        <f t="shared" si="48"/>
        <v>0</v>
      </c>
      <c r="K163" s="15"/>
      <c r="L163" s="15">
        <f t="shared" si="49"/>
        <v>5.25</v>
      </c>
      <c r="M163" s="15">
        <f t="shared" si="50"/>
        <v>11.8125</v>
      </c>
      <c r="O163" s="117"/>
      <c r="Q163">
        <f t="shared" si="51"/>
        <v>5.19</v>
      </c>
      <c r="R163" s="4">
        <f t="shared" si="52"/>
        <v>84.06457562313349</v>
      </c>
      <c r="T163" s="4">
        <f t="shared" si="53"/>
        <v>17.112868877395798</v>
      </c>
      <c r="X163" s="3">
        <f t="shared" si="54"/>
        <v>0.01087420810543459</v>
      </c>
      <c r="AA163" s="1">
        <f t="shared" si="42"/>
        <v>8.51431592485401E-06</v>
      </c>
      <c r="AB163">
        <f t="shared" si="55"/>
        <v>2.29</v>
      </c>
      <c r="AC163">
        <f t="shared" si="56"/>
        <v>1</v>
      </c>
      <c r="AD163" s="8">
        <f t="shared" si="43"/>
        <v>382.0891482473253</v>
      </c>
      <c r="AE163" s="4">
        <f t="shared" si="44"/>
        <v>111750.13723295303</v>
      </c>
      <c r="AF163" s="5">
        <f t="shared" si="45"/>
        <v>0.017305113757881775</v>
      </c>
      <c r="AG163" s="4">
        <f t="shared" si="57"/>
        <v>225</v>
      </c>
      <c r="AH163" s="8">
        <f t="shared" si="58"/>
        <v>134.96418781842019</v>
      </c>
      <c r="AI163" s="10">
        <f t="shared" si="59"/>
        <v>19.043143891892587</v>
      </c>
    </row>
    <row r="164" spans="1:35" ht="12.75">
      <c r="A164" s="120"/>
      <c r="B164" s="114"/>
      <c r="D164">
        <f t="shared" si="60"/>
        <v>2.25</v>
      </c>
      <c r="E164" s="4">
        <f t="shared" si="46"/>
        <v>112.5</v>
      </c>
      <c r="F164" s="15">
        <f t="shared" si="61"/>
        <v>5.25</v>
      </c>
      <c r="G164" s="15">
        <f t="shared" si="47"/>
        <v>11.8125</v>
      </c>
      <c r="I164" s="15">
        <f t="shared" si="62"/>
        <v>0</v>
      </c>
      <c r="J164" s="15">
        <f t="shared" si="48"/>
        <v>0</v>
      </c>
      <c r="K164" s="15"/>
      <c r="L164" s="15">
        <f t="shared" si="49"/>
        <v>5.25</v>
      </c>
      <c r="M164" s="15">
        <f t="shared" si="50"/>
        <v>11.8125</v>
      </c>
      <c r="O164" s="117"/>
      <c r="Q164">
        <f t="shared" si="51"/>
        <v>5.19</v>
      </c>
      <c r="R164" s="4">
        <f t="shared" si="52"/>
        <v>84.19757562313349</v>
      </c>
      <c r="T164" s="4">
        <f t="shared" si="53"/>
        <v>17.112868877395798</v>
      </c>
      <c r="X164" s="3">
        <f t="shared" si="54"/>
        <v>0.01085626159715341</v>
      </c>
      <c r="AA164" s="1">
        <f t="shared" si="42"/>
        <v>8.522224636854009E-06</v>
      </c>
      <c r="AB164">
        <f t="shared" si="55"/>
        <v>2.29</v>
      </c>
      <c r="AC164">
        <f t="shared" si="56"/>
        <v>1</v>
      </c>
      <c r="AD164" s="8">
        <f t="shared" si="43"/>
        <v>382.7207806008572</v>
      </c>
      <c r="AE164" s="4">
        <f t="shared" si="44"/>
        <v>111646.4319577466</v>
      </c>
      <c r="AF164" s="5">
        <f t="shared" si="45"/>
        <v>0.017309130918961083</v>
      </c>
      <c r="AG164" s="4">
        <f t="shared" si="57"/>
        <v>225</v>
      </c>
      <c r="AH164" s="8">
        <f t="shared" si="58"/>
        <v>135.21867939774503</v>
      </c>
      <c r="AI164" s="10">
        <f t="shared" si="59"/>
        <v>19.04179170509861</v>
      </c>
    </row>
    <row r="165" spans="1:35" ht="12.75">
      <c r="A165" s="120"/>
      <c r="B165" s="114"/>
      <c r="D165">
        <f t="shared" si="60"/>
        <v>2.25</v>
      </c>
      <c r="E165" s="4">
        <f t="shared" si="46"/>
        <v>114.75</v>
      </c>
      <c r="F165" s="15">
        <f t="shared" si="61"/>
        <v>5.25</v>
      </c>
      <c r="G165" s="15">
        <f t="shared" si="47"/>
        <v>11.8125</v>
      </c>
      <c r="I165" s="15">
        <f t="shared" si="62"/>
        <v>0</v>
      </c>
      <c r="J165" s="15">
        <f t="shared" si="48"/>
        <v>0</v>
      </c>
      <c r="K165" s="15"/>
      <c r="L165" s="15">
        <f t="shared" si="49"/>
        <v>5.25</v>
      </c>
      <c r="M165" s="15">
        <f t="shared" si="50"/>
        <v>11.8125</v>
      </c>
      <c r="O165" s="117"/>
      <c r="Q165">
        <f t="shared" si="51"/>
        <v>5.19</v>
      </c>
      <c r="R165" s="4">
        <f t="shared" si="52"/>
        <v>84.33057562313348</v>
      </c>
      <c r="T165" s="4">
        <f t="shared" si="53"/>
        <v>17.112868877395798</v>
      </c>
      <c r="X165" s="3">
        <f t="shared" si="54"/>
        <v>0.01083837024816897</v>
      </c>
      <c r="AA165" s="1">
        <f t="shared" si="42"/>
        <v>8.53013334885401E-06</v>
      </c>
      <c r="AB165">
        <f t="shared" si="55"/>
        <v>2.29</v>
      </c>
      <c r="AC165">
        <f t="shared" si="56"/>
        <v>1</v>
      </c>
      <c r="AD165" s="8">
        <f t="shared" si="43"/>
        <v>383.35255372657093</v>
      </c>
      <c r="AE165" s="4">
        <f t="shared" si="44"/>
        <v>111542.9189832044</v>
      </c>
      <c r="AF165" s="5">
        <f t="shared" si="45"/>
        <v>0.017313145285037572</v>
      </c>
      <c r="AG165" s="4">
        <f t="shared" si="57"/>
        <v>225</v>
      </c>
      <c r="AH165" s="8">
        <f t="shared" si="58"/>
        <v>135.47330243819604</v>
      </c>
      <c r="AI165" s="10">
        <f t="shared" si="59"/>
        <v>19.04043697207423</v>
      </c>
    </row>
    <row r="166" spans="1:35" ht="12.75">
      <c r="A166" s="120"/>
      <c r="B166" s="114"/>
      <c r="D166">
        <f t="shared" si="60"/>
        <v>2.25</v>
      </c>
      <c r="E166" s="4">
        <f t="shared" si="46"/>
        <v>117</v>
      </c>
      <c r="F166" s="15">
        <f t="shared" si="61"/>
        <v>5.25</v>
      </c>
      <c r="G166" s="15">
        <f t="shared" si="47"/>
        <v>11.8125</v>
      </c>
      <c r="I166" s="15">
        <f t="shared" si="62"/>
        <v>0</v>
      </c>
      <c r="J166" s="15">
        <f t="shared" si="48"/>
        <v>0</v>
      </c>
      <c r="K166" s="15"/>
      <c r="L166" s="15">
        <f t="shared" si="49"/>
        <v>5.25</v>
      </c>
      <c r="M166" s="15">
        <f t="shared" si="50"/>
        <v>11.8125</v>
      </c>
      <c r="O166" s="117"/>
      <c r="Q166">
        <f t="shared" si="51"/>
        <v>5.19</v>
      </c>
      <c r="R166" s="4">
        <f t="shared" si="52"/>
        <v>84.46357562313348</v>
      </c>
      <c r="T166" s="4">
        <f t="shared" si="53"/>
        <v>17.112868877395798</v>
      </c>
      <c r="X166" s="3">
        <f t="shared" si="54"/>
        <v>0.010820533797165537</v>
      </c>
      <c r="AA166" s="1">
        <f t="shared" si="42"/>
        <v>8.538042060854008E-06</v>
      </c>
      <c r="AB166">
        <f t="shared" si="55"/>
        <v>2.29</v>
      </c>
      <c r="AC166">
        <f t="shared" si="56"/>
        <v>1</v>
      </c>
      <c r="AD166" s="8">
        <f t="shared" si="43"/>
        <v>383.98446793429474</v>
      </c>
      <c r="AE166" s="4">
        <f t="shared" si="44"/>
        <v>111439.5977749473</v>
      </c>
      <c r="AF166" s="5">
        <f t="shared" si="45"/>
        <v>0.017317156860644584</v>
      </c>
      <c r="AG166" s="4">
        <f t="shared" si="57"/>
        <v>225</v>
      </c>
      <c r="AH166" s="8">
        <f t="shared" si="58"/>
        <v>135.7280570112955</v>
      </c>
      <c r="AI166" s="10">
        <f t="shared" si="59"/>
        <v>19.039079691504117</v>
      </c>
    </row>
    <row r="167" spans="1:35" ht="12.75">
      <c r="A167" s="120"/>
      <c r="B167" s="114"/>
      <c r="D167">
        <f t="shared" si="60"/>
        <v>2.25</v>
      </c>
      <c r="E167" s="4">
        <f t="shared" si="46"/>
        <v>119.25</v>
      </c>
      <c r="F167" s="15">
        <f t="shared" si="61"/>
        <v>5.25</v>
      </c>
      <c r="G167" s="15">
        <f t="shared" si="47"/>
        <v>11.8125</v>
      </c>
      <c r="I167" s="15">
        <f t="shared" si="62"/>
        <v>0</v>
      </c>
      <c r="J167" s="15">
        <f t="shared" si="48"/>
        <v>0</v>
      </c>
      <c r="K167" s="15"/>
      <c r="L167" s="15">
        <f t="shared" si="49"/>
        <v>5.25</v>
      </c>
      <c r="M167" s="15">
        <f t="shared" si="50"/>
        <v>11.8125</v>
      </c>
      <c r="O167" s="117"/>
      <c r="Q167">
        <f t="shared" si="51"/>
        <v>5.19</v>
      </c>
      <c r="R167" s="4">
        <f t="shared" si="52"/>
        <v>84.59657562313348</v>
      </c>
      <c r="T167" s="4">
        <f t="shared" si="53"/>
        <v>17.112868877395798</v>
      </c>
      <c r="X167" s="3">
        <f t="shared" si="54"/>
        <v>0.01080275198447031</v>
      </c>
      <c r="AA167" s="1">
        <f t="shared" si="42"/>
        <v>8.545950772854009E-06</v>
      </c>
      <c r="AB167">
        <f t="shared" si="55"/>
        <v>2.29</v>
      </c>
      <c r="AC167">
        <f t="shared" si="56"/>
        <v>1</v>
      </c>
      <c r="AD167" s="8">
        <f t="shared" si="43"/>
        <v>384.6165235342474</v>
      </c>
      <c r="AE167" s="4">
        <f t="shared" si="44"/>
        <v>111336.46780057423</v>
      </c>
      <c r="AF167" s="5">
        <f t="shared" si="45"/>
        <v>0.017321165650303928</v>
      </c>
      <c r="AG167" s="4">
        <f t="shared" si="57"/>
        <v>225</v>
      </c>
      <c r="AH167" s="8">
        <f t="shared" si="58"/>
        <v>135.98294318890046</v>
      </c>
      <c r="AI167" s="10">
        <f t="shared" si="59"/>
        <v>19.03771986207223</v>
      </c>
    </row>
    <row r="168" spans="1:35" ht="12.75">
      <c r="A168" s="120"/>
      <c r="B168" s="114"/>
      <c r="D168">
        <f t="shared" si="60"/>
        <v>2.25</v>
      </c>
      <c r="E168" s="4">
        <f t="shared" si="46"/>
        <v>121.5</v>
      </c>
      <c r="F168" s="15">
        <f t="shared" si="61"/>
        <v>5.25</v>
      </c>
      <c r="G168" s="15">
        <f t="shared" si="47"/>
        <v>11.8125</v>
      </c>
      <c r="I168" s="15">
        <f t="shared" si="62"/>
        <v>0</v>
      </c>
      <c r="J168" s="15">
        <f t="shared" si="48"/>
        <v>0</v>
      </c>
      <c r="K168" s="15"/>
      <c r="L168" s="15">
        <f t="shared" si="49"/>
        <v>5.25</v>
      </c>
      <c r="M168" s="15">
        <f t="shared" si="50"/>
        <v>11.8125</v>
      </c>
      <c r="O168" s="117"/>
      <c r="Q168">
        <f t="shared" si="51"/>
        <v>5.19</v>
      </c>
      <c r="R168" s="4">
        <f t="shared" si="52"/>
        <v>84.72957562313347</v>
      </c>
      <c r="T168" s="4">
        <f t="shared" si="53"/>
        <v>17.112868877395798</v>
      </c>
      <c r="X168" s="3">
        <f t="shared" si="54"/>
        <v>0.010785024552040504</v>
      </c>
      <c r="AA168" s="1">
        <f t="shared" si="42"/>
        <v>8.553859484854008E-06</v>
      </c>
      <c r="AB168">
        <f t="shared" si="55"/>
        <v>2.29</v>
      </c>
      <c r="AC168">
        <f t="shared" si="56"/>
        <v>1</v>
      </c>
      <c r="AD168" s="8">
        <f t="shared" si="43"/>
        <v>385.2487208370389</v>
      </c>
      <c r="AE168" s="4">
        <f t="shared" si="44"/>
        <v>111233.52852965318</v>
      </c>
      <c r="AF168" s="5">
        <f t="shared" si="45"/>
        <v>0.017325171658525908</v>
      </c>
      <c r="AG168" s="4">
        <f t="shared" si="57"/>
        <v>225</v>
      </c>
      <c r="AH168" s="8">
        <f t="shared" si="58"/>
        <v>136.2379610432026</v>
      </c>
      <c r="AI168" s="10">
        <f t="shared" si="59"/>
        <v>19.0363574824618</v>
      </c>
    </row>
    <row r="169" spans="1:35" ht="12.75">
      <c r="A169" s="120"/>
      <c r="B169" s="114"/>
      <c r="D169">
        <f t="shared" si="60"/>
        <v>2.25</v>
      </c>
      <c r="E169" s="4">
        <f t="shared" si="46"/>
        <v>123.75</v>
      </c>
      <c r="F169" s="15">
        <f t="shared" si="61"/>
        <v>5.25</v>
      </c>
      <c r="G169" s="15">
        <f t="shared" si="47"/>
        <v>11.8125</v>
      </c>
      <c r="I169" s="15">
        <f t="shared" si="62"/>
        <v>0</v>
      </c>
      <c r="J169" s="15">
        <f t="shared" si="48"/>
        <v>0</v>
      </c>
      <c r="K169" s="15"/>
      <c r="L169" s="15">
        <f t="shared" si="49"/>
        <v>5.25</v>
      </c>
      <c r="M169" s="15">
        <f t="shared" si="50"/>
        <v>11.8125</v>
      </c>
      <c r="O169" s="117"/>
      <c r="Q169">
        <f t="shared" si="51"/>
        <v>5.19</v>
      </c>
      <c r="R169" s="4">
        <f t="shared" si="52"/>
        <v>84.86257562313347</v>
      </c>
      <c r="T169" s="4">
        <f t="shared" si="53"/>
        <v>17.112868877395798</v>
      </c>
      <c r="X169" s="3">
        <f t="shared" si="54"/>
        <v>0.010767351243450596</v>
      </c>
      <c r="AA169" s="1">
        <f t="shared" si="42"/>
        <v>8.561768196854008E-06</v>
      </c>
      <c r="AB169">
        <f t="shared" si="55"/>
        <v>2.29</v>
      </c>
      <c r="AC169">
        <f t="shared" si="56"/>
        <v>1</v>
      </c>
      <c r="AD169" s="8">
        <f t="shared" si="43"/>
        <v>385.8810601536709</v>
      </c>
      <c r="AE169" s="4">
        <f t="shared" si="44"/>
        <v>111130.77943371198</v>
      </c>
      <c r="AF169" s="5">
        <f t="shared" si="45"/>
        <v>0.017329174889809368</v>
      </c>
      <c r="AG169" s="4">
        <f t="shared" si="57"/>
        <v>225</v>
      </c>
      <c r="AH169" s="8">
        <f t="shared" si="58"/>
        <v>136.4931106467279</v>
      </c>
      <c r="AI169" s="10">
        <f t="shared" si="59"/>
        <v>19.03499255135533</v>
      </c>
    </row>
    <row r="170" spans="1:35" ht="12.75">
      <c r="A170" s="120"/>
      <c r="B170" s="114"/>
      <c r="D170">
        <f t="shared" si="60"/>
        <v>2.25</v>
      </c>
      <c r="E170" s="4">
        <f t="shared" si="46"/>
        <v>126</v>
      </c>
      <c r="F170" s="15">
        <f t="shared" si="61"/>
        <v>5.25</v>
      </c>
      <c r="G170" s="15">
        <f t="shared" si="47"/>
        <v>11.8125</v>
      </c>
      <c r="I170" s="15">
        <f t="shared" si="62"/>
        <v>0</v>
      </c>
      <c r="J170" s="15">
        <f t="shared" si="48"/>
        <v>0</v>
      </c>
      <c r="K170" s="15"/>
      <c r="L170" s="15">
        <f t="shared" si="49"/>
        <v>5.25</v>
      </c>
      <c r="M170" s="15">
        <f t="shared" si="50"/>
        <v>11.8125</v>
      </c>
      <c r="O170" s="117"/>
      <c r="Q170">
        <f t="shared" si="51"/>
        <v>5.19</v>
      </c>
      <c r="R170" s="4">
        <f t="shared" si="52"/>
        <v>84.99557562313346</v>
      </c>
      <c r="T170" s="4">
        <f t="shared" si="53"/>
        <v>17.112868877395798</v>
      </c>
      <c r="X170" s="3">
        <f t="shared" si="54"/>
        <v>0.01074973180387965</v>
      </c>
      <c r="AA170" s="1">
        <f t="shared" si="42"/>
        <v>8.569676908854007E-06</v>
      </c>
      <c r="AB170">
        <f t="shared" si="55"/>
        <v>2.29</v>
      </c>
      <c r="AC170">
        <f t="shared" si="56"/>
        <v>1</v>
      </c>
      <c r="AD170" s="8">
        <f t="shared" si="43"/>
        <v>386.5135417955382</v>
      </c>
      <c r="AE170" s="4">
        <f t="shared" si="44"/>
        <v>111028.2199862294</v>
      </c>
      <c r="AF170" s="5">
        <f t="shared" si="45"/>
        <v>0.017333175348641726</v>
      </c>
      <c r="AG170" s="4">
        <f t="shared" si="57"/>
        <v>225</v>
      </c>
      <c r="AH170" s="8">
        <f t="shared" si="58"/>
        <v>136.74839207233697</v>
      </c>
      <c r="AI170" s="10">
        <f t="shared" si="59"/>
        <v>19.033625067434606</v>
      </c>
    </row>
    <row r="171" spans="1:35" ht="12.75">
      <c r="A171" s="120"/>
      <c r="B171" s="114"/>
      <c r="D171">
        <f t="shared" si="60"/>
        <v>2.25</v>
      </c>
      <c r="E171" s="4">
        <f t="shared" si="46"/>
        <v>128.25</v>
      </c>
      <c r="F171" s="15">
        <f t="shared" si="61"/>
        <v>5.25</v>
      </c>
      <c r="G171" s="15">
        <f t="shared" si="47"/>
        <v>11.8125</v>
      </c>
      <c r="I171" s="15">
        <f t="shared" si="62"/>
        <v>0</v>
      </c>
      <c r="J171" s="15">
        <f t="shared" si="48"/>
        <v>0</v>
      </c>
      <c r="K171" s="15"/>
      <c r="L171" s="15">
        <f t="shared" si="49"/>
        <v>5.25</v>
      </c>
      <c r="M171" s="15">
        <f t="shared" si="50"/>
        <v>11.8125</v>
      </c>
      <c r="O171" s="117"/>
      <c r="Q171">
        <f t="shared" si="51"/>
        <v>5.19</v>
      </c>
      <c r="R171" s="4">
        <f t="shared" si="52"/>
        <v>85.12857562313346</v>
      </c>
      <c r="T171" s="4">
        <f t="shared" si="53"/>
        <v>17.112868877395798</v>
      </c>
      <c r="X171" s="3">
        <f t="shared" si="54"/>
        <v>0.010732165980098803</v>
      </c>
      <c r="AA171" s="1">
        <f t="shared" si="42"/>
        <v>8.577585620854006E-06</v>
      </c>
      <c r="AB171">
        <f t="shared" si="55"/>
        <v>2.29</v>
      </c>
      <c r="AC171">
        <f t="shared" si="56"/>
        <v>1</v>
      </c>
      <c r="AD171" s="8">
        <f t="shared" si="43"/>
        <v>387.1461660744285</v>
      </c>
      <c r="AE171" s="4">
        <f t="shared" si="44"/>
        <v>110925.84966262586</v>
      </c>
      <c r="AF171" s="5">
        <f t="shared" si="45"/>
        <v>0.017337173039498995</v>
      </c>
      <c r="AG171" s="4">
        <f t="shared" si="57"/>
        <v>225</v>
      </c>
      <c r="AH171" s="8">
        <f t="shared" si="58"/>
        <v>137.0038053932244</v>
      </c>
      <c r="AI171" s="10">
        <f t="shared" si="59"/>
        <v>19.032255029380675</v>
      </c>
    </row>
    <row r="172" spans="1:35" ht="12.75">
      <c r="A172" s="120"/>
      <c r="B172" s="114"/>
      <c r="D172">
        <f t="shared" si="60"/>
        <v>2.25</v>
      </c>
      <c r="E172" s="4">
        <f t="shared" si="46"/>
        <v>130.5</v>
      </c>
      <c r="F172" s="15">
        <f t="shared" si="61"/>
        <v>5.25</v>
      </c>
      <c r="G172" s="15">
        <f t="shared" si="47"/>
        <v>11.8125</v>
      </c>
      <c r="I172" s="15">
        <f t="shared" si="62"/>
        <v>0</v>
      </c>
      <c r="J172" s="15">
        <f t="shared" si="48"/>
        <v>0</v>
      </c>
      <c r="K172" s="15"/>
      <c r="L172" s="15">
        <f t="shared" si="49"/>
        <v>5.25</v>
      </c>
      <c r="M172" s="15">
        <f t="shared" si="50"/>
        <v>11.8125</v>
      </c>
      <c r="O172" s="117"/>
      <c r="Q172">
        <f t="shared" si="51"/>
        <v>5.19</v>
      </c>
      <c r="R172" s="4">
        <f t="shared" si="52"/>
        <v>85.26157562313345</v>
      </c>
      <c r="T172" s="4">
        <f t="shared" si="53"/>
        <v>17.112868877395798</v>
      </c>
      <c r="X172" s="3">
        <f t="shared" si="54"/>
        <v>0.010714653520458816</v>
      </c>
      <c r="AA172" s="1">
        <f t="shared" si="42"/>
        <v>8.585494332854007E-06</v>
      </c>
      <c r="AB172">
        <f t="shared" si="55"/>
        <v>2.29</v>
      </c>
      <c r="AC172">
        <f t="shared" si="56"/>
        <v>1</v>
      </c>
      <c r="AD172" s="8">
        <f t="shared" si="43"/>
        <v>387.7789333025249</v>
      </c>
      <c r="AE172" s="4">
        <f t="shared" si="44"/>
        <v>110823.6679402549</v>
      </c>
      <c r="AF172" s="5">
        <f t="shared" si="45"/>
        <v>0.017341167966845882</v>
      </c>
      <c r="AG172" s="4">
        <f t="shared" si="57"/>
        <v>225</v>
      </c>
      <c r="AH172" s="8">
        <f t="shared" si="58"/>
        <v>137.25935068292</v>
      </c>
      <c r="AI172" s="10">
        <f t="shared" si="59"/>
        <v>19.030882435873846</v>
      </c>
    </row>
    <row r="173" spans="1:35" ht="12.75">
      <c r="A173" s="120"/>
      <c r="B173" s="114"/>
      <c r="D173">
        <f t="shared" si="60"/>
        <v>2.25</v>
      </c>
      <c r="E173" s="4">
        <f t="shared" si="46"/>
        <v>132.75</v>
      </c>
      <c r="F173" s="15">
        <f t="shared" si="61"/>
        <v>5.25</v>
      </c>
      <c r="G173" s="15">
        <f t="shared" si="47"/>
        <v>11.8125</v>
      </c>
      <c r="I173" s="15">
        <f t="shared" si="62"/>
        <v>0</v>
      </c>
      <c r="J173" s="15">
        <f t="shared" si="48"/>
        <v>0</v>
      </c>
      <c r="K173" s="15"/>
      <c r="L173" s="15">
        <f t="shared" si="49"/>
        <v>5.25</v>
      </c>
      <c r="M173" s="15">
        <f t="shared" si="50"/>
        <v>11.8125</v>
      </c>
      <c r="O173" s="117"/>
      <c r="Q173">
        <f t="shared" si="51"/>
        <v>5.19</v>
      </c>
      <c r="R173" s="4">
        <f t="shared" si="52"/>
        <v>85.39457562313345</v>
      </c>
      <c r="T173" s="4">
        <f t="shared" si="53"/>
        <v>17.112868877395798</v>
      </c>
      <c r="X173" s="3">
        <f t="shared" si="54"/>
        <v>0.010697194174877796</v>
      </c>
      <c r="AA173" s="1">
        <f t="shared" si="42"/>
        <v>8.593403044854006E-06</v>
      </c>
      <c r="AB173">
        <f t="shared" si="55"/>
        <v>2.29</v>
      </c>
      <c r="AC173">
        <f t="shared" si="56"/>
        <v>1</v>
      </c>
      <c r="AD173" s="8">
        <f t="shared" si="43"/>
        <v>388.41184379240525</v>
      </c>
      <c r="AE173" s="4">
        <f t="shared" si="44"/>
        <v>110721.67429839398</v>
      </c>
      <c r="AF173" s="5">
        <f t="shared" si="45"/>
        <v>0.017345160135135766</v>
      </c>
      <c r="AG173" s="4">
        <f t="shared" si="57"/>
        <v>225</v>
      </c>
      <c r="AH173" s="8">
        <f t="shared" si="58"/>
        <v>137.51502801528747</v>
      </c>
      <c r="AI173" s="10">
        <f t="shared" si="59"/>
        <v>19.02950728559369</v>
      </c>
    </row>
    <row r="174" spans="1:35" ht="13.5" thickBot="1">
      <c r="A174" s="100"/>
      <c r="B174" s="115"/>
      <c r="D174">
        <f t="shared" si="60"/>
        <v>2.25</v>
      </c>
      <c r="E174" s="4">
        <f t="shared" si="46"/>
        <v>135</v>
      </c>
      <c r="F174" s="15">
        <f t="shared" si="61"/>
        <v>5.25</v>
      </c>
      <c r="G174" s="15">
        <f t="shared" si="47"/>
        <v>11.8125</v>
      </c>
      <c r="I174" s="15">
        <f t="shared" si="62"/>
        <v>0</v>
      </c>
      <c r="J174" s="15">
        <f t="shared" si="48"/>
        <v>0</v>
      </c>
      <c r="K174" s="15"/>
      <c r="L174" s="15">
        <f t="shared" si="49"/>
        <v>5.25</v>
      </c>
      <c r="M174" s="15">
        <f t="shared" si="50"/>
        <v>11.8125</v>
      </c>
      <c r="O174" s="118"/>
      <c r="Q174">
        <f t="shared" si="51"/>
        <v>5.19</v>
      </c>
      <c r="R174" s="4">
        <f t="shared" si="52"/>
        <v>85.52757562313344</v>
      </c>
      <c r="T174" s="4">
        <f t="shared" si="53"/>
        <v>17.112868877395798</v>
      </c>
      <c r="X174" s="3">
        <f t="shared" si="54"/>
        <v>0.010679787694829</v>
      </c>
      <c r="AA174" s="1">
        <f t="shared" si="42"/>
        <v>8.601311756854008E-06</v>
      </c>
      <c r="AB174">
        <f t="shared" si="55"/>
        <v>2.29</v>
      </c>
      <c r="AC174">
        <f t="shared" si="56"/>
        <v>1</v>
      </c>
      <c r="AD174" s="8">
        <f t="shared" si="43"/>
        <v>389.04489785704385</v>
      </c>
      <c r="AE174" s="4">
        <f t="shared" si="44"/>
        <v>110619.86821823579</v>
      </c>
      <c r="AF174" s="5">
        <f t="shared" si="45"/>
        <v>0.017349149548810745</v>
      </c>
      <c r="AG174" s="4">
        <f t="shared" si="57"/>
        <v>225</v>
      </c>
      <c r="AH174" s="8">
        <f t="shared" si="58"/>
        <v>137.77083746452507</v>
      </c>
      <c r="AI174" s="10">
        <f t="shared" si="59"/>
        <v>19.028129577219048</v>
      </c>
    </row>
    <row r="175" spans="1:35" ht="13.5" thickBot="1">
      <c r="A175" s="20" t="s">
        <v>46</v>
      </c>
      <c r="AB175" t="s">
        <v>40</v>
      </c>
      <c r="AH175" s="3">
        <f>0.1*(X174*AD174^2)/2</f>
        <v>80.82246129859408</v>
      </c>
      <c r="AI175" s="10">
        <f t="shared" si="59"/>
        <v>19.027321352606062</v>
      </c>
    </row>
    <row r="177" spans="1:34" ht="12.75">
      <c r="A177" t="s">
        <v>53</v>
      </c>
      <c r="B177" s="15">
        <f>B160+B145+B130+B115</f>
        <v>708.75</v>
      </c>
      <c r="C177" t="s">
        <v>35</v>
      </c>
      <c r="N177" t="s">
        <v>39</v>
      </c>
      <c r="O177" s="15">
        <f>O160+O145+O130+O115</f>
        <v>708.75</v>
      </c>
      <c r="P177" t="s">
        <v>35</v>
      </c>
      <c r="AG177" s="6" t="s">
        <v>66</v>
      </c>
      <c r="AH177" s="11">
        <f>SUM(AH115:AH175)</f>
        <v>7898.776669399043</v>
      </c>
    </row>
    <row r="178" spans="33:34" ht="12.75">
      <c r="AG178" s="25" t="s">
        <v>67</v>
      </c>
      <c r="AH178" s="67">
        <f>AH177/100000</f>
        <v>0.07898776669399044</v>
      </c>
    </row>
    <row r="179" spans="33:34" ht="12.75">
      <c r="AG179" s="6"/>
      <c r="AH179" s="11"/>
    </row>
  </sheetData>
  <mergeCells count="24">
    <mergeCell ref="B30:B44"/>
    <mergeCell ref="A30:A44"/>
    <mergeCell ref="O30:O44"/>
    <mergeCell ref="A15:A29"/>
    <mergeCell ref="B15:B29"/>
    <mergeCell ref="O15:O29"/>
    <mergeCell ref="O45:O59"/>
    <mergeCell ref="B60:B74"/>
    <mergeCell ref="A60:A74"/>
    <mergeCell ref="O60:O74"/>
    <mergeCell ref="A45:A59"/>
    <mergeCell ref="B45:B59"/>
    <mergeCell ref="A115:A129"/>
    <mergeCell ref="B115:B129"/>
    <mergeCell ref="O115:O129"/>
    <mergeCell ref="A130:A144"/>
    <mergeCell ref="B130:B144"/>
    <mergeCell ref="O130:O144"/>
    <mergeCell ref="A145:A159"/>
    <mergeCell ref="B145:B159"/>
    <mergeCell ref="O145:O159"/>
    <mergeCell ref="A160:A174"/>
    <mergeCell ref="B160:B174"/>
    <mergeCell ref="O160:O17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180"/>
  <sheetViews>
    <sheetView zoomScale="75" zoomScaleNormal="75" workbookViewId="0" topLeftCell="F102">
      <selection activeCell="AC114" sqref="AC114"/>
    </sheetView>
  </sheetViews>
  <sheetFormatPr defaultColWidth="9.00390625" defaultRowHeight="12.75"/>
  <cols>
    <col min="1" max="1" width="18.00390625" style="0" bestFit="1" customWidth="1"/>
    <col min="2" max="3" width="9.625" style="0" customWidth="1"/>
    <col min="4" max="4" width="6.00390625" style="0" customWidth="1"/>
    <col min="5" max="5" width="9.75390625" style="0" customWidth="1"/>
    <col min="6" max="6" width="11.25390625" style="0" customWidth="1"/>
    <col min="7" max="7" width="12.375" style="0" customWidth="1"/>
    <col min="10" max="10" width="13.25390625" style="0" bestFit="1" customWidth="1"/>
    <col min="11" max="12" width="11.125" style="0" customWidth="1"/>
    <col min="13" max="13" width="10.00390625" style="0" customWidth="1"/>
    <col min="14" max="14" width="17.625" style="0" bestFit="1" customWidth="1"/>
    <col min="15" max="15" width="9.625" style="0" bestFit="1" customWidth="1"/>
    <col min="16" max="16" width="14.625" style="0" customWidth="1"/>
    <col min="17" max="17" width="11.375" style="0" customWidth="1"/>
    <col min="18" max="18" width="9.875" style="0" customWidth="1"/>
    <col min="19" max="19" width="9.375" style="0" customWidth="1"/>
    <col min="21" max="21" width="6.125" style="0" customWidth="1"/>
    <col min="22" max="24" width="11.375" style="0" customWidth="1"/>
    <col min="25" max="27" width="13.125" style="0" customWidth="1"/>
    <col min="28" max="28" width="12.875" style="0" customWidth="1"/>
    <col min="29" max="29" width="10.875" style="0" customWidth="1"/>
    <col min="30" max="30" width="12.25390625" style="0" customWidth="1"/>
    <col min="31" max="31" width="13.875" style="0" customWidth="1"/>
    <col min="32" max="32" width="9.75390625" style="0" customWidth="1"/>
    <col min="33" max="33" width="9.625" style="0" customWidth="1"/>
    <col min="34" max="34" width="13.25390625" style="0" bestFit="1" customWidth="1"/>
    <col min="35" max="35" width="6.375" style="0" customWidth="1"/>
    <col min="36" max="36" width="11.375" style="5" customWidth="1"/>
    <col min="37" max="16384" width="11.375" style="0" customWidth="1"/>
  </cols>
  <sheetData>
    <row r="3" spans="4:10" ht="12.75">
      <c r="D3" t="s">
        <v>153</v>
      </c>
      <c r="I3" s="40">
        <f>'Thermal shield'!R74</f>
        <v>85.42445426989065</v>
      </c>
      <c r="J3" t="s">
        <v>89</v>
      </c>
    </row>
    <row r="4" spans="4:10" ht="12.75">
      <c r="D4" t="s">
        <v>152</v>
      </c>
      <c r="I4" s="40" t="e">
        <f>'Thermal shield'!AI75</f>
        <v>#NUM!</v>
      </c>
      <c r="J4" s="3" t="s">
        <v>70</v>
      </c>
    </row>
    <row r="5" spans="4:32" ht="18">
      <c r="D5" t="s">
        <v>90</v>
      </c>
      <c r="P5" s="14" t="s">
        <v>92</v>
      </c>
      <c r="AF5" t="s">
        <v>0</v>
      </c>
    </row>
    <row r="6" spans="16:32" ht="18">
      <c r="P6" s="14" t="s">
        <v>93</v>
      </c>
      <c r="AF6" s="13">
        <v>36547</v>
      </c>
    </row>
    <row r="7" spans="6:14" ht="12.75">
      <c r="F7" t="s">
        <v>91</v>
      </c>
      <c r="I7" s="21">
        <v>21</v>
      </c>
      <c r="J7" t="s">
        <v>89</v>
      </c>
      <c r="L7" t="s">
        <v>156</v>
      </c>
      <c r="M7" s="4" t="e">
        <f>AH78</f>
        <v>#NUM!</v>
      </c>
      <c r="N7" t="s">
        <v>70</v>
      </c>
    </row>
    <row r="8" spans="6:24" ht="12.75">
      <c r="F8" t="s">
        <v>59</v>
      </c>
      <c r="H8" t="s">
        <v>60</v>
      </c>
      <c r="I8" s="70">
        <f>'Cryo Power'!E22/2</f>
        <v>5</v>
      </c>
      <c r="J8" t="s">
        <v>155</v>
      </c>
      <c r="L8" s="3"/>
      <c r="O8" s="22"/>
      <c r="P8" s="22"/>
      <c r="Q8" s="22"/>
      <c r="R8" s="22" t="s">
        <v>94</v>
      </c>
      <c r="S8" s="22"/>
      <c r="T8" s="22"/>
      <c r="U8" s="22"/>
      <c r="V8" s="22"/>
      <c r="W8" s="22"/>
      <c r="X8" s="22"/>
    </row>
    <row r="9" spans="2:32" ht="12.75">
      <c r="B9" t="s">
        <v>64</v>
      </c>
      <c r="F9" t="s">
        <v>84</v>
      </c>
      <c r="H9" t="s">
        <v>85</v>
      </c>
      <c r="I9" s="17">
        <v>0.533</v>
      </c>
      <c r="J9" t="s">
        <v>86</v>
      </c>
      <c r="AF9" t="s">
        <v>27</v>
      </c>
    </row>
    <row r="10" spans="2:35" ht="12.75">
      <c r="B10" t="s">
        <v>65</v>
      </c>
      <c r="F10" t="s">
        <v>61</v>
      </c>
      <c r="H10" t="s">
        <v>62</v>
      </c>
      <c r="I10" s="40">
        <f>'Cryo Power'!E29</f>
        <v>135</v>
      </c>
      <c r="J10" t="s">
        <v>63</v>
      </c>
      <c r="O10" t="s">
        <v>30</v>
      </c>
      <c r="R10" t="s">
        <v>97</v>
      </c>
      <c r="X10" s="16" t="s">
        <v>96</v>
      </c>
      <c r="Y10" s="16"/>
      <c r="Z10" s="16"/>
      <c r="AA10" s="16" t="s">
        <v>96</v>
      </c>
      <c r="AC10" s="16" t="s">
        <v>54</v>
      </c>
      <c r="AD10" s="19" t="s">
        <v>79</v>
      </c>
      <c r="AF10" t="s">
        <v>58</v>
      </c>
      <c r="AH10" s="5"/>
      <c r="AI10" s="5"/>
    </row>
    <row r="11" spans="2:36" s="2" customFormat="1" ht="12.75">
      <c r="B11" t="s">
        <v>29</v>
      </c>
      <c r="C11"/>
      <c r="D11" s="2" t="s">
        <v>24</v>
      </c>
      <c r="H11"/>
      <c r="I11"/>
      <c r="J11"/>
      <c r="K11"/>
      <c r="M11" t="s">
        <v>30</v>
      </c>
      <c r="N11"/>
      <c r="O11" t="s">
        <v>38</v>
      </c>
      <c r="P11"/>
      <c r="Q11" s="2" t="s">
        <v>95</v>
      </c>
      <c r="R11" t="s">
        <v>98</v>
      </c>
      <c r="S11"/>
      <c r="T11" s="2" t="s">
        <v>4</v>
      </c>
      <c r="U11"/>
      <c r="V11"/>
      <c r="W11"/>
      <c r="X11" s="16" t="s">
        <v>73</v>
      </c>
      <c r="Y11"/>
      <c r="Z11"/>
      <c r="AA11" s="2" t="s">
        <v>100</v>
      </c>
      <c r="AB11" s="2" t="s">
        <v>7</v>
      </c>
      <c r="AC11" s="16" t="s">
        <v>55</v>
      </c>
      <c r="AD11" s="19" t="s">
        <v>80</v>
      </c>
      <c r="AE11" s="2" t="s">
        <v>8</v>
      </c>
      <c r="AF11" s="2" t="s">
        <v>9</v>
      </c>
      <c r="AG11" s="2" t="s">
        <v>10</v>
      </c>
      <c r="AH11" s="7" t="s">
        <v>11</v>
      </c>
      <c r="AI11" s="7" t="s">
        <v>71</v>
      </c>
      <c r="AJ11" s="7"/>
    </row>
    <row r="12" spans="2:36" s="2" customFormat="1" ht="12.75">
      <c r="B12" s="2" t="s">
        <v>51</v>
      </c>
      <c r="C12"/>
      <c r="D12" s="2" t="s">
        <v>25</v>
      </c>
      <c r="E12"/>
      <c r="F12" s="2" t="s">
        <v>48</v>
      </c>
      <c r="G12" s="16" t="s">
        <v>48</v>
      </c>
      <c r="I12" s="2" t="s">
        <v>34</v>
      </c>
      <c r="J12" s="2" t="s">
        <v>36</v>
      </c>
      <c r="K12"/>
      <c r="L12" t="s">
        <v>30</v>
      </c>
      <c r="M12" t="s">
        <v>31</v>
      </c>
      <c r="N12"/>
      <c r="O12" t="s">
        <v>50</v>
      </c>
      <c r="P12"/>
      <c r="Q12" s="2" t="s">
        <v>123</v>
      </c>
      <c r="R12" t="s">
        <v>99</v>
      </c>
      <c r="S12"/>
      <c r="T12" s="2" t="s">
        <v>15</v>
      </c>
      <c r="U12"/>
      <c r="V12"/>
      <c r="W12"/>
      <c r="X12" s="2" t="s">
        <v>16</v>
      </c>
      <c r="Y12"/>
      <c r="Z12"/>
      <c r="AA12" s="2" t="s">
        <v>17</v>
      </c>
      <c r="AB12" s="2" t="s">
        <v>18</v>
      </c>
      <c r="AC12" s="16" t="s">
        <v>56</v>
      </c>
      <c r="AD12" s="7" t="s">
        <v>19</v>
      </c>
      <c r="AG12" s="2" t="s">
        <v>18</v>
      </c>
      <c r="AH12" s="7" t="s">
        <v>20</v>
      </c>
      <c r="AI12" s="7" t="s">
        <v>72</v>
      </c>
      <c r="AJ12" s="7"/>
    </row>
    <row r="13" spans="3:36" s="2" customFormat="1" ht="13.5" thickBot="1">
      <c r="C13"/>
      <c r="D13" t="s">
        <v>26</v>
      </c>
      <c r="E13" s="2" t="s">
        <v>23</v>
      </c>
      <c r="F13" s="2" t="s">
        <v>33</v>
      </c>
      <c r="G13" s="16" t="s">
        <v>32</v>
      </c>
      <c r="I13" s="2" t="s">
        <v>33</v>
      </c>
      <c r="J13" s="2" t="s">
        <v>37</v>
      </c>
      <c r="K13"/>
      <c r="L13" t="s">
        <v>33</v>
      </c>
      <c r="M13" s="2" t="s">
        <v>37</v>
      </c>
      <c r="N13"/>
      <c r="O13" s="2" t="s">
        <v>51</v>
      </c>
      <c r="P13"/>
      <c r="R13"/>
      <c r="S13"/>
      <c r="U13"/>
      <c r="V13"/>
      <c r="W13"/>
      <c r="Y13"/>
      <c r="Z13"/>
      <c r="AD13" s="7"/>
      <c r="AH13" s="7"/>
      <c r="AI13" s="7"/>
      <c r="AJ13" s="7"/>
    </row>
    <row r="14" spans="1:35" ht="13.5" thickBot="1">
      <c r="A14" s="20" t="s">
        <v>47</v>
      </c>
      <c r="B14" s="15"/>
      <c r="D14">
        <v>0</v>
      </c>
      <c r="E14" s="4">
        <v>0</v>
      </c>
      <c r="F14" s="15">
        <v>0</v>
      </c>
      <c r="G14" s="15">
        <v>0</v>
      </c>
      <c r="I14" s="15"/>
      <c r="L14">
        <v>0</v>
      </c>
      <c r="M14" s="15">
        <v>0</v>
      </c>
      <c r="O14" s="15"/>
      <c r="Q14">
        <v>5.19</v>
      </c>
      <c r="R14" s="4">
        <f>I3</f>
        <v>85.42445426989065</v>
      </c>
      <c r="T14" s="4">
        <f>O77/(Q14*I7)</f>
        <v>6.193228736581338</v>
      </c>
      <c r="X14" s="3" t="e">
        <f>0.00096*(100/R14)*(AI14/2)</f>
        <v>#NUM!</v>
      </c>
      <c r="AA14" s="1">
        <f aca="true" t="shared" si="0" ref="AA14:AA45">(3.5155+0.059464*R14)*10^-6</f>
        <v>8.595179748704778E-06</v>
      </c>
      <c r="AB14" s="27">
        <f>I9</f>
        <v>0.533</v>
      </c>
      <c r="AC14" s="18">
        <v>8</v>
      </c>
      <c r="AD14" s="8" t="e">
        <f aca="true" t="shared" si="1" ref="AD14:AD45">4*T14/(X14*3.14159*AB14^2*AC14)</f>
        <v>#NUM!</v>
      </c>
      <c r="AE14" s="4" t="e">
        <f aca="true" t="shared" si="2" ref="AE14:AE45">X14*AD14*AB14/AA14/10</f>
        <v>#NUM!</v>
      </c>
      <c r="AF14" s="5" t="e">
        <f aca="true" t="shared" si="3" ref="AF14:AF45">4*(0.0791/AE14^0.25)</f>
        <v>#NUM!</v>
      </c>
      <c r="AG14" s="4">
        <v>0</v>
      </c>
      <c r="AH14" s="10" t="e">
        <f>AF14*AG14/(AB14)*(V14*AD14^2/2)*0.1</f>
        <v>#NUM!</v>
      </c>
      <c r="AI14" s="10" t="e">
        <f>I4</f>
        <v>#NUM!</v>
      </c>
    </row>
    <row r="15" spans="1:35" ht="12.75">
      <c r="A15" s="108" t="s">
        <v>42</v>
      </c>
      <c r="B15" s="113">
        <f>O15</f>
        <v>168.75</v>
      </c>
      <c r="D15">
        <f>I10/60</f>
        <v>2.25</v>
      </c>
      <c r="E15" s="4">
        <f aca="true" t="shared" si="4" ref="E15:E46">E14+D15</f>
        <v>2.25</v>
      </c>
      <c r="F15" s="15">
        <f>I8</f>
        <v>5</v>
      </c>
      <c r="G15" s="15">
        <f aca="true" t="shared" si="5" ref="G15:G46">F15*D15</f>
        <v>11.25</v>
      </c>
      <c r="I15" s="15">
        <v>0</v>
      </c>
      <c r="J15" s="15">
        <f aca="true" t="shared" si="6" ref="J15:J46">I15*D15</f>
        <v>0</v>
      </c>
      <c r="K15" s="15"/>
      <c r="L15" s="15">
        <f aca="true" t="shared" si="7" ref="L15:L46">I15+F15</f>
        <v>5</v>
      </c>
      <c r="M15" s="15">
        <f aca="true" t="shared" si="8" ref="M15:M46">L15*D15</f>
        <v>11.25</v>
      </c>
      <c r="O15" s="101">
        <f>SUM(M15:M29)</f>
        <v>168.75</v>
      </c>
      <c r="Q15">
        <f aca="true" t="shared" si="9" ref="Q15:Q46">Q14</f>
        <v>5.19</v>
      </c>
      <c r="R15" s="4">
        <f aca="true" t="shared" si="10" ref="R15:R46">R14+M15/(T15*Q15)</f>
        <v>85.77445426989064</v>
      </c>
      <c r="T15" s="4">
        <f aca="true" t="shared" si="11" ref="T15:T46">T14</f>
        <v>6.193228736581338</v>
      </c>
      <c r="X15" s="3" t="e">
        <f aca="true" t="shared" si="12" ref="X15:X46">0.00096*(100/R15)*(AI14/2)</f>
        <v>#NUM!</v>
      </c>
      <c r="AA15" s="1">
        <f t="shared" si="0"/>
        <v>8.615992148704777E-06</v>
      </c>
      <c r="AB15">
        <f aca="true" t="shared" si="13" ref="AB15:AB46">AB14</f>
        <v>0.533</v>
      </c>
      <c r="AC15">
        <f aca="true" t="shared" si="14" ref="AC15:AC46">AC14</f>
        <v>8</v>
      </c>
      <c r="AD15" s="8" t="e">
        <f t="shared" si="1"/>
        <v>#NUM!</v>
      </c>
      <c r="AE15" s="4" t="e">
        <f t="shared" si="2"/>
        <v>#NUM!</v>
      </c>
      <c r="AF15" s="5" t="e">
        <f t="shared" si="3"/>
        <v>#NUM!</v>
      </c>
      <c r="AG15" s="4">
        <f aca="true" t="shared" si="15" ref="AG15:AG46">100*(E15-E14)</f>
        <v>225</v>
      </c>
      <c r="AH15" s="8" t="e">
        <f aca="true" t="shared" si="16" ref="AH15:AH46">AF15*AG15/(AB15)*(X15*AD15^2/2)*0.1</f>
        <v>#NUM!</v>
      </c>
      <c r="AI15" s="10" t="e">
        <f aca="true" t="shared" si="17" ref="AI15:AI46">AI14-AH15/100000</f>
        <v>#NUM!</v>
      </c>
    </row>
    <row r="16" spans="1:35" ht="12.75">
      <c r="A16" s="111"/>
      <c r="B16" s="114"/>
      <c r="D16">
        <f aca="true" t="shared" si="18" ref="D16:D47">D15</f>
        <v>2.25</v>
      </c>
      <c r="E16" s="4">
        <f t="shared" si="4"/>
        <v>4.5</v>
      </c>
      <c r="F16" s="15">
        <f aca="true" t="shared" si="19" ref="F16:F47">F15</f>
        <v>5</v>
      </c>
      <c r="G16" s="15">
        <f t="shared" si="5"/>
        <v>11.25</v>
      </c>
      <c r="I16" s="15">
        <f aca="true" t="shared" si="20" ref="I16:I47">I15</f>
        <v>0</v>
      </c>
      <c r="J16" s="15">
        <f t="shared" si="6"/>
        <v>0</v>
      </c>
      <c r="K16" s="15"/>
      <c r="L16" s="15">
        <f t="shared" si="7"/>
        <v>5</v>
      </c>
      <c r="M16" s="15">
        <f t="shared" si="8"/>
        <v>11.25</v>
      </c>
      <c r="O16" s="121"/>
      <c r="Q16">
        <f t="shared" si="9"/>
        <v>5.19</v>
      </c>
      <c r="R16" s="4">
        <f t="shared" si="10"/>
        <v>86.12445426989063</v>
      </c>
      <c r="T16" s="4">
        <f t="shared" si="11"/>
        <v>6.193228736581338</v>
      </c>
      <c r="X16" s="3" t="e">
        <f t="shared" si="12"/>
        <v>#NUM!</v>
      </c>
      <c r="AA16" s="1">
        <f t="shared" si="0"/>
        <v>8.636804548704776E-06</v>
      </c>
      <c r="AB16">
        <f t="shared" si="13"/>
        <v>0.533</v>
      </c>
      <c r="AC16">
        <f t="shared" si="14"/>
        <v>8</v>
      </c>
      <c r="AD16" s="8" t="e">
        <f t="shared" si="1"/>
        <v>#NUM!</v>
      </c>
      <c r="AE16" s="4" t="e">
        <f t="shared" si="2"/>
        <v>#NUM!</v>
      </c>
      <c r="AF16" s="5" t="e">
        <f t="shared" si="3"/>
        <v>#NUM!</v>
      </c>
      <c r="AG16" s="4">
        <f t="shared" si="15"/>
        <v>225</v>
      </c>
      <c r="AH16" s="8" t="e">
        <f t="shared" si="16"/>
        <v>#NUM!</v>
      </c>
      <c r="AI16" s="10" t="e">
        <f t="shared" si="17"/>
        <v>#NUM!</v>
      </c>
    </row>
    <row r="17" spans="1:35" ht="12.75">
      <c r="A17" s="111"/>
      <c r="B17" s="114"/>
      <c r="D17">
        <f t="shared" si="18"/>
        <v>2.25</v>
      </c>
      <c r="E17" s="4">
        <f t="shared" si="4"/>
        <v>6.75</v>
      </c>
      <c r="F17" s="15">
        <f t="shared" si="19"/>
        <v>5</v>
      </c>
      <c r="G17" s="15">
        <f t="shared" si="5"/>
        <v>11.25</v>
      </c>
      <c r="I17" s="15">
        <f t="shared" si="20"/>
        <v>0</v>
      </c>
      <c r="J17" s="15">
        <f t="shared" si="6"/>
        <v>0</v>
      </c>
      <c r="K17" s="15"/>
      <c r="L17" s="15">
        <f t="shared" si="7"/>
        <v>5</v>
      </c>
      <c r="M17" s="15">
        <f t="shared" si="8"/>
        <v>11.25</v>
      </c>
      <c r="O17" s="121"/>
      <c r="Q17">
        <f t="shared" si="9"/>
        <v>5.19</v>
      </c>
      <c r="R17" s="4">
        <f t="shared" si="10"/>
        <v>86.47445426989063</v>
      </c>
      <c r="T17" s="4">
        <f t="shared" si="11"/>
        <v>6.193228736581338</v>
      </c>
      <c r="X17" s="3" t="e">
        <f t="shared" si="12"/>
        <v>#NUM!</v>
      </c>
      <c r="AA17" s="1">
        <f t="shared" si="0"/>
        <v>8.657616948704775E-06</v>
      </c>
      <c r="AB17">
        <f t="shared" si="13"/>
        <v>0.533</v>
      </c>
      <c r="AC17">
        <f t="shared" si="14"/>
        <v>8</v>
      </c>
      <c r="AD17" s="8" t="e">
        <f t="shared" si="1"/>
        <v>#NUM!</v>
      </c>
      <c r="AE17" s="4" t="e">
        <f t="shared" si="2"/>
        <v>#NUM!</v>
      </c>
      <c r="AF17" s="5" t="e">
        <f t="shared" si="3"/>
        <v>#NUM!</v>
      </c>
      <c r="AG17" s="4">
        <f t="shared" si="15"/>
        <v>225</v>
      </c>
      <c r="AH17" s="8" t="e">
        <f t="shared" si="16"/>
        <v>#NUM!</v>
      </c>
      <c r="AI17" s="10" t="e">
        <f t="shared" si="17"/>
        <v>#NUM!</v>
      </c>
    </row>
    <row r="18" spans="1:35" ht="12.75">
      <c r="A18" s="111"/>
      <c r="B18" s="114"/>
      <c r="D18">
        <f t="shared" si="18"/>
        <v>2.25</v>
      </c>
      <c r="E18" s="4">
        <f t="shared" si="4"/>
        <v>9</v>
      </c>
      <c r="F18" s="15">
        <f t="shared" si="19"/>
        <v>5</v>
      </c>
      <c r="G18" s="15">
        <f t="shared" si="5"/>
        <v>11.25</v>
      </c>
      <c r="I18" s="15">
        <f t="shared" si="20"/>
        <v>0</v>
      </c>
      <c r="J18" s="15">
        <f t="shared" si="6"/>
        <v>0</v>
      </c>
      <c r="K18" s="15"/>
      <c r="L18" s="15">
        <f t="shared" si="7"/>
        <v>5</v>
      </c>
      <c r="M18" s="15">
        <f t="shared" si="8"/>
        <v>11.25</v>
      </c>
      <c r="O18" s="121"/>
      <c r="Q18">
        <f t="shared" si="9"/>
        <v>5.19</v>
      </c>
      <c r="R18" s="4">
        <f t="shared" si="10"/>
        <v>86.82445426989062</v>
      </c>
      <c r="T18" s="4">
        <f t="shared" si="11"/>
        <v>6.193228736581338</v>
      </c>
      <c r="X18" s="3" t="e">
        <f t="shared" si="12"/>
        <v>#NUM!</v>
      </c>
      <c r="AA18" s="1">
        <f t="shared" si="0"/>
        <v>8.678429348704776E-06</v>
      </c>
      <c r="AB18">
        <f t="shared" si="13"/>
        <v>0.533</v>
      </c>
      <c r="AC18">
        <f t="shared" si="14"/>
        <v>8</v>
      </c>
      <c r="AD18" s="8" t="e">
        <f t="shared" si="1"/>
        <v>#NUM!</v>
      </c>
      <c r="AE18" s="4" t="e">
        <f t="shared" si="2"/>
        <v>#NUM!</v>
      </c>
      <c r="AF18" s="5" t="e">
        <f t="shared" si="3"/>
        <v>#NUM!</v>
      </c>
      <c r="AG18" s="4">
        <f t="shared" si="15"/>
        <v>225</v>
      </c>
      <c r="AH18" s="8" t="e">
        <f t="shared" si="16"/>
        <v>#NUM!</v>
      </c>
      <c r="AI18" s="10" t="e">
        <f t="shared" si="17"/>
        <v>#NUM!</v>
      </c>
    </row>
    <row r="19" spans="1:35" ht="12.75">
      <c r="A19" s="111"/>
      <c r="B19" s="114"/>
      <c r="D19">
        <f t="shared" si="18"/>
        <v>2.25</v>
      </c>
      <c r="E19" s="4">
        <f t="shared" si="4"/>
        <v>11.25</v>
      </c>
      <c r="F19" s="15">
        <f t="shared" si="19"/>
        <v>5</v>
      </c>
      <c r="G19" s="15">
        <f t="shared" si="5"/>
        <v>11.25</v>
      </c>
      <c r="I19" s="15">
        <f t="shared" si="20"/>
        <v>0</v>
      </c>
      <c r="J19" s="15">
        <f t="shared" si="6"/>
        <v>0</v>
      </c>
      <c r="K19" s="15"/>
      <c r="L19" s="15">
        <f t="shared" si="7"/>
        <v>5</v>
      </c>
      <c r="M19" s="15">
        <f t="shared" si="8"/>
        <v>11.25</v>
      </c>
      <c r="O19" s="121"/>
      <c r="Q19">
        <f t="shared" si="9"/>
        <v>5.19</v>
      </c>
      <c r="R19" s="4">
        <f t="shared" si="10"/>
        <v>87.17445426989062</v>
      </c>
      <c r="T19" s="4">
        <f t="shared" si="11"/>
        <v>6.193228736581338</v>
      </c>
      <c r="X19" s="3" t="e">
        <f t="shared" si="12"/>
        <v>#NUM!</v>
      </c>
      <c r="AA19" s="1">
        <f t="shared" si="0"/>
        <v>8.699241748704775E-06</v>
      </c>
      <c r="AB19">
        <f t="shared" si="13"/>
        <v>0.533</v>
      </c>
      <c r="AC19">
        <f t="shared" si="14"/>
        <v>8</v>
      </c>
      <c r="AD19" s="8" t="e">
        <f t="shared" si="1"/>
        <v>#NUM!</v>
      </c>
      <c r="AE19" s="4" t="e">
        <f t="shared" si="2"/>
        <v>#NUM!</v>
      </c>
      <c r="AF19" s="5" t="e">
        <f t="shared" si="3"/>
        <v>#NUM!</v>
      </c>
      <c r="AG19" s="4">
        <f t="shared" si="15"/>
        <v>225</v>
      </c>
      <c r="AH19" s="8" t="e">
        <f t="shared" si="16"/>
        <v>#NUM!</v>
      </c>
      <c r="AI19" s="10" t="e">
        <f t="shared" si="17"/>
        <v>#NUM!</v>
      </c>
    </row>
    <row r="20" spans="1:35" ht="12.75">
      <c r="A20" s="111"/>
      <c r="B20" s="114"/>
      <c r="D20">
        <f t="shared" si="18"/>
        <v>2.25</v>
      </c>
      <c r="E20" s="4">
        <f t="shared" si="4"/>
        <v>13.5</v>
      </c>
      <c r="F20" s="15">
        <f t="shared" si="19"/>
        <v>5</v>
      </c>
      <c r="G20" s="15">
        <f t="shared" si="5"/>
        <v>11.25</v>
      </c>
      <c r="I20" s="15">
        <f t="shared" si="20"/>
        <v>0</v>
      </c>
      <c r="J20" s="15">
        <f t="shared" si="6"/>
        <v>0</v>
      </c>
      <c r="K20" s="15"/>
      <c r="L20" s="15">
        <f t="shared" si="7"/>
        <v>5</v>
      </c>
      <c r="M20" s="15">
        <f t="shared" si="8"/>
        <v>11.25</v>
      </c>
      <c r="O20" s="121"/>
      <c r="Q20">
        <f t="shared" si="9"/>
        <v>5.19</v>
      </c>
      <c r="R20" s="4">
        <f t="shared" si="10"/>
        <v>87.52445426989061</v>
      </c>
      <c r="T20" s="4">
        <f t="shared" si="11"/>
        <v>6.193228736581338</v>
      </c>
      <c r="X20" s="3" t="e">
        <f t="shared" si="12"/>
        <v>#NUM!</v>
      </c>
      <c r="AA20" s="1">
        <f t="shared" si="0"/>
        <v>8.720054148704776E-06</v>
      </c>
      <c r="AB20">
        <f t="shared" si="13"/>
        <v>0.533</v>
      </c>
      <c r="AC20">
        <f t="shared" si="14"/>
        <v>8</v>
      </c>
      <c r="AD20" s="8" t="e">
        <f t="shared" si="1"/>
        <v>#NUM!</v>
      </c>
      <c r="AE20" s="4" t="e">
        <f t="shared" si="2"/>
        <v>#NUM!</v>
      </c>
      <c r="AF20" s="5" t="e">
        <f t="shared" si="3"/>
        <v>#NUM!</v>
      </c>
      <c r="AG20" s="4">
        <f t="shared" si="15"/>
        <v>225</v>
      </c>
      <c r="AH20" s="8" t="e">
        <f t="shared" si="16"/>
        <v>#NUM!</v>
      </c>
      <c r="AI20" s="10" t="e">
        <f t="shared" si="17"/>
        <v>#NUM!</v>
      </c>
    </row>
    <row r="21" spans="1:35" ht="12.75">
      <c r="A21" s="111"/>
      <c r="B21" s="114"/>
      <c r="D21">
        <f t="shared" si="18"/>
        <v>2.25</v>
      </c>
      <c r="E21" s="4">
        <f t="shared" si="4"/>
        <v>15.75</v>
      </c>
      <c r="F21" s="15">
        <f t="shared" si="19"/>
        <v>5</v>
      </c>
      <c r="G21" s="15">
        <f t="shared" si="5"/>
        <v>11.25</v>
      </c>
      <c r="I21" s="15">
        <f t="shared" si="20"/>
        <v>0</v>
      </c>
      <c r="J21" s="15">
        <f t="shared" si="6"/>
        <v>0</v>
      </c>
      <c r="K21" s="15"/>
      <c r="L21" s="15">
        <f t="shared" si="7"/>
        <v>5</v>
      </c>
      <c r="M21" s="15">
        <f t="shared" si="8"/>
        <v>11.25</v>
      </c>
      <c r="O21" s="121"/>
      <c r="Q21">
        <f t="shared" si="9"/>
        <v>5.19</v>
      </c>
      <c r="R21" s="4">
        <f t="shared" si="10"/>
        <v>87.8744542698906</v>
      </c>
      <c r="T21" s="4">
        <f t="shared" si="11"/>
        <v>6.193228736581338</v>
      </c>
      <c r="X21" s="3" t="e">
        <f t="shared" si="12"/>
        <v>#NUM!</v>
      </c>
      <c r="AA21" s="1">
        <f t="shared" si="0"/>
        <v>8.740866548704774E-06</v>
      </c>
      <c r="AB21">
        <f t="shared" si="13"/>
        <v>0.533</v>
      </c>
      <c r="AC21">
        <f t="shared" si="14"/>
        <v>8</v>
      </c>
      <c r="AD21" s="8" t="e">
        <f t="shared" si="1"/>
        <v>#NUM!</v>
      </c>
      <c r="AE21" s="4" t="e">
        <f t="shared" si="2"/>
        <v>#NUM!</v>
      </c>
      <c r="AF21" s="5" t="e">
        <f t="shared" si="3"/>
        <v>#NUM!</v>
      </c>
      <c r="AG21" s="4">
        <f t="shared" si="15"/>
        <v>225</v>
      </c>
      <c r="AH21" s="8" t="e">
        <f t="shared" si="16"/>
        <v>#NUM!</v>
      </c>
      <c r="AI21" s="10" t="e">
        <f t="shared" si="17"/>
        <v>#NUM!</v>
      </c>
    </row>
    <row r="22" spans="1:35" ht="12.75">
      <c r="A22" s="111"/>
      <c r="B22" s="114"/>
      <c r="D22">
        <f t="shared" si="18"/>
        <v>2.25</v>
      </c>
      <c r="E22" s="4">
        <f t="shared" si="4"/>
        <v>18</v>
      </c>
      <c r="F22" s="15">
        <f t="shared" si="19"/>
        <v>5</v>
      </c>
      <c r="G22" s="15">
        <f t="shared" si="5"/>
        <v>11.25</v>
      </c>
      <c r="I22" s="15">
        <f t="shared" si="20"/>
        <v>0</v>
      </c>
      <c r="J22" s="15">
        <f t="shared" si="6"/>
        <v>0</v>
      </c>
      <c r="K22" s="15"/>
      <c r="L22" s="15">
        <f t="shared" si="7"/>
        <v>5</v>
      </c>
      <c r="M22" s="15">
        <f t="shared" si="8"/>
        <v>11.25</v>
      </c>
      <c r="O22" s="121"/>
      <c r="Q22">
        <f t="shared" si="9"/>
        <v>5.19</v>
      </c>
      <c r="R22" s="4">
        <f t="shared" si="10"/>
        <v>88.2244542698906</v>
      </c>
      <c r="T22" s="4">
        <f t="shared" si="11"/>
        <v>6.193228736581338</v>
      </c>
      <c r="X22" s="3" t="e">
        <f t="shared" si="12"/>
        <v>#NUM!</v>
      </c>
      <c r="AA22" s="1">
        <f t="shared" si="0"/>
        <v>8.761678948704774E-06</v>
      </c>
      <c r="AB22">
        <f t="shared" si="13"/>
        <v>0.533</v>
      </c>
      <c r="AC22">
        <f t="shared" si="14"/>
        <v>8</v>
      </c>
      <c r="AD22" s="8" t="e">
        <f t="shared" si="1"/>
        <v>#NUM!</v>
      </c>
      <c r="AE22" s="4" t="e">
        <f t="shared" si="2"/>
        <v>#NUM!</v>
      </c>
      <c r="AF22" s="5" t="e">
        <f t="shared" si="3"/>
        <v>#NUM!</v>
      </c>
      <c r="AG22" s="4">
        <f t="shared" si="15"/>
        <v>225</v>
      </c>
      <c r="AH22" s="8" t="e">
        <f t="shared" si="16"/>
        <v>#NUM!</v>
      </c>
      <c r="AI22" s="10" t="e">
        <f t="shared" si="17"/>
        <v>#NUM!</v>
      </c>
    </row>
    <row r="23" spans="1:35" ht="12.75">
      <c r="A23" s="111"/>
      <c r="B23" s="114"/>
      <c r="D23">
        <f t="shared" si="18"/>
        <v>2.25</v>
      </c>
      <c r="E23" s="4">
        <f t="shared" si="4"/>
        <v>20.25</v>
      </c>
      <c r="F23" s="15">
        <f t="shared" si="19"/>
        <v>5</v>
      </c>
      <c r="G23" s="15">
        <f t="shared" si="5"/>
        <v>11.25</v>
      </c>
      <c r="I23" s="15">
        <f t="shared" si="20"/>
        <v>0</v>
      </c>
      <c r="J23" s="15">
        <f t="shared" si="6"/>
        <v>0</v>
      </c>
      <c r="K23" s="15"/>
      <c r="L23" s="15">
        <f t="shared" si="7"/>
        <v>5</v>
      </c>
      <c r="M23" s="15">
        <f t="shared" si="8"/>
        <v>11.25</v>
      </c>
      <c r="O23" s="121"/>
      <c r="Q23">
        <f t="shared" si="9"/>
        <v>5.19</v>
      </c>
      <c r="R23" s="4">
        <f t="shared" si="10"/>
        <v>88.5744542698906</v>
      </c>
      <c r="T23" s="4">
        <f t="shared" si="11"/>
        <v>6.193228736581338</v>
      </c>
      <c r="X23" s="3" t="e">
        <f t="shared" si="12"/>
        <v>#NUM!</v>
      </c>
      <c r="AA23" s="1">
        <f t="shared" si="0"/>
        <v>8.782491348704773E-06</v>
      </c>
      <c r="AB23">
        <f t="shared" si="13"/>
        <v>0.533</v>
      </c>
      <c r="AC23">
        <f t="shared" si="14"/>
        <v>8</v>
      </c>
      <c r="AD23" s="8" t="e">
        <f t="shared" si="1"/>
        <v>#NUM!</v>
      </c>
      <c r="AE23" s="4" t="e">
        <f t="shared" si="2"/>
        <v>#NUM!</v>
      </c>
      <c r="AF23" s="5" t="e">
        <f t="shared" si="3"/>
        <v>#NUM!</v>
      </c>
      <c r="AG23" s="4">
        <f t="shared" si="15"/>
        <v>225</v>
      </c>
      <c r="AH23" s="8" t="e">
        <f t="shared" si="16"/>
        <v>#NUM!</v>
      </c>
      <c r="AI23" s="10" t="e">
        <f t="shared" si="17"/>
        <v>#NUM!</v>
      </c>
    </row>
    <row r="24" spans="1:35" ht="12.75">
      <c r="A24" s="111"/>
      <c r="B24" s="114"/>
      <c r="D24">
        <f t="shared" si="18"/>
        <v>2.25</v>
      </c>
      <c r="E24" s="4">
        <f t="shared" si="4"/>
        <v>22.5</v>
      </c>
      <c r="F24" s="15">
        <f t="shared" si="19"/>
        <v>5</v>
      </c>
      <c r="G24" s="15">
        <f t="shared" si="5"/>
        <v>11.25</v>
      </c>
      <c r="I24" s="15">
        <f t="shared" si="20"/>
        <v>0</v>
      </c>
      <c r="J24" s="15">
        <f t="shared" si="6"/>
        <v>0</v>
      </c>
      <c r="K24" s="15"/>
      <c r="L24" s="15">
        <f t="shared" si="7"/>
        <v>5</v>
      </c>
      <c r="M24" s="15">
        <f t="shared" si="8"/>
        <v>11.25</v>
      </c>
      <c r="O24" s="121"/>
      <c r="Q24">
        <f t="shared" si="9"/>
        <v>5.19</v>
      </c>
      <c r="R24" s="4">
        <f t="shared" si="10"/>
        <v>88.92445426989059</v>
      </c>
      <c r="T24" s="4">
        <f t="shared" si="11"/>
        <v>6.193228736581338</v>
      </c>
      <c r="X24" s="3" t="e">
        <f t="shared" si="12"/>
        <v>#NUM!</v>
      </c>
      <c r="AA24" s="1">
        <f t="shared" si="0"/>
        <v>8.803303748704774E-06</v>
      </c>
      <c r="AB24">
        <f t="shared" si="13"/>
        <v>0.533</v>
      </c>
      <c r="AC24">
        <f t="shared" si="14"/>
        <v>8</v>
      </c>
      <c r="AD24" s="8" t="e">
        <f t="shared" si="1"/>
        <v>#NUM!</v>
      </c>
      <c r="AE24" s="4" t="e">
        <f t="shared" si="2"/>
        <v>#NUM!</v>
      </c>
      <c r="AF24" s="5" t="e">
        <f t="shared" si="3"/>
        <v>#NUM!</v>
      </c>
      <c r="AG24" s="4">
        <f t="shared" si="15"/>
        <v>225</v>
      </c>
      <c r="AH24" s="8" t="e">
        <f t="shared" si="16"/>
        <v>#NUM!</v>
      </c>
      <c r="AI24" s="10" t="e">
        <f t="shared" si="17"/>
        <v>#NUM!</v>
      </c>
    </row>
    <row r="25" spans="1:35" ht="12.75">
      <c r="A25" s="111"/>
      <c r="B25" s="114"/>
      <c r="D25">
        <f t="shared" si="18"/>
        <v>2.25</v>
      </c>
      <c r="E25" s="4">
        <f t="shared" si="4"/>
        <v>24.75</v>
      </c>
      <c r="F25" s="15">
        <f t="shared" si="19"/>
        <v>5</v>
      </c>
      <c r="G25" s="15">
        <f t="shared" si="5"/>
        <v>11.25</v>
      </c>
      <c r="I25" s="15">
        <f t="shared" si="20"/>
        <v>0</v>
      </c>
      <c r="J25" s="15">
        <f t="shared" si="6"/>
        <v>0</v>
      </c>
      <c r="K25" s="15"/>
      <c r="L25" s="15">
        <f t="shared" si="7"/>
        <v>5</v>
      </c>
      <c r="M25" s="15">
        <f t="shared" si="8"/>
        <v>11.25</v>
      </c>
      <c r="O25" s="121"/>
      <c r="Q25">
        <f t="shared" si="9"/>
        <v>5.19</v>
      </c>
      <c r="R25" s="4">
        <f t="shared" si="10"/>
        <v>89.27445426989058</v>
      </c>
      <c r="T25" s="4">
        <f t="shared" si="11"/>
        <v>6.193228736581338</v>
      </c>
      <c r="X25" s="3" t="e">
        <f t="shared" si="12"/>
        <v>#NUM!</v>
      </c>
      <c r="AA25" s="1">
        <f t="shared" si="0"/>
        <v>8.824116148704773E-06</v>
      </c>
      <c r="AB25">
        <f t="shared" si="13"/>
        <v>0.533</v>
      </c>
      <c r="AC25">
        <f t="shared" si="14"/>
        <v>8</v>
      </c>
      <c r="AD25" s="8" t="e">
        <f t="shared" si="1"/>
        <v>#NUM!</v>
      </c>
      <c r="AE25" s="4" t="e">
        <f t="shared" si="2"/>
        <v>#NUM!</v>
      </c>
      <c r="AF25" s="5" t="e">
        <f t="shared" si="3"/>
        <v>#NUM!</v>
      </c>
      <c r="AG25" s="4">
        <f t="shared" si="15"/>
        <v>225</v>
      </c>
      <c r="AH25" s="8" t="e">
        <f t="shared" si="16"/>
        <v>#NUM!</v>
      </c>
      <c r="AI25" s="10" t="e">
        <f t="shared" si="17"/>
        <v>#NUM!</v>
      </c>
    </row>
    <row r="26" spans="1:35" ht="12.75">
      <c r="A26" s="111"/>
      <c r="B26" s="114"/>
      <c r="D26">
        <f t="shared" si="18"/>
        <v>2.25</v>
      </c>
      <c r="E26" s="4">
        <f t="shared" si="4"/>
        <v>27</v>
      </c>
      <c r="F26" s="15">
        <f t="shared" si="19"/>
        <v>5</v>
      </c>
      <c r="G26" s="15">
        <f t="shared" si="5"/>
        <v>11.25</v>
      </c>
      <c r="I26" s="15">
        <f t="shared" si="20"/>
        <v>0</v>
      </c>
      <c r="J26" s="15">
        <f t="shared" si="6"/>
        <v>0</v>
      </c>
      <c r="K26" s="15"/>
      <c r="L26" s="15">
        <f t="shared" si="7"/>
        <v>5</v>
      </c>
      <c r="M26" s="15">
        <f t="shared" si="8"/>
        <v>11.25</v>
      </c>
      <c r="O26" s="121"/>
      <c r="Q26">
        <f t="shared" si="9"/>
        <v>5.19</v>
      </c>
      <c r="R26" s="4">
        <f t="shared" si="10"/>
        <v>89.62445426989058</v>
      </c>
      <c r="T26" s="4">
        <f t="shared" si="11"/>
        <v>6.193228736581338</v>
      </c>
      <c r="X26" s="3" t="e">
        <f t="shared" si="12"/>
        <v>#NUM!</v>
      </c>
      <c r="AA26" s="1">
        <f t="shared" si="0"/>
        <v>8.844928548704773E-06</v>
      </c>
      <c r="AB26">
        <f t="shared" si="13"/>
        <v>0.533</v>
      </c>
      <c r="AC26">
        <f t="shared" si="14"/>
        <v>8</v>
      </c>
      <c r="AD26" s="8" t="e">
        <f t="shared" si="1"/>
        <v>#NUM!</v>
      </c>
      <c r="AE26" s="4" t="e">
        <f t="shared" si="2"/>
        <v>#NUM!</v>
      </c>
      <c r="AF26" s="5" t="e">
        <f t="shared" si="3"/>
        <v>#NUM!</v>
      </c>
      <c r="AG26" s="4">
        <f t="shared" si="15"/>
        <v>225</v>
      </c>
      <c r="AH26" s="8" t="e">
        <f t="shared" si="16"/>
        <v>#NUM!</v>
      </c>
      <c r="AI26" s="10" t="e">
        <f t="shared" si="17"/>
        <v>#NUM!</v>
      </c>
    </row>
    <row r="27" spans="1:35" ht="12.75">
      <c r="A27" s="111"/>
      <c r="B27" s="114"/>
      <c r="D27">
        <f t="shared" si="18"/>
        <v>2.25</v>
      </c>
      <c r="E27" s="4">
        <f t="shared" si="4"/>
        <v>29.25</v>
      </c>
      <c r="F27" s="15">
        <f t="shared" si="19"/>
        <v>5</v>
      </c>
      <c r="G27" s="15">
        <f t="shared" si="5"/>
        <v>11.25</v>
      </c>
      <c r="I27" s="15">
        <f t="shared" si="20"/>
        <v>0</v>
      </c>
      <c r="J27" s="15">
        <f t="shared" si="6"/>
        <v>0</v>
      </c>
      <c r="K27" s="15"/>
      <c r="L27" s="15">
        <f t="shared" si="7"/>
        <v>5</v>
      </c>
      <c r="M27" s="15">
        <f t="shared" si="8"/>
        <v>11.25</v>
      </c>
      <c r="O27" s="121"/>
      <c r="Q27">
        <f t="shared" si="9"/>
        <v>5.19</v>
      </c>
      <c r="R27" s="4">
        <f t="shared" si="10"/>
        <v>89.97445426989057</v>
      </c>
      <c r="T27" s="4">
        <f t="shared" si="11"/>
        <v>6.193228736581338</v>
      </c>
      <c r="X27" s="3" t="e">
        <f t="shared" si="12"/>
        <v>#NUM!</v>
      </c>
      <c r="AA27" s="1">
        <f t="shared" si="0"/>
        <v>8.865740948704772E-06</v>
      </c>
      <c r="AB27">
        <f t="shared" si="13"/>
        <v>0.533</v>
      </c>
      <c r="AC27">
        <f t="shared" si="14"/>
        <v>8</v>
      </c>
      <c r="AD27" s="8" t="e">
        <f t="shared" si="1"/>
        <v>#NUM!</v>
      </c>
      <c r="AE27" s="4" t="e">
        <f t="shared" si="2"/>
        <v>#NUM!</v>
      </c>
      <c r="AF27" s="5" t="e">
        <f t="shared" si="3"/>
        <v>#NUM!</v>
      </c>
      <c r="AG27" s="4">
        <f t="shared" si="15"/>
        <v>225</v>
      </c>
      <c r="AH27" s="8" t="e">
        <f t="shared" si="16"/>
        <v>#NUM!</v>
      </c>
      <c r="AI27" s="10" t="e">
        <f t="shared" si="17"/>
        <v>#NUM!</v>
      </c>
    </row>
    <row r="28" spans="1:35" ht="12.75">
      <c r="A28" s="111"/>
      <c r="B28" s="114"/>
      <c r="D28">
        <f t="shared" si="18"/>
        <v>2.25</v>
      </c>
      <c r="E28" s="4">
        <f t="shared" si="4"/>
        <v>31.5</v>
      </c>
      <c r="F28" s="15">
        <f t="shared" si="19"/>
        <v>5</v>
      </c>
      <c r="G28" s="15">
        <f t="shared" si="5"/>
        <v>11.25</v>
      </c>
      <c r="I28" s="15">
        <f t="shared" si="20"/>
        <v>0</v>
      </c>
      <c r="J28" s="15">
        <f t="shared" si="6"/>
        <v>0</v>
      </c>
      <c r="K28" s="15"/>
      <c r="L28" s="15">
        <f t="shared" si="7"/>
        <v>5</v>
      </c>
      <c r="M28" s="15">
        <f t="shared" si="8"/>
        <v>11.25</v>
      </c>
      <c r="O28" s="121"/>
      <c r="Q28">
        <f t="shared" si="9"/>
        <v>5.19</v>
      </c>
      <c r="R28" s="4">
        <f t="shared" si="10"/>
        <v>90.32445426989057</v>
      </c>
      <c r="T28" s="4">
        <f t="shared" si="11"/>
        <v>6.193228736581338</v>
      </c>
      <c r="X28" s="3" t="e">
        <f t="shared" si="12"/>
        <v>#NUM!</v>
      </c>
      <c r="AA28" s="1">
        <f t="shared" si="0"/>
        <v>8.886553348704772E-06</v>
      </c>
      <c r="AB28">
        <f t="shared" si="13"/>
        <v>0.533</v>
      </c>
      <c r="AC28">
        <f t="shared" si="14"/>
        <v>8</v>
      </c>
      <c r="AD28" s="8" t="e">
        <f t="shared" si="1"/>
        <v>#NUM!</v>
      </c>
      <c r="AE28" s="4" t="e">
        <f t="shared" si="2"/>
        <v>#NUM!</v>
      </c>
      <c r="AF28" s="5" t="e">
        <f t="shared" si="3"/>
        <v>#NUM!</v>
      </c>
      <c r="AG28" s="4">
        <f t="shared" si="15"/>
        <v>225</v>
      </c>
      <c r="AH28" s="8" t="e">
        <f t="shared" si="16"/>
        <v>#NUM!</v>
      </c>
      <c r="AI28" s="10" t="e">
        <f t="shared" si="17"/>
        <v>#NUM!</v>
      </c>
    </row>
    <row r="29" spans="1:35" ht="13.5" thickBot="1">
      <c r="A29" s="112"/>
      <c r="B29" s="115"/>
      <c r="D29">
        <f t="shared" si="18"/>
        <v>2.25</v>
      </c>
      <c r="E29" s="4">
        <f t="shared" si="4"/>
        <v>33.75</v>
      </c>
      <c r="F29" s="15">
        <f t="shared" si="19"/>
        <v>5</v>
      </c>
      <c r="G29" s="15">
        <f t="shared" si="5"/>
        <v>11.25</v>
      </c>
      <c r="I29" s="15">
        <f t="shared" si="20"/>
        <v>0</v>
      </c>
      <c r="J29" s="15">
        <f t="shared" si="6"/>
        <v>0</v>
      </c>
      <c r="K29" s="15"/>
      <c r="L29" s="15">
        <f t="shared" si="7"/>
        <v>5</v>
      </c>
      <c r="M29" s="15">
        <f t="shared" si="8"/>
        <v>11.25</v>
      </c>
      <c r="O29" s="122"/>
      <c r="Q29">
        <f t="shared" si="9"/>
        <v>5.19</v>
      </c>
      <c r="R29" s="4">
        <f t="shared" si="10"/>
        <v>90.67445426989056</v>
      </c>
      <c r="T29" s="4">
        <f t="shared" si="11"/>
        <v>6.193228736581338</v>
      </c>
      <c r="X29" s="3" t="e">
        <f t="shared" si="12"/>
        <v>#NUM!</v>
      </c>
      <c r="AA29" s="1">
        <f t="shared" si="0"/>
        <v>8.907365748704773E-06</v>
      </c>
      <c r="AB29">
        <f t="shared" si="13"/>
        <v>0.533</v>
      </c>
      <c r="AC29">
        <f t="shared" si="14"/>
        <v>8</v>
      </c>
      <c r="AD29" s="8" t="e">
        <f t="shared" si="1"/>
        <v>#NUM!</v>
      </c>
      <c r="AE29" s="4" t="e">
        <f t="shared" si="2"/>
        <v>#NUM!</v>
      </c>
      <c r="AF29" s="5" t="e">
        <f t="shared" si="3"/>
        <v>#NUM!</v>
      </c>
      <c r="AG29" s="4">
        <f t="shared" si="15"/>
        <v>225</v>
      </c>
      <c r="AH29" s="8" t="e">
        <f t="shared" si="16"/>
        <v>#NUM!</v>
      </c>
      <c r="AI29" s="10" t="e">
        <f t="shared" si="17"/>
        <v>#NUM!</v>
      </c>
    </row>
    <row r="30" spans="1:35" ht="12.75">
      <c r="A30" s="108" t="s">
        <v>43</v>
      </c>
      <c r="B30" s="113">
        <f>O30</f>
        <v>168.75</v>
      </c>
      <c r="D30">
        <f t="shared" si="18"/>
        <v>2.25</v>
      </c>
      <c r="E30" s="4">
        <f t="shared" si="4"/>
        <v>36</v>
      </c>
      <c r="F30" s="15">
        <f t="shared" si="19"/>
        <v>5</v>
      </c>
      <c r="G30" s="15">
        <f t="shared" si="5"/>
        <v>11.25</v>
      </c>
      <c r="I30" s="15">
        <f t="shared" si="20"/>
        <v>0</v>
      </c>
      <c r="J30" s="15">
        <f t="shared" si="6"/>
        <v>0</v>
      </c>
      <c r="K30" s="15"/>
      <c r="L30" s="15">
        <f t="shared" si="7"/>
        <v>5</v>
      </c>
      <c r="M30" s="15">
        <f t="shared" si="8"/>
        <v>11.25</v>
      </c>
      <c r="O30" s="116">
        <f>SUM(M30:M44)</f>
        <v>168.75</v>
      </c>
      <c r="Q30">
        <f t="shared" si="9"/>
        <v>5.19</v>
      </c>
      <c r="R30" s="4">
        <f t="shared" si="10"/>
        <v>91.02445426989055</v>
      </c>
      <c r="T30" s="4">
        <f t="shared" si="11"/>
        <v>6.193228736581338</v>
      </c>
      <c r="X30" s="3" t="e">
        <f t="shared" si="12"/>
        <v>#NUM!</v>
      </c>
      <c r="AA30" s="1">
        <f t="shared" si="0"/>
        <v>8.928178148704772E-06</v>
      </c>
      <c r="AB30">
        <f t="shared" si="13"/>
        <v>0.533</v>
      </c>
      <c r="AC30">
        <f t="shared" si="14"/>
        <v>8</v>
      </c>
      <c r="AD30" s="8" t="e">
        <f t="shared" si="1"/>
        <v>#NUM!</v>
      </c>
      <c r="AE30" s="4" t="e">
        <f t="shared" si="2"/>
        <v>#NUM!</v>
      </c>
      <c r="AF30" s="5" t="e">
        <f t="shared" si="3"/>
        <v>#NUM!</v>
      </c>
      <c r="AG30" s="4">
        <f t="shared" si="15"/>
        <v>225</v>
      </c>
      <c r="AH30" s="8" t="e">
        <f t="shared" si="16"/>
        <v>#NUM!</v>
      </c>
      <c r="AI30" s="10" t="e">
        <f t="shared" si="17"/>
        <v>#NUM!</v>
      </c>
    </row>
    <row r="31" spans="1:35" ht="12.75">
      <c r="A31" s="111"/>
      <c r="B31" s="114"/>
      <c r="D31">
        <f t="shared" si="18"/>
        <v>2.25</v>
      </c>
      <c r="E31" s="4">
        <f t="shared" si="4"/>
        <v>38.25</v>
      </c>
      <c r="F31" s="15">
        <f t="shared" si="19"/>
        <v>5</v>
      </c>
      <c r="G31" s="15">
        <f t="shared" si="5"/>
        <v>11.25</v>
      </c>
      <c r="I31" s="15">
        <f t="shared" si="20"/>
        <v>0</v>
      </c>
      <c r="J31" s="15">
        <f t="shared" si="6"/>
        <v>0</v>
      </c>
      <c r="K31" s="15"/>
      <c r="L31" s="15">
        <f t="shared" si="7"/>
        <v>5</v>
      </c>
      <c r="M31" s="15">
        <f t="shared" si="8"/>
        <v>11.25</v>
      </c>
      <c r="O31" s="117"/>
      <c r="Q31">
        <f t="shared" si="9"/>
        <v>5.19</v>
      </c>
      <c r="R31" s="4">
        <f t="shared" si="10"/>
        <v>91.37445426989055</v>
      </c>
      <c r="T31" s="4">
        <f t="shared" si="11"/>
        <v>6.193228736581338</v>
      </c>
      <c r="X31" s="3" t="e">
        <f t="shared" si="12"/>
        <v>#NUM!</v>
      </c>
      <c r="AA31" s="1">
        <f t="shared" si="0"/>
        <v>8.948990548704771E-06</v>
      </c>
      <c r="AB31">
        <f t="shared" si="13"/>
        <v>0.533</v>
      </c>
      <c r="AC31">
        <f t="shared" si="14"/>
        <v>8</v>
      </c>
      <c r="AD31" s="8" t="e">
        <f t="shared" si="1"/>
        <v>#NUM!</v>
      </c>
      <c r="AE31" s="4" t="e">
        <f t="shared" si="2"/>
        <v>#NUM!</v>
      </c>
      <c r="AF31" s="5" t="e">
        <f t="shared" si="3"/>
        <v>#NUM!</v>
      </c>
      <c r="AG31" s="4">
        <f t="shared" si="15"/>
        <v>225</v>
      </c>
      <c r="AH31" s="8" t="e">
        <f t="shared" si="16"/>
        <v>#NUM!</v>
      </c>
      <c r="AI31" s="10" t="e">
        <f t="shared" si="17"/>
        <v>#NUM!</v>
      </c>
    </row>
    <row r="32" spans="1:35" ht="12.75">
      <c r="A32" s="111"/>
      <c r="B32" s="114"/>
      <c r="D32">
        <f t="shared" si="18"/>
        <v>2.25</v>
      </c>
      <c r="E32" s="4">
        <f t="shared" si="4"/>
        <v>40.5</v>
      </c>
      <c r="F32" s="15">
        <f t="shared" si="19"/>
        <v>5</v>
      </c>
      <c r="G32" s="15">
        <f t="shared" si="5"/>
        <v>11.25</v>
      </c>
      <c r="I32" s="15">
        <f t="shared" si="20"/>
        <v>0</v>
      </c>
      <c r="J32" s="15">
        <f t="shared" si="6"/>
        <v>0</v>
      </c>
      <c r="K32" s="15"/>
      <c r="L32" s="15">
        <f t="shared" si="7"/>
        <v>5</v>
      </c>
      <c r="M32" s="15">
        <f t="shared" si="8"/>
        <v>11.25</v>
      </c>
      <c r="O32" s="117"/>
      <c r="Q32">
        <f t="shared" si="9"/>
        <v>5.19</v>
      </c>
      <c r="R32" s="4">
        <f t="shared" si="10"/>
        <v>91.72445426989054</v>
      </c>
      <c r="T32" s="4">
        <f t="shared" si="11"/>
        <v>6.193228736581338</v>
      </c>
      <c r="X32" s="3" t="e">
        <f t="shared" si="12"/>
        <v>#NUM!</v>
      </c>
      <c r="AA32" s="1">
        <f t="shared" si="0"/>
        <v>8.96980294870477E-06</v>
      </c>
      <c r="AB32">
        <f t="shared" si="13"/>
        <v>0.533</v>
      </c>
      <c r="AC32">
        <f t="shared" si="14"/>
        <v>8</v>
      </c>
      <c r="AD32" s="8" t="e">
        <f t="shared" si="1"/>
        <v>#NUM!</v>
      </c>
      <c r="AE32" s="4" t="e">
        <f t="shared" si="2"/>
        <v>#NUM!</v>
      </c>
      <c r="AF32" s="5" t="e">
        <f t="shared" si="3"/>
        <v>#NUM!</v>
      </c>
      <c r="AG32" s="4">
        <f t="shared" si="15"/>
        <v>225</v>
      </c>
      <c r="AH32" s="8" t="e">
        <f t="shared" si="16"/>
        <v>#NUM!</v>
      </c>
      <c r="AI32" s="10" t="e">
        <f t="shared" si="17"/>
        <v>#NUM!</v>
      </c>
    </row>
    <row r="33" spans="1:35" ht="12.75">
      <c r="A33" s="111"/>
      <c r="B33" s="114"/>
      <c r="D33">
        <f t="shared" si="18"/>
        <v>2.25</v>
      </c>
      <c r="E33" s="4">
        <f t="shared" si="4"/>
        <v>42.75</v>
      </c>
      <c r="F33" s="15">
        <f t="shared" si="19"/>
        <v>5</v>
      </c>
      <c r="G33" s="15">
        <f t="shared" si="5"/>
        <v>11.25</v>
      </c>
      <c r="I33" s="15">
        <f t="shared" si="20"/>
        <v>0</v>
      </c>
      <c r="J33" s="15">
        <f t="shared" si="6"/>
        <v>0</v>
      </c>
      <c r="K33" s="15"/>
      <c r="L33" s="15">
        <f t="shared" si="7"/>
        <v>5</v>
      </c>
      <c r="M33" s="15">
        <f t="shared" si="8"/>
        <v>11.25</v>
      </c>
      <c r="O33" s="117"/>
      <c r="Q33">
        <f t="shared" si="9"/>
        <v>5.19</v>
      </c>
      <c r="R33" s="4">
        <f t="shared" si="10"/>
        <v>92.07445426989054</v>
      </c>
      <c r="T33" s="4">
        <f t="shared" si="11"/>
        <v>6.193228736581338</v>
      </c>
      <c r="X33" s="3" t="e">
        <f t="shared" si="12"/>
        <v>#NUM!</v>
      </c>
      <c r="AA33" s="1">
        <f t="shared" si="0"/>
        <v>8.990615348704771E-06</v>
      </c>
      <c r="AB33">
        <f t="shared" si="13"/>
        <v>0.533</v>
      </c>
      <c r="AC33">
        <f t="shared" si="14"/>
        <v>8</v>
      </c>
      <c r="AD33" s="8" t="e">
        <f t="shared" si="1"/>
        <v>#NUM!</v>
      </c>
      <c r="AE33" s="4" t="e">
        <f t="shared" si="2"/>
        <v>#NUM!</v>
      </c>
      <c r="AF33" s="5" t="e">
        <f t="shared" si="3"/>
        <v>#NUM!</v>
      </c>
      <c r="AG33" s="4">
        <f t="shared" si="15"/>
        <v>225</v>
      </c>
      <c r="AH33" s="8" t="e">
        <f t="shared" si="16"/>
        <v>#NUM!</v>
      </c>
      <c r="AI33" s="10" t="e">
        <f t="shared" si="17"/>
        <v>#NUM!</v>
      </c>
    </row>
    <row r="34" spans="1:35" ht="12.75">
      <c r="A34" s="111"/>
      <c r="B34" s="114"/>
      <c r="D34">
        <f t="shared" si="18"/>
        <v>2.25</v>
      </c>
      <c r="E34" s="4">
        <f t="shared" si="4"/>
        <v>45</v>
      </c>
      <c r="F34" s="15">
        <f t="shared" si="19"/>
        <v>5</v>
      </c>
      <c r="G34" s="15">
        <f t="shared" si="5"/>
        <v>11.25</v>
      </c>
      <c r="I34" s="15">
        <f t="shared" si="20"/>
        <v>0</v>
      </c>
      <c r="J34" s="15">
        <f t="shared" si="6"/>
        <v>0</v>
      </c>
      <c r="K34" s="15"/>
      <c r="L34" s="15">
        <f t="shared" si="7"/>
        <v>5</v>
      </c>
      <c r="M34" s="15">
        <f t="shared" si="8"/>
        <v>11.25</v>
      </c>
      <c r="O34" s="117"/>
      <c r="Q34">
        <f t="shared" si="9"/>
        <v>5.19</v>
      </c>
      <c r="R34" s="4">
        <f t="shared" si="10"/>
        <v>92.42445426989053</v>
      </c>
      <c r="T34" s="4">
        <f t="shared" si="11"/>
        <v>6.193228736581338</v>
      </c>
      <c r="X34" s="3" t="e">
        <f t="shared" si="12"/>
        <v>#NUM!</v>
      </c>
      <c r="AA34" s="1">
        <f t="shared" si="0"/>
        <v>9.01142774870477E-06</v>
      </c>
      <c r="AB34">
        <f t="shared" si="13"/>
        <v>0.533</v>
      </c>
      <c r="AC34">
        <f t="shared" si="14"/>
        <v>8</v>
      </c>
      <c r="AD34" s="8" t="e">
        <f t="shared" si="1"/>
        <v>#NUM!</v>
      </c>
      <c r="AE34" s="4" t="e">
        <f t="shared" si="2"/>
        <v>#NUM!</v>
      </c>
      <c r="AF34" s="5" t="e">
        <f t="shared" si="3"/>
        <v>#NUM!</v>
      </c>
      <c r="AG34" s="4">
        <f t="shared" si="15"/>
        <v>225</v>
      </c>
      <c r="AH34" s="8" t="e">
        <f t="shared" si="16"/>
        <v>#NUM!</v>
      </c>
      <c r="AI34" s="10" t="e">
        <f t="shared" si="17"/>
        <v>#NUM!</v>
      </c>
    </row>
    <row r="35" spans="1:35" ht="12.75">
      <c r="A35" s="111"/>
      <c r="B35" s="114"/>
      <c r="D35">
        <f t="shared" si="18"/>
        <v>2.25</v>
      </c>
      <c r="E35" s="4">
        <f t="shared" si="4"/>
        <v>47.25</v>
      </c>
      <c r="F35" s="15">
        <f t="shared" si="19"/>
        <v>5</v>
      </c>
      <c r="G35" s="15">
        <f t="shared" si="5"/>
        <v>11.25</v>
      </c>
      <c r="I35" s="15">
        <f t="shared" si="20"/>
        <v>0</v>
      </c>
      <c r="J35" s="15">
        <f t="shared" si="6"/>
        <v>0</v>
      </c>
      <c r="K35" s="15"/>
      <c r="L35" s="15">
        <f t="shared" si="7"/>
        <v>5</v>
      </c>
      <c r="M35" s="15">
        <f t="shared" si="8"/>
        <v>11.25</v>
      </c>
      <c r="O35" s="117"/>
      <c r="Q35">
        <f t="shared" si="9"/>
        <v>5.19</v>
      </c>
      <c r="R35" s="4">
        <f t="shared" si="10"/>
        <v>92.77445426989053</v>
      </c>
      <c r="T35" s="4">
        <f t="shared" si="11"/>
        <v>6.193228736581338</v>
      </c>
      <c r="X35" s="3" t="e">
        <f t="shared" si="12"/>
        <v>#NUM!</v>
      </c>
      <c r="AA35" s="1">
        <f t="shared" si="0"/>
        <v>9.032240148704771E-06</v>
      </c>
      <c r="AB35">
        <f t="shared" si="13"/>
        <v>0.533</v>
      </c>
      <c r="AC35">
        <f t="shared" si="14"/>
        <v>8</v>
      </c>
      <c r="AD35" s="8" t="e">
        <f t="shared" si="1"/>
        <v>#NUM!</v>
      </c>
      <c r="AE35" s="4" t="e">
        <f t="shared" si="2"/>
        <v>#NUM!</v>
      </c>
      <c r="AF35" s="5" t="e">
        <f t="shared" si="3"/>
        <v>#NUM!</v>
      </c>
      <c r="AG35" s="4">
        <f t="shared" si="15"/>
        <v>225</v>
      </c>
      <c r="AH35" s="8" t="e">
        <f t="shared" si="16"/>
        <v>#NUM!</v>
      </c>
      <c r="AI35" s="10" t="e">
        <f t="shared" si="17"/>
        <v>#NUM!</v>
      </c>
    </row>
    <row r="36" spans="1:35" ht="12.75">
      <c r="A36" s="111"/>
      <c r="B36" s="114"/>
      <c r="D36">
        <f t="shared" si="18"/>
        <v>2.25</v>
      </c>
      <c r="E36" s="4">
        <f t="shared" si="4"/>
        <v>49.5</v>
      </c>
      <c r="F36" s="15">
        <f t="shared" si="19"/>
        <v>5</v>
      </c>
      <c r="G36" s="15">
        <f t="shared" si="5"/>
        <v>11.25</v>
      </c>
      <c r="I36" s="15">
        <f t="shared" si="20"/>
        <v>0</v>
      </c>
      <c r="J36" s="15">
        <f t="shared" si="6"/>
        <v>0</v>
      </c>
      <c r="K36" s="15"/>
      <c r="L36" s="15">
        <f t="shared" si="7"/>
        <v>5</v>
      </c>
      <c r="M36" s="15">
        <f t="shared" si="8"/>
        <v>11.25</v>
      </c>
      <c r="O36" s="117"/>
      <c r="Q36">
        <f t="shared" si="9"/>
        <v>5.19</v>
      </c>
      <c r="R36" s="4">
        <f t="shared" si="10"/>
        <v>93.12445426989052</v>
      </c>
      <c r="T36" s="4">
        <f t="shared" si="11"/>
        <v>6.193228736581338</v>
      </c>
      <c r="X36" s="3" t="e">
        <f t="shared" si="12"/>
        <v>#NUM!</v>
      </c>
      <c r="AA36" s="1">
        <f t="shared" si="0"/>
        <v>9.053052548704769E-06</v>
      </c>
      <c r="AB36">
        <f t="shared" si="13"/>
        <v>0.533</v>
      </c>
      <c r="AC36">
        <f t="shared" si="14"/>
        <v>8</v>
      </c>
      <c r="AD36" s="8" t="e">
        <f t="shared" si="1"/>
        <v>#NUM!</v>
      </c>
      <c r="AE36" s="4" t="e">
        <f t="shared" si="2"/>
        <v>#NUM!</v>
      </c>
      <c r="AF36" s="5" t="e">
        <f t="shared" si="3"/>
        <v>#NUM!</v>
      </c>
      <c r="AG36" s="4">
        <f t="shared" si="15"/>
        <v>225</v>
      </c>
      <c r="AH36" s="8" t="e">
        <f t="shared" si="16"/>
        <v>#NUM!</v>
      </c>
      <c r="AI36" s="10" t="e">
        <f t="shared" si="17"/>
        <v>#NUM!</v>
      </c>
    </row>
    <row r="37" spans="1:35" ht="12.75">
      <c r="A37" s="111"/>
      <c r="B37" s="114"/>
      <c r="D37">
        <f t="shared" si="18"/>
        <v>2.25</v>
      </c>
      <c r="E37" s="4">
        <f t="shared" si="4"/>
        <v>51.75</v>
      </c>
      <c r="F37" s="15">
        <f t="shared" si="19"/>
        <v>5</v>
      </c>
      <c r="G37" s="15">
        <f t="shared" si="5"/>
        <v>11.25</v>
      </c>
      <c r="I37" s="15">
        <f t="shared" si="20"/>
        <v>0</v>
      </c>
      <c r="J37" s="15">
        <f t="shared" si="6"/>
        <v>0</v>
      </c>
      <c r="K37" s="15"/>
      <c r="L37" s="15">
        <f t="shared" si="7"/>
        <v>5</v>
      </c>
      <c r="M37" s="15">
        <f t="shared" si="8"/>
        <v>11.25</v>
      </c>
      <c r="O37" s="117"/>
      <c r="Q37">
        <f t="shared" si="9"/>
        <v>5.19</v>
      </c>
      <c r="R37" s="4">
        <f t="shared" si="10"/>
        <v>93.47445426989051</v>
      </c>
      <c r="T37" s="4">
        <f t="shared" si="11"/>
        <v>6.193228736581338</v>
      </c>
      <c r="X37" s="3" t="e">
        <f t="shared" si="12"/>
        <v>#NUM!</v>
      </c>
      <c r="AA37" s="1">
        <f t="shared" si="0"/>
        <v>9.07386494870477E-06</v>
      </c>
      <c r="AB37">
        <f t="shared" si="13"/>
        <v>0.533</v>
      </c>
      <c r="AC37">
        <f t="shared" si="14"/>
        <v>8</v>
      </c>
      <c r="AD37" s="8" t="e">
        <f t="shared" si="1"/>
        <v>#NUM!</v>
      </c>
      <c r="AE37" s="4" t="e">
        <f t="shared" si="2"/>
        <v>#NUM!</v>
      </c>
      <c r="AF37" s="5" t="e">
        <f t="shared" si="3"/>
        <v>#NUM!</v>
      </c>
      <c r="AG37" s="4">
        <f t="shared" si="15"/>
        <v>225</v>
      </c>
      <c r="AH37" s="8" t="e">
        <f t="shared" si="16"/>
        <v>#NUM!</v>
      </c>
      <c r="AI37" s="10" t="e">
        <f t="shared" si="17"/>
        <v>#NUM!</v>
      </c>
    </row>
    <row r="38" spans="1:35" ht="12.75">
      <c r="A38" s="111"/>
      <c r="B38" s="114"/>
      <c r="D38">
        <f t="shared" si="18"/>
        <v>2.25</v>
      </c>
      <c r="E38" s="4">
        <f t="shared" si="4"/>
        <v>54</v>
      </c>
      <c r="F38" s="15">
        <f t="shared" si="19"/>
        <v>5</v>
      </c>
      <c r="G38" s="15">
        <f t="shared" si="5"/>
        <v>11.25</v>
      </c>
      <c r="I38" s="15">
        <f t="shared" si="20"/>
        <v>0</v>
      </c>
      <c r="J38" s="15">
        <f t="shared" si="6"/>
        <v>0</v>
      </c>
      <c r="K38" s="15"/>
      <c r="L38" s="15">
        <f t="shared" si="7"/>
        <v>5</v>
      </c>
      <c r="M38" s="15">
        <f t="shared" si="8"/>
        <v>11.25</v>
      </c>
      <c r="O38" s="117"/>
      <c r="Q38">
        <f t="shared" si="9"/>
        <v>5.19</v>
      </c>
      <c r="R38" s="4">
        <f t="shared" si="10"/>
        <v>93.82445426989051</v>
      </c>
      <c r="T38" s="4">
        <f t="shared" si="11"/>
        <v>6.193228736581338</v>
      </c>
      <c r="X38" s="3" t="e">
        <f t="shared" si="12"/>
        <v>#NUM!</v>
      </c>
      <c r="AA38" s="1">
        <f t="shared" si="0"/>
        <v>9.094677348704769E-06</v>
      </c>
      <c r="AB38">
        <f t="shared" si="13"/>
        <v>0.533</v>
      </c>
      <c r="AC38">
        <f t="shared" si="14"/>
        <v>8</v>
      </c>
      <c r="AD38" s="8" t="e">
        <f t="shared" si="1"/>
        <v>#NUM!</v>
      </c>
      <c r="AE38" s="4" t="e">
        <f t="shared" si="2"/>
        <v>#NUM!</v>
      </c>
      <c r="AF38" s="5" t="e">
        <f t="shared" si="3"/>
        <v>#NUM!</v>
      </c>
      <c r="AG38" s="4">
        <f t="shared" si="15"/>
        <v>225</v>
      </c>
      <c r="AH38" s="8" t="e">
        <f t="shared" si="16"/>
        <v>#NUM!</v>
      </c>
      <c r="AI38" s="10" t="e">
        <f t="shared" si="17"/>
        <v>#NUM!</v>
      </c>
    </row>
    <row r="39" spans="1:35" ht="12.75">
      <c r="A39" s="111"/>
      <c r="B39" s="114"/>
      <c r="D39">
        <f t="shared" si="18"/>
        <v>2.25</v>
      </c>
      <c r="E39" s="4">
        <f t="shared" si="4"/>
        <v>56.25</v>
      </c>
      <c r="F39" s="15">
        <f t="shared" si="19"/>
        <v>5</v>
      </c>
      <c r="G39" s="15">
        <f t="shared" si="5"/>
        <v>11.25</v>
      </c>
      <c r="I39" s="15">
        <f t="shared" si="20"/>
        <v>0</v>
      </c>
      <c r="J39" s="15">
        <f t="shared" si="6"/>
        <v>0</v>
      </c>
      <c r="K39" s="15"/>
      <c r="L39" s="15">
        <f t="shared" si="7"/>
        <v>5</v>
      </c>
      <c r="M39" s="15">
        <f t="shared" si="8"/>
        <v>11.25</v>
      </c>
      <c r="O39" s="117"/>
      <c r="Q39">
        <f t="shared" si="9"/>
        <v>5.19</v>
      </c>
      <c r="R39" s="4">
        <f t="shared" si="10"/>
        <v>94.1744542698905</v>
      </c>
      <c r="T39" s="4">
        <f t="shared" si="11"/>
        <v>6.193228736581338</v>
      </c>
      <c r="X39" s="3" t="e">
        <f t="shared" si="12"/>
        <v>#NUM!</v>
      </c>
      <c r="AA39" s="1">
        <f t="shared" si="0"/>
        <v>9.11548974870477E-06</v>
      </c>
      <c r="AB39">
        <f t="shared" si="13"/>
        <v>0.533</v>
      </c>
      <c r="AC39">
        <f t="shared" si="14"/>
        <v>8</v>
      </c>
      <c r="AD39" s="8" t="e">
        <f t="shared" si="1"/>
        <v>#NUM!</v>
      </c>
      <c r="AE39" s="4" t="e">
        <f t="shared" si="2"/>
        <v>#NUM!</v>
      </c>
      <c r="AF39" s="5" t="e">
        <f t="shared" si="3"/>
        <v>#NUM!</v>
      </c>
      <c r="AG39" s="4">
        <f t="shared" si="15"/>
        <v>225</v>
      </c>
      <c r="AH39" s="8" t="e">
        <f t="shared" si="16"/>
        <v>#NUM!</v>
      </c>
      <c r="AI39" s="10" t="e">
        <f t="shared" si="17"/>
        <v>#NUM!</v>
      </c>
    </row>
    <row r="40" spans="1:35" ht="12.75">
      <c r="A40" s="111"/>
      <c r="B40" s="114"/>
      <c r="D40">
        <f t="shared" si="18"/>
        <v>2.25</v>
      </c>
      <c r="E40" s="4">
        <f t="shared" si="4"/>
        <v>58.5</v>
      </c>
      <c r="F40" s="15">
        <f t="shared" si="19"/>
        <v>5</v>
      </c>
      <c r="G40" s="15">
        <f t="shared" si="5"/>
        <v>11.25</v>
      </c>
      <c r="I40" s="15">
        <f t="shared" si="20"/>
        <v>0</v>
      </c>
      <c r="J40" s="15">
        <f t="shared" si="6"/>
        <v>0</v>
      </c>
      <c r="K40" s="15"/>
      <c r="L40" s="15">
        <f t="shared" si="7"/>
        <v>5</v>
      </c>
      <c r="M40" s="15">
        <f t="shared" si="8"/>
        <v>11.25</v>
      </c>
      <c r="O40" s="117"/>
      <c r="Q40">
        <f t="shared" si="9"/>
        <v>5.19</v>
      </c>
      <c r="R40" s="4">
        <f t="shared" si="10"/>
        <v>94.5244542698905</v>
      </c>
      <c r="T40" s="4">
        <f t="shared" si="11"/>
        <v>6.193228736581338</v>
      </c>
      <c r="X40" s="3" t="e">
        <f t="shared" si="12"/>
        <v>#NUM!</v>
      </c>
      <c r="AA40" s="1">
        <f t="shared" si="0"/>
        <v>9.136302148704769E-06</v>
      </c>
      <c r="AB40">
        <f t="shared" si="13"/>
        <v>0.533</v>
      </c>
      <c r="AC40">
        <f t="shared" si="14"/>
        <v>8</v>
      </c>
      <c r="AD40" s="8" t="e">
        <f t="shared" si="1"/>
        <v>#NUM!</v>
      </c>
      <c r="AE40" s="4" t="e">
        <f t="shared" si="2"/>
        <v>#NUM!</v>
      </c>
      <c r="AF40" s="5" t="e">
        <f t="shared" si="3"/>
        <v>#NUM!</v>
      </c>
      <c r="AG40" s="4">
        <f t="shared" si="15"/>
        <v>225</v>
      </c>
      <c r="AH40" s="8" t="e">
        <f t="shared" si="16"/>
        <v>#NUM!</v>
      </c>
      <c r="AI40" s="10" t="e">
        <f t="shared" si="17"/>
        <v>#NUM!</v>
      </c>
    </row>
    <row r="41" spans="1:35" ht="12.75">
      <c r="A41" s="111"/>
      <c r="B41" s="114"/>
      <c r="D41">
        <f t="shared" si="18"/>
        <v>2.25</v>
      </c>
      <c r="E41" s="4">
        <f t="shared" si="4"/>
        <v>60.75</v>
      </c>
      <c r="F41" s="15">
        <f t="shared" si="19"/>
        <v>5</v>
      </c>
      <c r="G41" s="15">
        <f t="shared" si="5"/>
        <v>11.25</v>
      </c>
      <c r="I41" s="15">
        <f t="shared" si="20"/>
        <v>0</v>
      </c>
      <c r="J41" s="15">
        <f t="shared" si="6"/>
        <v>0</v>
      </c>
      <c r="K41" s="15"/>
      <c r="L41" s="15">
        <f t="shared" si="7"/>
        <v>5</v>
      </c>
      <c r="M41" s="15">
        <f t="shared" si="8"/>
        <v>11.25</v>
      </c>
      <c r="O41" s="117"/>
      <c r="Q41">
        <f t="shared" si="9"/>
        <v>5.19</v>
      </c>
      <c r="R41" s="4">
        <f t="shared" si="10"/>
        <v>94.87445426989049</v>
      </c>
      <c r="T41" s="4">
        <f t="shared" si="11"/>
        <v>6.193228736581338</v>
      </c>
      <c r="X41" s="3" t="e">
        <f t="shared" si="12"/>
        <v>#NUM!</v>
      </c>
      <c r="AA41" s="1">
        <f t="shared" si="0"/>
        <v>9.157114548704768E-06</v>
      </c>
      <c r="AB41">
        <f t="shared" si="13"/>
        <v>0.533</v>
      </c>
      <c r="AC41">
        <f t="shared" si="14"/>
        <v>8</v>
      </c>
      <c r="AD41" s="8" t="e">
        <f t="shared" si="1"/>
        <v>#NUM!</v>
      </c>
      <c r="AE41" s="4" t="e">
        <f t="shared" si="2"/>
        <v>#NUM!</v>
      </c>
      <c r="AF41" s="5" t="e">
        <f t="shared" si="3"/>
        <v>#NUM!</v>
      </c>
      <c r="AG41" s="4">
        <f t="shared" si="15"/>
        <v>225</v>
      </c>
      <c r="AH41" s="8" t="e">
        <f t="shared" si="16"/>
        <v>#NUM!</v>
      </c>
      <c r="AI41" s="10" t="e">
        <f t="shared" si="17"/>
        <v>#NUM!</v>
      </c>
    </row>
    <row r="42" spans="1:35" ht="12.75">
      <c r="A42" s="111"/>
      <c r="B42" s="114"/>
      <c r="D42">
        <f t="shared" si="18"/>
        <v>2.25</v>
      </c>
      <c r="E42" s="4">
        <f t="shared" si="4"/>
        <v>63</v>
      </c>
      <c r="F42" s="15">
        <f t="shared" si="19"/>
        <v>5</v>
      </c>
      <c r="G42" s="15">
        <f t="shared" si="5"/>
        <v>11.25</v>
      </c>
      <c r="I42" s="15">
        <f t="shared" si="20"/>
        <v>0</v>
      </c>
      <c r="J42" s="15">
        <f t="shared" si="6"/>
        <v>0</v>
      </c>
      <c r="K42" s="15"/>
      <c r="L42" s="15">
        <f t="shared" si="7"/>
        <v>5</v>
      </c>
      <c r="M42" s="15">
        <f t="shared" si="8"/>
        <v>11.25</v>
      </c>
      <c r="O42" s="117"/>
      <c r="Q42">
        <f t="shared" si="9"/>
        <v>5.19</v>
      </c>
      <c r="R42" s="4">
        <f t="shared" si="10"/>
        <v>95.22445426989049</v>
      </c>
      <c r="T42" s="4">
        <f t="shared" si="11"/>
        <v>6.193228736581338</v>
      </c>
      <c r="X42" s="3" t="e">
        <f t="shared" si="12"/>
        <v>#NUM!</v>
      </c>
      <c r="AA42" s="1">
        <f t="shared" si="0"/>
        <v>9.177926948704767E-06</v>
      </c>
      <c r="AB42">
        <f t="shared" si="13"/>
        <v>0.533</v>
      </c>
      <c r="AC42">
        <f t="shared" si="14"/>
        <v>8</v>
      </c>
      <c r="AD42" s="8" t="e">
        <f t="shared" si="1"/>
        <v>#NUM!</v>
      </c>
      <c r="AE42" s="4" t="e">
        <f t="shared" si="2"/>
        <v>#NUM!</v>
      </c>
      <c r="AF42" s="5" t="e">
        <f t="shared" si="3"/>
        <v>#NUM!</v>
      </c>
      <c r="AG42" s="4">
        <f t="shared" si="15"/>
        <v>225</v>
      </c>
      <c r="AH42" s="8" t="e">
        <f t="shared" si="16"/>
        <v>#NUM!</v>
      </c>
      <c r="AI42" s="10" t="e">
        <f t="shared" si="17"/>
        <v>#NUM!</v>
      </c>
    </row>
    <row r="43" spans="1:35" ht="12.75">
      <c r="A43" s="111"/>
      <c r="B43" s="114"/>
      <c r="D43">
        <f t="shared" si="18"/>
        <v>2.25</v>
      </c>
      <c r="E43" s="4">
        <f t="shared" si="4"/>
        <v>65.25</v>
      </c>
      <c r="F43" s="15">
        <f t="shared" si="19"/>
        <v>5</v>
      </c>
      <c r="G43" s="15">
        <f t="shared" si="5"/>
        <v>11.25</v>
      </c>
      <c r="I43" s="15">
        <f t="shared" si="20"/>
        <v>0</v>
      </c>
      <c r="J43" s="15">
        <f t="shared" si="6"/>
        <v>0</v>
      </c>
      <c r="K43" s="15"/>
      <c r="L43" s="15">
        <f t="shared" si="7"/>
        <v>5</v>
      </c>
      <c r="M43" s="15">
        <f t="shared" si="8"/>
        <v>11.25</v>
      </c>
      <c r="O43" s="117"/>
      <c r="Q43">
        <f t="shared" si="9"/>
        <v>5.19</v>
      </c>
      <c r="R43" s="4">
        <f t="shared" si="10"/>
        <v>95.57445426989048</v>
      </c>
      <c r="T43" s="4">
        <f t="shared" si="11"/>
        <v>6.193228736581338</v>
      </c>
      <c r="X43" s="3" t="e">
        <f t="shared" si="12"/>
        <v>#NUM!</v>
      </c>
      <c r="AA43" s="1">
        <f t="shared" si="0"/>
        <v>9.198739348704768E-06</v>
      </c>
      <c r="AB43">
        <f t="shared" si="13"/>
        <v>0.533</v>
      </c>
      <c r="AC43">
        <f t="shared" si="14"/>
        <v>8</v>
      </c>
      <c r="AD43" s="8" t="e">
        <f t="shared" si="1"/>
        <v>#NUM!</v>
      </c>
      <c r="AE43" s="4" t="e">
        <f t="shared" si="2"/>
        <v>#NUM!</v>
      </c>
      <c r="AF43" s="5" t="e">
        <f t="shared" si="3"/>
        <v>#NUM!</v>
      </c>
      <c r="AG43" s="4">
        <f t="shared" si="15"/>
        <v>225</v>
      </c>
      <c r="AH43" s="8" t="e">
        <f t="shared" si="16"/>
        <v>#NUM!</v>
      </c>
      <c r="AI43" s="10" t="e">
        <f t="shared" si="17"/>
        <v>#NUM!</v>
      </c>
    </row>
    <row r="44" spans="1:35" ht="13.5" thickBot="1">
      <c r="A44" s="112"/>
      <c r="B44" s="115"/>
      <c r="D44">
        <f t="shared" si="18"/>
        <v>2.25</v>
      </c>
      <c r="E44" s="4">
        <f t="shared" si="4"/>
        <v>67.5</v>
      </c>
      <c r="F44" s="15">
        <f t="shared" si="19"/>
        <v>5</v>
      </c>
      <c r="G44" s="15">
        <f t="shared" si="5"/>
        <v>11.25</v>
      </c>
      <c r="I44" s="15">
        <f t="shared" si="20"/>
        <v>0</v>
      </c>
      <c r="J44" s="15">
        <f t="shared" si="6"/>
        <v>0</v>
      </c>
      <c r="K44" s="15"/>
      <c r="L44" s="15">
        <f t="shared" si="7"/>
        <v>5</v>
      </c>
      <c r="M44" s="15">
        <f t="shared" si="8"/>
        <v>11.25</v>
      </c>
      <c r="O44" s="118"/>
      <c r="Q44">
        <f t="shared" si="9"/>
        <v>5.19</v>
      </c>
      <c r="R44" s="4">
        <f t="shared" si="10"/>
        <v>95.92445426989048</v>
      </c>
      <c r="T44" s="4">
        <f t="shared" si="11"/>
        <v>6.193228736581338</v>
      </c>
      <c r="X44" s="3" t="e">
        <f t="shared" si="12"/>
        <v>#NUM!</v>
      </c>
      <c r="AA44" s="1">
        <f t="shared" si="0"/>
        <v>9.219551748704767E-06</v>
      </c>
      <c r="AB44">
        <f t="shared" si="13"/>
        <v>0.533</v>
      </c>
      <c r="AC44">
        <f t="shared" si="14"/>
        <v>8</v>
      </c>
      <c r="AD44" s="8" t="e">
        <f t="shared" si="1"/>
        <v>#NUM!</v>
      </c>
      <c r="AE44" s="4" t="e">
        <f t="shared" si="2"/>
        <v>#NUM!</v>
      </c>
      <c r="AF44" s="5" t="e">
        <f t="shared" si="3"/>
        <v>#NUM!</v>
      </c>
      <c r="AG44" s="4">
        <f t="shared" si="15"/>
        <v>225</v>
      </c>
      <c r="AH44" s="8" t="e">
        <f t="shared" si="16"/>
        <v>#NUM!</v>
      </c>
      <c r="AI44" s="10" t="e">
        <f t="shared" si="17"/>
        <v>#NUM!</v>
      </c>
    </row>
    <row r="45" spans="1:35" ht="12.75">
      <c r="A45" s="108" t="s">
        <v>44</v>
      </c>
      <c r="B45" s="113">
        <f>O45</f>
        <v>168.75</v>
      </c>
      <c r="D45">
        <f t="shared" si="18"/>
        <v>2.25</v>
      </c>
      <c r="E45" s="4">
        <f t="shared" si="4"/>
        <v>69.75</v>
      </c>
      <c r="F45" s="15">
        <f t="shared" si="19"/>
        <v>5</v>
      </c>
      <c r="G45" s="15">
        <f t="shared" si="5"/>
        <v>11.25</v>
      </c>
      <c r="I45" s="15">
        <f t="shared" si="20"/>
        <v>0</v>
      </c>
      <c r="J45" s="15">
        <f t="shared" si="6"/>
        <v>0</v>
      </c>
      <c r="K45" s="15"/>
      <c r="L45" s="15">
        <f t="shared" si="7"/>
        <v>5</v>
      </c>
      <c r="M45" s="15">
        <f t="shared" si="8"/>
        <v>11.25</v>
      </c>
      <c r="O45" s="116">
        <f>SUM(M45:M59)</f>
        <v>168.75</v>
      </c>
      <c r="Q45">
        <f t="shared" si="9"/>
        <v>5.19</v>
      </c>
      <c r="R45" s="4">
        <f t="shared" si="10"/>
        <v>96.27445426989047</v>
      </c>
      <c r="T45" s="4">
        <f t="shared" si="11"/>
        <v>6.193228736581338</v>
      </c>
      <c r="X45" s="3" t="e">
        <f t="shared" si="12"/>
        <v>#NUM!</v>
      </c>
      <c r="AA45" s="1">
        <f t="shared" si="0"/>
        <v>9.240364148704767E-06</v>
      </c>
      <c r="AB45">
        <f t="shared" si="13"/>
        <v>0.533</v>
      </c>
      <c r="AC45">
        <f t="shared" si="14"/>
        <v>8</v>
      </c>
      <c r="AD45" s="8" t="e">
        <f t="shared" si="1"/>
        <v>#NUM!</v>
      </c>
      <c r="AE45" s="4" t="e">
        <f t="shared" si="2"/>
        <v>#NUM!</v>
      </c>
      <c r="AF45" s="5" t="e">
        <f t="shared" si="3"/>
        <v>#NUM!</v>
      </c>
      <c r="AG45" s="4">
        <f t="shared" si="15"/>
        <v>225</v>
      </c>
      <c r="AH45" s="8" t="e">
        <f t="shared" si="16"/>
        <v>#NUM!</v>
      </c>
      <c r="AI45" s="10" t="e">
        <f t="shared" si="17"/>
        <v>#NUM!</v>
      </c>
    </row>
    <row r="46" spans="1:35" ht="12.75">
      <c r="A46" s="111"/>
      <c r="B46" s="114"/>
      <c r="D46">
        <f t="shared" si="18"/>
        <v>2.25</v>
      </c>
      <c r="E46" s="4">
        <f t="shared" si="4"/>
        <v>72</v>
      </c>
      <c r="F46" s="15">
        <f t="shared" si="19"/>
        <v>5</v>
      </c>
      <c r="G46" s="15">
        <f t="shared" si="5"/>
        <v>11.25</v>
      </c>
      <c r="I46" s="15">
        <f t="shared" si="20"/>
        <v>0</v>
      </c>
      <c r="J46" s="15">
        <f t="shared" si="6"/>
        <v>0</v>
      </c>
      <c r="K46" s="15"/>
      <c r="L46" s="15">
        <f t="shared" si="7"/>
        <v>5</v>
      </c>
      <c r="M46" s="15">
        <f t="shared" si="8"/>
        <v>11.25</v>
      </c>
      <c r="O46" s="117"/>
      <c r="Q46">
        <f t="shared" si="9"/>
        <v>5.19</v>
      </c>
      <c r="R46" s="4">
        <f t="shared" si="10"/>
        <v>96.62445426989046</v>
      </c>
      <c r="T46" s="4">
        <f t="shared" si="11"/>
        <v>6.193228736581338</v>
      </c>
      <c r="X46" s="3" t="e">
        <f t="shared" si="12"/>
        <v>#NUM!</v>
      </c>
      <c r="AA46" s="1">
        <f aca="true" t="shared" si="21" ref="AA46:AA74">(3.5155+0.059464*R46)*10^-6</f>
        <v>9.261176548704765E-06</v>
      </c>
      <c r="AB46">
        <f t="shared" si="13"/>
        <v>0.533</v>
      </c>
      <c r="AC46">
        <f t="shared" si="14"/>
        <v>8</v>
      </c>
      <c r="AD46" s="8" t="e">
        <f aca="true" t="shared" si="22" ref="AD46:AD74">4*T46/(X46*3.14159*AB46^2*AC46)</f>
        <v>#NUM!</v>
      </c>
      <c r="AE46" s="4" t="e">
        <f aca="true" t="shared" si="23" ref="AE46:AE74">X46*AD46*AB46/AA46/10</f>
        <v>#NUM!</v>
      </c>
      <c r="AF46" s="5" t="e">
        <f aca="true" t="shared" si="24" ref="AF46:AF74">4*(0.0791/AE46^0.25)</f>
        <v>#NUM!</v>
      </c>
      <c r="AG46" s="4">
        <f t="shared" si="15"/>
        <v>225</v>
      </c>
      <c r="AH46" s="8" t="e">
        <f t="shared" si="16"/>
        <v>#NUM!</v>
      </c>
      <c r="AI46" s="10" t="e">
        <f t="shared" si="17"/>
        <v>#NUM!</v>
      </c>
    </row>
    <row r="47" spans="1:35" ht="12.75">
      <c r="A47" s="111"/>
      <c r="B47" s="114"/>
      <c r="D47">
        <f t="shared" si="18"/>
        <v>2.25</v>
      </c>
      <c r="E47" s="4">
        <f aca="true" t="shared" si="25" ref="E47:E74">E46+D47</f>
        <v>74.25</v>
      </c>
      <c r="F47" s="15">
        <f t="shared" si="19"/>
        <v>5</v>
      </c>
      <c r="G47" s="15">
        <f aca="true" t="shared" si="26" ref="G47:G74">F47*D47</f>
        <v>11.25</v>
      </c>
      <c r="I47" s="15">
        <f t="shared" si="20"/>
        <v>0</v>
      </c>
      <c r="J47" s="15">
        <f aca="true" t="shared" si="27" ref="J47:J74">I47*D47</f>
        <v>0</v>
      </c>
      <c r="K47" s="15"/>
      <c r="L47" s="15">
        <f aca="true" t="shared" si="28" ref="L47:L74">I47+F47</f>
        <v>5</v>
      </c>
      <c r="M47" s="15">
        <f aca="true" t="shared" si="29" ref="M47:M74">L47*D47</f>
        <v>11.25</v>
      </c>
      <c r="O47" s="117"/>
      <c r="Q47">
        <f aca="true" t="shared" si="30" ref="Q47:Q74">Q46</f>
        <v>5.19</v>
      </c>
      <c r="R47" s="4">
        <f aca="true" t="shared" si="31" ref="R47:R74">R46+M47/(T47*Q47)</f>
        <v>96.97445426989046</v>
      </c>
      <c r="T47" s="4">
        <f aca="true" t="shared" si="32" ref="T47:T74">T46</f>
        <v>6.193228736581338</v>
      </c>
      <c r="X47" s="3" t="e">
        <f aca="true" t="shared" si="33" ref="X47:X74">0.00096*(100/R47)*(AI46/2)</f>
        <v>#NUM!</v>
      </c>
      <c r="AA47" s="1">
        <f t="shared" si="21"/>
        <v>9.281988948704766E-06</v>
      </c>
      <c r="AB47">
        <f aca="true" t="shared" si="34" ref="AB47:AB74">AB46</f>
        <v>0.533</v>
      </c>
      <c r="AC47">
        <f aca="true" t="shared" si="35" ref="AC47:AC74">AC46</f>
        <v>8</v>
      </c>
      <c r="AD47" s="8" t="e">
        <f t="shared" si="22"/>
        <v>#NUM!</v>
      </c>
      <c r="AE47" s="4" t="e">
        <f t="shared" si="23"/>
        <v>#NUM!</v>
      </c>
      <c r="AF47" s="5" t="e">
        <f t="shared" si="24"/>
        <v>#NUM!</v>
      </c>
      <c r="AG47" s="4">
        <f aca="true" t="shared" si="36" ref="AG47:AG74">100*(E47-E46)</f>
        <v>225</v>
      </c>
      <c r="AH47" s="8" t="e">
        <f aca="true" t="shared" si="37" ref="AH47:AH74">AF47*AG47/(AB47)*(X47*AD47^2/2)*0.1</f>
        <v>#NUM!</v>
      </c>
      <c r="AI47" s="10" t="e">
        <f aca="true" t="shared" si="38" ref="AI47:AI75">AI46-AH47/100000</f>
        <v>#NUM!</v>
      </c>
    </row>
    <row r="48" spans="1:35" ht="12.75">
      <c r="A48" s="111"/>
      <c r="B48" s="114"/>
      <c r="D48">
        <f aca="true" t="shared" si="39" ref="D48:D74">D47</f>
        <v>2.25</v>
      </c>
      <c r="E48" s="4">
        <f t="shared" si="25"/>
        <v>76.5</v>
      </c>
      <c r="F48" s="15">
        <f aca="true" t="shared" si="40" ref="F48:F74">F47</f>
        <v>5</v>
      </c>
      <c r="G48" s="15">
        <f t="shared" si="26"/>
        <v>11.25</v>
      </c>
      <c r="I48" s="15">
        <f aca="true" t="shared" si="41" ref="I48:I74">I47</f>
        <v>0</v>
      </c>
      <c r="J48" s="15">
        <f t="shared" si="27"/>
        <v>0</v>
      </c>
      <c r="K48" s="15"/>
      <c r="L48" s="15">
        <f t="shared" si="28"/>
        <v>5</v>
      </c>
      <c r="M48" s="15">
        <f t="shared" si="29"/>
        <v>11.25</v>
      </c>
      <c r="O48" s="117"/>
      <c r="Q48">
        <f t="shared" si="30"/>
        <v>5.19</v>
      </c>
      <c r="R48" s="4">
        <f t="shared" si="31"/>
        <v>97.32445426989045</v>
      </c>
      <c r="T48" s="4">
        <f t="shared" si="32"/>
        <v>6.193228736581338</v>
      </c>
      <c r="X48" s="3" t="e">
        <f t="shared" si="33"/>
        <v>#NUM!</v>
      </c>
      <c r="AA48" s="1">
        <f t="shared" si="21"/>
        <v>9.302801348704765E-06</v>
      </c>
      <c r="AB48">
        <f t="shared" si="34"/>
        <v>0.533</v>
      </c>
      <c r="AC48">
        <f t="shared" si="35"/>
        <v>8</v>
      </c>
      <c r="AD48" s="8" t="e">
        <f t="shared" si="22"/>
        <v>#NUM!</v>
      </c>
      <c r="AE48" s="4" t="e">
        <f t="shared" si="23"/>
        <v>#NUM!</v>
      </c>
      <c r="AF48" s="5" t="e">
        <f t="shared" si="24"/>
        <v>#NUM!</v>
      </c>
      <c r="AG48" s="4">
        <f t="shared" si="36"/>
        <v>225</v>
      </c>
      <c r="AH48" s="8" t="e">
        <f t="shared" si="37"/>
        <v>#NUM!</v>
      </c>
      <c r="AI48" s="10" t="e">
        <f t="shared" si="38"/>
        <v>#NUM!</v>
      </c>
    </row>
    <row r="49" spans="1:35" ht="12.75">
      <c r="A49" s="111"/>
      <c r="B49" s="114"/>
      <c r="D49">
        <f t="shared" si="39"/>
        <v>2.25</v>
      </c>
      <c r="E49" s="4">
        <f t="shared" si="25"/>
        <v>78.75</v>
      </c>
      <c r="F49" s="15">
        <f t="shared" si="40"/>
        <v>5</v>
      </c>
      <c r="G49" s="15">
        <f t="shared" si="26"/>
        <v>11.25</v>
      </c>
      <c r="I49" s="15">
        <f t="shared" si="41"/>
        <v>0</v>
      </c>
      <c r="J49" s="15">
        <f t="shared" si="27"/>
        <v>0</v>
      </c>
      <c r="K49" s="15"/>
      <c r="L49" s="15">
        <f t="shared" si="28"/>
        <v>5</v>
      </c>
      <c r="M49" s="15">
        <f t="shared" si="29"/>
        <v>11.25</v>
      </c>
      <c r="O49" s="117"/>
      <c r="Q49">
        <f t="shared" si="30"/>
        <v>5.19</v>
      </c>
      <c r="R49" s="4">
        <f t="shared" si="31"/>
        <v>97.67445426989045</v>
      </c>
      <c r="T49" s="4">
        <f t="shared" si="32"/>
        <v>6.193228736581338</v>
      </c>
      <c r="X49" s="3" t="e">
        <f t="shared" si="33"/>
        <v>#NUM!</v>
      </c>
      <c r="AA49" s="1">
        <f t="shared" si="21"/>
        <v>9.323613748704766E-06</v>
      </c>
      <c r="AB49">
        <f t="shared" si="34"/>
        <v>0.533</v>
      </c>
      <c r="AC49">
        <f t="shared" si="35"/>
        <v>8</v>
      </c>
      <c r="AD49" s="8" t="e">
        <f t="shared" si="22"/>
        <v>#NUM!</v>
      </c>
      <c r="AE49" s="4" t="e">
        <f t="shared" si="23"/>
        <v>#NUM!</v>
      </c>
      <c r="AF49" s="5" t="e">
        <f t="shared" si="24"/>
        <v>#NUM!</v>
      </c>
      <c r="AG49" s="4">
        <f t="shared" si="36"/>
        <v>225</v>
      </c>
      <c r="AH49" s="8" t="e">
        <f t="shared" si="37"/>
        <v>#NUM!</v>
      </c>
      <c r="AI49" s="10" t="e">
        <f t="shared" si="38"/>
        <v>#NUM!</v>
      </c>
    </row>
    <row r="50" spans="1:35" ht="12.75">
      <c r="A50" s="111"/>
      <c r="B50" s="114"/>
      <c r="D50">
        <f t="shared" si="39"/>
        <v>2.25</v>
      </c>
      <c r="E50" s="4">
        <f t="shared" si="25"/>
        <v>81</v>
      </c>
      <c r="F50" s="15">
        <f t="shared" si="40"/>
        <v>5</v>
      </c>
      <c r="G50" s="15">
        <f t="shared" si="26"/>
        <v>11.25</v>
      </c>
      <c r="I50" s="15">
        <f t="shared" si="41"/>
        <v>0</v>
      </c>
      <c r="J50" s="15">
        <f t="shared" si="27"/>
        <v>0</v>
      </c>
      <c r="K50" s="15"/>
      <c r="L50" s="15">
        <f t="shared" si="28"/>
        <v>5</v>
      </c>
      <c r="M50" s="15">
        <f t="shared" si="29"/>
        <v>11.25</v>
      </c>
      <c r="O50" s="117"/>
      <c r="Q50">
        <f t="shared" si="30"/>
        <v>5.19</v>
      </c>
      <c r="R50" s="4">
        <f t="shared" si="31"/>
        <v>98.02445426989044</v>
      </c>
      <c r="T50" s="4">
        <f t="shared" si="32"/>
        <v>6.193228736581338</v>
      </c>
      <c r="X50" s="3" t="e">
        <f t="shared" si="33"/>
        <v>#NUM!</v>
      </c>
      <c r="AA50" s="1">
        <f t="shared" si="21"/>
        <v>9.344426148704766E-06</v>
      </c>
      <c r="AB50">
        <f t="shared" si="34"/>
        <v>0.533</v>
      </c>
      <c r="AC50">
        <f t="shared" si="35"/>
        <v>8</v>
      </c>
      <c r="AD50" s="8" t="e">
        <f t="shared" si="22"/>
        <v>#NUM!</v>
      </c>
      <c r="AE50" s="4" t="e">
        <f t="shared" si="23"/>
        <v>#NUM!</v>
      </c>
      <c r="AF50" s="5" t="e">
        <f t="shared" si="24"/>
        <v>#NUM!</v>
      </c>
      <c r="AG50" s="4">
        <f t="shared" si="36"/>
        <v>225</v>
      </c>
      <c r="AH50" s="8" t="e">
        <f t="shared" si="37"/>
        <v>#NUM!</v>
      </c>
      <c r="AI50" s="10" t="e">
        <f t="shared" si="38"/>
        <v>#NUM!</v>
      </c>
    </row>
    <row r="51" spans="1:35" ht="12.75">
      <c r="A51" s="111"/>
      <c r="B51" s="114"/>
      <c r="D51">
        <f t="shared" si="39"/>
        <v>2.25</v>
      </c>
      <c r="E51" s="4">
        <f t="shared" si="25"/>
        <v>83.25</v>
      </c>
      <c r="F51" s="15">
        <f t="shared" si="40"/>
        <v>5</v>
      </c>
      <c r="G51" s="15">
        <f t="shared" si="26"/>
        <v>11.25</v>
      </c>
      <c r="I51" s="15">
        <f t="shared" si="41"/>
        <v>0</v>
      </c>
      <c r="J51" s="15">
        <f t="shared" si="27"/>
        <v>0</v>
      </c>
      <c r="K51" s="15"/>
      <c r="L51" s="15">
        <f t="shared" si="28"/>
        <v>5</v>
      </c>
      <c r="M51" s="15">
        <f t="shared" si="29"/>
        <v>11.25</v>
      </c>
      <c r="O51" s="117"/>
      <c r="Q51">
        <f t="shared" si="30"/>
        <v>5.19</v>
      </c>
      <c r="R51" s="4">
        <f t="shared" si="31"/>
        <v>98.37445426989044</v>
      </c>
      <c r="T51" s="4">
        <f t="shared" si="32"/>
        <v>6.193228736581338</v>
      </c>
      <c r="X51" s="3" t="e">
        <f t="shared" si="33"/>
        <v>#NUM!</v>
      </c>
      <c r="AA51" s="1">
        <f t="shared" si="21"/>
        <v>9.365238548704764E-06</v>
      </c>
      <c r="AB51">
        <f t="shared" si="34"/>
        <v>0.533</v>
      </c>
      <c r="AC51">
        <f t="shared" si="35"/>
        <v>8</v>
      </c>
      <c r="AD51" s="8" t="e">
        <f t="shared" si="22"/>
        <v>#NUM!</v>
      </c>
      <c r="AE51" s="4" t="e">
        <f t="shared" si="23"/>
        <v>#NUM!</v>
      </c>
      <c r="AF51" s="5" t="e">
        <f t="shared" si="24"/>
        <v>#NUM!</v>
      </c>
      <c r="AG51" s="4">
        <f t="shared" si="36"/>
        <v>225</v>
      </c>
      <c r="AH51" s="8" t="e">
        <f t="shared" si="37"/>
        <v>#NUM!</v>
      </c>
      <c r="AI51" s="10" t="e">
        <f t="shared" si="38"/>
        <v>#NUM!</v>
      </c>
    </row>
    <row r="52" spans="1:35" ht="12.75">
      <c r="A52" s="111"/>
      <c r="B52" s="114"/>
      <c r="D52">
        <f t="shared" si="39"/>
        <v>2.25</v>
      </c>
      <c r="E52" s="4">
        <f t="shared" si="25"/>
        <v>85.5</v>
      </c>
      <c r="F52" s="15">
        <f t="shared" si="40"/>
        <v>5</v>
      </c>
      <c r="G52" s="15">
        <f t="shared" si="26"/>
        <v>11.25</v>
      </c>
      <c r="I52" s="15">
        <f t="shared" si="41"/>
        <v>0</v>
      </c>
      <c r="J52" s="15">
        <f t="shared" si="27"/>
        <v>0</v>
      </c>
      <c r="K52" s="15"/>
      <c r="L52" s="15">
        <f t="shared" si="28"/>
        <v>5</v>
      </c>
      <c r="M52" s="15">
        <f t="shared" si="29"/>
        <v>11.25</v>
      </c>
      <c r="O52" s="117"/>
      <c r="Q52">
        <f t="shared" si="30"/>
        <v>5.19</v>
      </c>
      <c r="R52" s="4">
        <f t="shared" si="31"/>
        <v>98.72445426989043</v>
      </c>
      <c r="T52" s="4">
        <f t="shared" si="32"/>
        <v>6.193228736581338</v>
      </c>
      <c r="X52" s="3" t="e">
        <f t="shared" si="33"/>
        <v>#NUM!</v>
      </c>
      <c r="AA52" s="1">
        <f t="shared" si="21"/>
        <v>9.386050948704765E-06</v>
      </c>
      <c r="AB52">
        <f t="shared" si="34"/>
        <v>0.533</v>
      </c>
      <c r="AC52">
        <f t="shared" si="35"/>
        <v>8</v>
      </c>
      <c r="AD52" s="8" t="e">
        <f t="shared" si="22"/>
        <v>#NUM!</v>
      </c>
      <c r="AE52" s="4" t="e">
        <f t="shared" si="23"/>
        <v>#NUM!</v>
      </c>
      <c r="AF52" s="5" t="e">
        <f t="shared" si="24"/>
        <v>#NUM!</v>
      </c>
      <c r="AG52" s="4">
        <f t="shared" si="36"/>
        <v>225</v>
      </c>
      <c r="AH52" s="8" t="e">
        <f t="shared" si="37"/>
        <v>#NUM!</v>
      </c>
      <c r="AI52" s="10" t="e">
        <f t="shared" si="38"/>
        <v>#NUM!</v>
      </c>
    </row>
    <row r="53" spans="1:35" ht="12.75">
      <c r="A53" s="111"/>
      <c r="B53" s="114"/>
      <c r="D53">
        <f t="shared" si="39"/>
        <v>2.25</v>
      </c>
      <c r="E53" s="4">
        <f t="shared" si="25"/>
        <v>87.75</v>
      </c>
      <c r="F53" s="15">
        <f t="shared" si="40"/>
        <v>5</v>
      </c>
      <c r="G53" s="15">
        <f t="shared" si="26"/>
        <v>11.25</v>
      </c>
      <c r="I53" s="15">
        <f t="shared" si="41"/>
        <v>0</v>
      </c>
      <c r="J53" s="15">
        <f t="shared" si="27"/>
        <v>0</v>
      </c>
      <c r="K53" s="15"/>
      <c r="L53" s="15">
        <f t="shared" si="28"/>
        <v>5</v>
      </c>
      <c r="M53" s="15">
        <f t="shared" si="29"/>
        <v>11.25</v>
      </c>
      <c r="O53" s="117"/>
      <c r="Q53">
        <f t="shared" si="30"/>
        <v>5.19</v>
      </c>
      <c r="R53" s="4">
        <f t="shared" si="31"/>
        <v>99.07445426989042</v>
      </c>
      <c r="T53" s="4">
        <f t="shared" si="32"/>
        <v>6.193228736581338</v>
      </c>
      <c r="X53" s="3" t="e">
        <f t="shared" si="33"/>
        <v>#NUM!</v>
      </c>
      <c r="AA53" s="1">
        <f t="shared" si="21"/>
        <v>9.406863348704764E-06</v>
      </c>
      <c r="AB53">
        <f t="shared" si="34"/>
        <v>0.533</v>
      </c>
      <c r="AC53">
        <f t="shared" si="35"/>
        <v>8</v>
      </c>
      <c r="AD53" s="8" t="e">
        <f t="shared" si="22"/>
        <v>#NUM!</v>
      </c>
      <c r="AE53" s="4" t="e">
        <f t="shared" si="23"/>
        <v>#NUM!</v>
      </c>
      <c r="AF53" s="5" t="e">
        <f t="shared" si="24"/>
        <v>#NUM!</v>
      </c>
      <c r="AG53" s="4">
        <f t="shared" si="36"/>
        <v>225</v>
      </c>
      <c r="AH53" s="8" t="e">
        <f t="shared" si="37"/>
        <v>#NUM!</v>
      </c>
      <c r="AI53" s="10" t="e">
        <f t="shared" si="38"/>
        <v>#NUM!</v>
      </c>
    </row>
    <row r="54" spans="1:35" ht="12.75">
      <c r="A54" s="111"/>
      <c r="B54" s="114"/>
      <c r="D54">
        <f t="shared" si="39"/>
        <v>2.25</v>
      </c>
      <c r="E54" s="4">
        <f t="shared" si="25"/>
        <v>90</v>
      </c>
      <c r="F54" s="15">
        <f t="shared" si="40"/>
        <v>5</v>
      </c>
      <c r="G54" s="15">
        <f t="shared" si="26"/>
        <v>11.25</v>
      </c>
      <c r="I54" s="15">
        <f t="shared" si="41"/>
        <v>0</v>
      </c>
      <c r="J54" s="15">
        <f t="shared" si="27"/>
        <v>0</v>
      </c>
      <c r="K54" s="15"/>
      <c r="L54" s="15">
        <f t="shared" si="28"/>
        <v>5</v>
      </c>
      <c r="M54" s="15">
        <f t="shared" si="29"/>
        <v>11.25</v>
      </c>
      <c r="O54" s="117"/>
      <c r="Q54">
        <f t="shared" si="30"/>
        <v>5.19</v>
      </c>
      <c r="R54" s="4">
        <f t="shared" si="31"/>
        <v>99.42445426989042</v>
      </c>
      <c r="T54" s="4">
        <f t="shared" si="32"/>
        <v>6.193228736581338</v>
      </c>
      <c r="X54" s="3" t="e">
        <f t="shared" si="33"/>
        <v>#NUM!</v>
      </c>
      <c r="AA54" s="1">
        <f t="shared" si="21"/>
        <v>9.427675748704765E-06</v>
      </c>
      <c r="AB54">
        <f t="shared" si="34"/>
        <v>0.533</v>
      </c>
      <c r="AC54">
        <f t="shared" si="35"/>
        <v>8</v>
      </c>
      <c r="AD54" s="8" t="e">
        <f t="shared" si="22"/>
        <v>#NUM!</v>
      </c>
      <c r="AE54" s="4" t="e">
        <f t="shared" si="23"/>
        <v>#NUM!</v>
      </c>
      <c r="AF54" s="5" t="e">
        <f t="shared" si="24"/>
        <v>#NUM!</v>
      </c>
      <c r="AG54" s="4">
        <f t="shared" si="36"/>
        <v>225</v>
      </c>
      <c r="AH54" s="8" t="e">
        <f t="shared" si="37"/>
        <v>#NUM!</v>
      </c>
      <c r="AI54" s="10" t="e">
        <f t="shared" si="38"/>
        <v>#NUM!</v>
      </c>
    </row>
    <row r="55" spans="1:35" ht="12.75">
      <c r="A55" s="111"/>
      <c r="B55" s="114"/>
      <c r="D55">
        <f t="shared" si="39"/>
        <v>2.25</v>
      </c>
      <c r="E55" s="4">
        <f t="shared" si="25"/>
        <v>92.25</v>
      </c>
      <c r="F55" s="15">
        <f t="shared" si="40"/>
        <v>5</v>
      </c>
      <c r="G55" s="15">
        <f t="shared" si="26"/>
        <v>11.25</v>
      </c>
      <c r="I55" s="15">
        <f t="shared" si="41"/>
        <v>0</v>
      </c>
      <c r="J55" s="15">
        <f t="shared" si="27"/>
        <v>0</v>
      </c>
      <c r="K55" s="15"/>
      <c r="L55" s="15">
        <f t="shared" si="28"/>
        <v>5</v>
      </c>
      <c r="M55" s="15">
        <f t="shared" si="29"/>
        <v>11.25</v>
      </c>
      <c r="O55" s="117"/>
      <c r="Q55">
        <f t="shared" si="30"/>
        <v>5.19</v>
      </c>
      <c r="R55" s="4">
        <f t="shared" si="31"/>
        <v>99.77445426989041</v>
      </c>
      <c r="T55" s="4">
        <f t="shared" si="32"/>
        <v>6.193228736581338</v>
      </c>
      <c r="X55" s="3" t="e">
        <f t="shared" si="33"/>
        <v>#NUM!</v>
      </c>
      <c r="AA55" s="1">
        <f t="shared" si="21"/>
        <v>9.448488148704764E-06</v>
      </c>
      <c r="AB55">
        <f t="shared" si="34"/>
        <v>0.533</v>
      </c>
      <c r="AC55">
        <f t="shared" si="35"/>
        <v>8</v>
      </c>
      <c r="AD55" s="8" t="e">
        <f t="shared" si="22"/>
        <v>#NUM!</v>
      </c>
      <c r="AE55" s="4" t="e">
        <f t="shared" si="23"/>
        <v>#NUM!</v>
      </c>
      <c r="AF55" s="5" t="e">
        <f t="shared" si="24"/>
        <v>#NUM!</v>
      </c>
      <c r="AG55" s="4">
        <f t="shared" si="36"/>
        <v>225</v>
      </c>
      <c r="AH55" s="8" t="e">
        <f t="shared" si="37"/>
        <v>#NUM!</v>
      </c>
      <c r="AI55" s="10" t="e">
        <f t="shared" si="38"/>
        <v>#NUM!</v>
      </c>
    </row>
    <row r="56" spans="1:35" ht="12.75">
      <c r="A56" s="111"/>
      <c r="B56" s="114"/>
      <c r="D56">
        <f t="shared" si="39"/>
        <v>2.25</v>
      </c>
      <c r="E56" s="4">
        <f t="shared" si="25"/>
        <v>94.5</v>
      </c>
      <c r="F56" s="15">
        <f t="shared" si="40"/>
        <v>5</v>
      </c>
      <c r="G56" s="15">
        <f t="shared" si="26"/>
        <v>11.25</v>
      </c>
      <c r="I56" s="15">
        <f t="shared" si="41"/>
        <v>0</v>
      </c>
      <c r="J56" s="15">
        <f t="shared" si="27"/>
        <v>0</v>
      </c>
      <c r="K56" s="15"/>
      <c r="L56" s="15">
        <f t="shared" si="28"/>
        <v>5</v>
      </c>
      <c r="M56" s="15">
        <f t="shared" si="29"/>
        <v>11.25</v>
      </c>
      <c r="O56" s="117"/>
      <c r="Q56">
        <f t="shared" si="30"/>
        <v>5.19</v>
      </c>
      <c r="R56" s="4">
        <f t="shared" si="31"/>
        <v>100.1244542698904</v>
      </c>
      <c r="T56" s="4">
        <f t="shared" si="32"/>
        <v>6.193228736581338</v>
      </c>
      <c r="X56" s="3" t="e">
        <f t="shared" si="33"/>
        <v>#NUM!</v>
      </c>
      <c r="AA56" s="1">
        <f t="shared" si="21"/>
        <v>9.469300548704763E-06</v>
      </c>
      <c r="AB56">
        <f t="shared" si="34"/>
        <v>0.533</v>
      </c>
      <c r="AC56">
        <f t="shared" si="35"/>
        <v>8</v>
      </c>
      <c r="AD56" s="8" t="e">
        <f t="shared" si="22"/>
        <v>#NUM!</v>
      </c>
      <c r="AE56" s="4" t="e">
        <f t="shared" si="23"/>
        <v>#NUM!</v>
      </c>
      <c r="AF56" s="5" t="e">
        <f t="shared" si="24"/>
        <v>#NUM!</v>
      </c>
      <c r="AG56" s="4">
        <f t="shared" si="36"/>
        <v>225</v>
      </c>
      <c r="AH56" s="8" t="e">
        <f t="shared" si="37"/>
        <v>#NUM!</v>
      </c>
      <c r="AI56" s="10" t="e">
        <f t="shared" si="38"/>
        <v>#NUM!</v>
      </c>
    </row>
    <row r="57" spans="1:35" ht="12.75">
      <c r="A57" s="111"/>
      <c r="B57" s="114"/>
      <c r="D57">
        <f t="shared" si="39"/>
        <v>2.25</v>
      </c>
      <c r="E57" s="4">
        <f t="shared" si="25"/>
        <v>96.75</v>
      </c>
      <c r="F57" s="15">
        <f t="shared" si="40"/>
        <v>5</v>
      </c>
      <c r="G57" s="15">
        <f t="shared" si="26"/>
        <v>11.25</v>
      </c>
      <c r="I57" s="15">
        <f t="shared" si="41"/>
        <v>0</v>
      </c>
      <c r="J57" s="15">
        <f t="shared" si="27"/>
        <v>0</v>
      </c>
      <c r="K57" s="15"/>
      <c r="L57" s="15">
        <f t="shared" si="28"/>
        <v>5</v>
      </c>
      <c r="M57" s="15">
        <f t="shared" si="29"/>
        <v>11.25</v>
      </c>
      <c r="O57" s="117"/>
      <c r="Q57">
        <f t="shared" si="30"/>
        <v>5.19</v>
      </c>
      <c r="R57" s="4">
        <f t="shared" si="31"/>
        <v>100.4744542698904</v>
      </c>
      <c r="T57" s="4">
        <f t="shared" si="32"/>
        <v>6.193228736581338</v>
      </c>
      <c r="X57" s="3" t="e">
        <f t="shared" si="33"/>
        <v>#NUM!</v>
      </c>
      <c r="AA57" s="1">
        <f t="shared" si="21"/>
        <v>9.490112948704762E-06</v>
      </c>
      <c r="AB57">
        <f t="shared" si="34"/>
        <v>0.533</v>
      </c>
      <c r="AC57">
        <f t="shared" si="35"/>
        <v>8</v>
      </c>
      <c r="AD57" s="8" t="e">
        <f t="shared" si="22"/>
        <v>#NUM!</v>
      </c>
      <c r="AE57" s="4" t="e">
        <f t="shared" si="23"/>
        <v>#NUM!</v>
      </c>
      <c r="AF57" s="5" t="e">
        <f t="shared" si="24"/>
        <v>#NUM!</v>
      </c>
      <c r="AG57" s="4">
        <f t="shared" si="36"/>
        <v>225</v>
      </c>
      <c r="AH57" s="8" t="e">
        <f t="shared" si="37"/>
        <v>#NUM!</v>
      </c>
      <c r="AI57" s="10" t="e">
        <f t="shared" si="38"/>
        <v>#NUM!</v>
      </c>
    </row>
    <row r="58" spans="1:35" ht="12.75">
      <c r="A58" s="111"/>
      <c r="B58" s="114"/>
      <c r="D58">
        <f t="shared" si="39"/>
        <v>2.25</v>
      </c>
      <c r="E58" s="4">
        <f t="shared" si="25"/>
        <v>99</v>
      </c>
      <c r="F58" s="15">
        <f t="shared" si="40"/>
        <v>5</v>
      </c>
      <c r="G58" s="15">
        <f t="shared" si="26"/>
        <v>11.25</v>
      </c>
      <c r="I58" s="15">
        <f t="shared" si="41"/>
        <v>0</v>
      </c>
      <c r="J58" s="15">
        <f t="shared" si="27"/>
        <v>0</v>
      </c>
      <c r="K58" s="15"/>
      <c r="L58" s="15">
        <f t="shared" si="28"/>
        <v>5</v>
      </c>
      <c r="M58" s="15">
        <f t="shared" si="29"/>
        <v>11.25</v>
      </c>
      <c r="O58" s="117"/>
      <c r="Q58">
        <f t="shared" si="30"/>
        <v>5.19</v>
      </c>
      <c r="R58" s="4">
        <f t="shared" si="31"/>
        <v>100.8244542698904</v>
      </c>
      <c r="T58" s="4">
        <f t="shared" si="32"/>
        <v>6.193228736581338</v>
      </c>
      <c r="X58" s="3" t="e">
        <f t="shared" si="33"/>
        <v>#NUM!</v>
      </c>
      <c r="AA58" s="1">
        <f t="shared" si="21"/>
        <v>9.510925348704763E-06</v>
      </c>
      <c r="AB58">
        <f t="shared" si="34"/>
        <v>0.533</v>
      </c>
      <c r="AC58">
        <f t="shared" si="35"/>
        <v>8</v>
      </c>
      <c r="AD58" s="8" t="e">
        <f t="shared" si="22"/>
        <v>#NUM!</v>
      </c>
      <c r="AE58" s="4" t="e">
        <f t="shared" si="23"/>
        <v>#NUM!</v>
      </c>
      <c r="AF58" s="5" t="e">
        <f t="shared" si="24"/>
        <v>#NUM!</v>
      </c>
      <c r="AG58" s="4">
        <f t="shared" si="36"/>
        <v>225</v>
      </c>
      <c r="AH58" s="8" t="e">
        <f t="shared" si="37"/>
        <v>#NUM!</v>
      </c>
      <c r="AI58" s="10" t="e">
        <f t="shared" si="38"/>
        <v>#NUM!</v>
      </c>
    </row>
    <row r="59" spans="1:35" ht="13.5" thickBot="1">
      <c r="A59" s="112"/>
      <c r="B59" s="115"/>
      <c r="D59">
        <f t="shared" si="39"/>
        <v>2.25</v>
      </c>
      <c r="E59" s="4">
        <f t="shared" si="25"/>
        <v>101.25</v>
      </c>
      <c r="F59" s="15">
        <f t="shared" si="40"/>
        <v>5</v>
      </c>
      <c r="G59" s="15">
        <f t="shared" si="26"/>
        <v>11.25</v>
      </c>
      <c r="I59" s="15">
        <f t="shared" si="41"/>
        <v>0</v>
      </c>
      <c r="J59" s="15">
        <f t="shared" si="27"/>
        <v>0</v>
      </c>
      <c r="K59" s="15"/>
      <c r="L59" s="15">
        <f t="shared" si="28"/>
        <v>5</v>
      </c>
      <c r="M59" s="15">
        <f t="shared" si="29"/>
        <v>11.25</v>
      </c>
      <c r="O59" s="118"/>
      <c r="Q59">
        <f t="shared" si="30"/>
        <v>5.19</v>
      </c>
      <c r="R59" s="4">
        <f t="shared" si="31"/>
        <v>101.17445426989039</v>
      </c>
      <c r="T59" s="4">
        <f t="shared" si="32"/>
        <v>6.193228736581338</v>
      </c>
      <c r="X59" s="3" t="e">
        <f t="shared" si="33"/>
        <v>#NUM!</v>
      </c>
      <c r="AA59" s="1">
        <f t="shared" si="21"/>
        <v>9.531737748704762E-06</v>
      </c>
      <c r="AB59">
        <f t="shared" si="34"/>
        <v>0.533</v>
      </c>
      <c r="AC59">
        <f t="shared" si="35"/>
        <v>8</v>
      </c>
      <c r="AD59" s="8" t="e">
        <f t="shared" si="22"/>
        <v>#NUM!</v>
      </c>
      <c r="AE59" s="4" t="e">
        <f t="shared" si="23"/>
        <v>#NUM!</v>
      </c>
      <c r="AF59" s="5" t="e">
        <f t="shared" si="24"/>
        <v>#NUM!</v>
      </c>
      <c r="AG59" s="4">
        <f t="shared" si="36"/>
        <v>225</v>
      </c>
      <c r="AH59" s="8" t="e">
        <f t="shared" si="37"/>
        <v>#NUM!</v>
      </c>
      <c r="AI59" s="10" t="e">
        <f t="shared" si="38"/>
        <v>#NUM!</v>
      </c>
    </row>
    <row r="60" spans="1:35" ht="12.75">
      <c r="A60" s="119" t="s">
        <v>45</v>
      </c>
      <c r="B60" s="113">
        <f>O60</f>
        <v>168.75</v>
      </c>
      <c r="D60">
        <f t="shared" si="39"/>
        <v>2.25</v>
      </c>
      <c r="E60" s="4">
        <f t="shared" si="25"/>
        <v>103.5</v>
      </c>
      <c r="F60" s="15">
        <f t="shared" si="40"/>
        <v>5</v>
      </c>
      <c r="G60" s="15">
        <f t="shared" si="26"/>
        <v>11.25</v>
      </c>
      <c r="I60" s="15">
        <f t="shared" si="41"/>
        <v>0</v>
      </c>
      <c r="J60" s="15">
        <f t="shared" si="27"/>
        <v>0</v>
      </c>
      <c r="K60" s="15"/>
      <c r="L60" s="15">
        <f t="shared" si="28"/>
        <v>5</v>
      </c>
      <c r="M60" s="15">
        <f t="shared" si="29"/>
        <v>11.25</v>
      </c>
      <c r="O60" s="116">
        <f>SUM(M60:M74)</f>
        <v>168.75</v>
      </c>
      <c r="Q60">
        <f t="shared" si="30"/>
        <v>5.19</v>
      </c>
      <c r="R60" s="4">
        <f t="shared" si="31"/>
        <v>101.52445426989038</v>
      </c>
      <c r="T60" s="4">
        <f t="shared" si="32"/>
        <v>6.193228736581338</v>
      </c>
      <c r="X60" s="3" t="e">
        <f t="shared" si="33"/>
        <v>#NUM!</v>
      </c>
      <c r="AA60" s="1">
        <f t="shared" si="21"/>
        <v>9.552550148704763E-06</v>
      </c>
      <c r="AB60">
        <f t="shared" si="34"/>
        <v>0.533</v>
      </c>
      <c r="AC60">
        <f t="shared" si="35"/>
        <v>8</v>
      </c>
      <c r="AD60" s="8" t="e">
        <f t="shared" si="22"/>
        <v>#NUM!</v>
      </c>
      <c r="AE60" s="4" t="e">
        <f t="shared" si="23"/>
        <v>#NUM!</v>
      </c>
      <c r="AF60" s="5" t="e">
        <f t="shared" si="24"/>
        <v>#NUM!</v>
      </c>
      <c r="AG60" s="4">
        <f t="shared" si="36"/>
        <v>225</v>
      </c>
      <c r="AH60" s="8" t="e">
        <f t="shared" si="37"/>
        <v>#NUM!</v>
      </c>
      <c r="AI60" s="10" t="e">
        <f t="shared" si="38"/>
        <v>#NUM!</v>
      </c>
    </row>
    <row r="61" spans="1:35" ht="12.75">
      <c r="A61" s="120"/>
      <c r="B61" s="114"/>
      <c r="D61">
        <f t="shared" si="39"/>
        <v>2.25</v>
      </c>
      <c r="E61" s="4">
        <f t="shared" si="25"/>
        <v>105.75</v>
      </c>
      <c r="F61" s="15">
        <f t="shared" si="40"/>
        <v>5</v>
      </c>
      <c r="G61" s="15">
        <f t="shared" si="26"/>
        <v>11.25</v>
      </c>
      <c r="I61" s="15">
        <f t="shared" si="41"/>
        <v>0</v>
      </c>
      <c r="J61" s="15">
        <f t="shared" si="27"/>
        <v>0</v>
      </c>
      <c r="K61" s="15"/>
      <c r="L61" s="15">
        <f t="shared" si="28"/>
        <v>5</v>
      </c>
      <c r="M61" s="15">
        <f t="shared" si="29"/>
        <v>11.25</v>
      </c>
      <c r="O61" s="117"/>
      <c r="Q61">
        <f t="shared" si="30"/>
        <v>5.19</v>
      </c>
      <c r="R61" s="4">
        <f t="shared" si="31"/>
        <v>101.87445426989038</v>
      </c>
      <c r="T61" s="4">
        <f t="shared" si="32"/>
        <v>6.193228736581338</v>
      </c>
      <c r="X61" s="3" t="e">
        <f t="shared" si="33"/>
        <v>#NUM!</v>
      </c>
      <c r="AA61" s="1">
        <f t="shared" si="21"/>
        <v>9.57336254870476E-06</v>
      </c>
      <c r="AB61">
        <f t="shared" si="34"/>
        <v>0.533</v>
      </c>
      <c r="AC61">
        <f t="shared" si="35"/>
        <v>8</v>
      </c>
      <c r="AD61" s="8" t="e">
        <f t="shared" si="22"/>
        <v>#NUM!</v>
      </c>
      <c r="AE61" s="4" t="e">
        <f t="shared" si="23"/>
        <v>#NUM!</v>
      </c>
      <c r="AF61" s="5" t="e">
        <f t="shared" si="24"/>
        <v>#NUM!</v>
      </c>
      <c r="AG61" s="4">
        <f t="shared" si="36"/>
        <v>225</v>
      </c>
      <c r="AH61" s="8" t="e">
        <f t="shared" si="37"/>
        <v>#NUM!</v>
      </c>
      <c r="AI61" s="10" t="e">
        <f t="shared" si="38"/>
        <v>#NUM!</v>
      </c>
    </row>
    <row r="62" spans="1:35" ht="12.75">
      <c r="A62" s="120"/>
      <c r="B62" s="114"/>
      <c r="D62">
        <f t="shared" si="39"/>
        <v>2.25</v>
      </c>
      <c r="E62" s="4">
        <f t="shared" si="25"/>
        <v>108</v>
      </c>
      <c r="F62" s="15">
        <f t="shared" si="40"/>
        <v>5</v>
      </c>
      <c r="G62" s="15">
        <f t="shared" si="26"/>
        <v>11.25</v>
      </c>
      <c r="I62" s="15">
        <f t="shared" si="41"/>
        <v>0</v>
      </c>
      <c r="J62" s="15">
        <f t="shared" si="27"/>
        <v>0</v>
      </c>
      <c r="K62" s="15"/>
      <c r="L62" s="15">
        <f t="shared" si="28"/>
        <v>5</v>
      </c>
      <c r="M62" s="15">
        <f t="shared" si="29"/>
        <v>11.25</v>
      </c>
      <c r="O62" s="117"/>
      <c r="Q62">
        <f t="shared" si="30"/>
        <v>5.19</v>
      </c>
      <c r="R62" s="4">
        <f t="shared" si="31"/>
        <v>102.22445426989037</v>
      </c>
      <c r="T62" s="4">
        <f t="shared" si="32"/>
        <v>6.193228736581338</v>
      </c>
      <c r="X62" s="3" t="e">
        <f t="shared" si="33"/>
        <v>#NUM!</v>
      </c>
      <c r="AA62" s="1">
        <f t="shared" si="21"/>
        <v>9.59417494870476E-06</v>
      </c>
      <c r="AB62">
        <f t="shared" si="34"/>
        <v>0.533</v>
      </c>
      <c r="AC62">
        <f t="shared" si="35"/>
        <v>8</v>
      </c>
      <c r="AD62" s="8" t="e">
        <f t="shared" si="22"/>
        <v>#NUM!</v>
      </c>
      <c r="AE62" s="4" t="e">
        <f t="shared" si="23"/>
        <v>#NUM!</v>
      </c>
      <c r="AF62" s="5" t="e">
        <f t="shared" si="24"/>
        <v>#NUM!</v>
      </c>
      <c r="AG62" s="4">
        <f t="shared" si="36"/>
        <v>225</v>
      </c>
      <c r="AH62" s="8" t="e">
        <f t="shared" si="37"/>
        <v>#NUM!</v>
      </c>
      <c r="AI62" s="10" t="e">
        <f t="shared" si="38"/>
        <v>#NUM!</v>
      </c>
    </row>
    <row r="63" spans="1:35" ht="12.75">
      <c r="A63" s="120"/>
      <c r="B63" s="114"/>
      <c r="D63">
        <f t="shared" si="39"/>
        <v>2.25</v>
      </c>
      <c r="E63" s="4">
        <f t="shared" si="25"/>
        <v>110.25</v>
      </c>
      <c r="F63" s="15">
        <f t="shared" si="40"/>
        <v>5</v>
      </c>
      <c r="G63" s="15">
        <f t="shared" si="26"/>
        <v>11.25</v>
      </c>
      <c r="I63" s="15">
        <f t="shared" si="41"/>
        <v>0</v>
      </c>
      <c r="J63" s="15">
        <f t="shared" si="27"/>
        <v>0</v>
      </c>
      <c r="K63" s="15"/>
      <c r="L63" s="15">
        <f t="shared" si="28"/>
        <v>5</v>
      </c>
      <c r="M63" s="15">
        <f t="shared" si="29"/>
        <v>11.25</v>
      </c>
      <c r="O63" s="117"/>
      <c r="Q63">
        <f t="shared" si="30"/>
        <v>5.19</v>
      </c>
      <c r="R63" s="4">
        <f t="shared" si="31"/>
        <v>102.57445426989037</v>
      </c>
      <c r="T63" s="4">
        <f t="shared" si="32"/>
        <v>6.193228736581338</v>
      </c>
      <c r="X63" s="3" t="e">
        <f t="shared" si="33"/>
        <v>#NUM!</v>
      </c>
      <c r="AA63" s="1">
        <f t="shared" si="21"/>
        <v>9.61498734870476E-06</v>
      </c>
      <c r="AB63">
        <f t="shared" si="34"/>
        <v>0.533</v>
      </c>
      <c r="AC63">
        <f t="shared" si="35"/>
        <v>8</v>
      </c>
      <c r="AD63" s="8" t="e">
        <f t="shared" si="22"/>
        <v>#NUM!</v>
      </c>
      <c r="AE63" s="4" t="e">
        <f t="shared" si="23"/>
        <v>#NUM!</v>
      </c>
      <c r="AF63" s="5" t="e">
        <f t="shared" si="24"/>
        <v>#NUM!</v>
      </c>
      <c r="AG63" s="4">
        <f t="shared" si="36"/>
        <v>225</v>
      </c>
      <c r="AH63" s="8" t="e">
        <f t="shared" si="37"/>
        <v>#NUM!</v>
      </c>
      <c r="AI63" s="10" t="e">
        <f t="shared" si="38"/>
        <v>#NUM!</v>
      </c>
    </row>
    <row r="64" spans="1:35" ht="12.75">
      <c r="A64" s="120"/>
      <c r="B64" s="114"/>
      <c r="D64">
        <f t="shared" si="39"/>
        <v>2.25</v>
      </c>
      <c r="E64" s="4">
        <f t="shared" si="25"/>
        <v>112.5</v>
      </c>
      <c r="F64" s="15">
        <f t="shared" si="40"/>
        <v>5</v>
      </c>
      <c r="G64" s="15">
        <f t="shared" si="26"/>
        <v>11.25</v>
      </c>
      <c r="I64" s="15">
        <f t="shared" si="41"/>
        <v>0</v>
      </c>
      <c r="J64" s="15">
        <f t="shared" si="27"/>
        <v>0</v>
      </c>
      <c r="K64" s="15"/>
      <c r="L64" s="15">
        <f t="shared" si="28"/>
        <v>5</v>
      </c>
      <c r="M64" s="15">
        <f t="shared" si="29"/>
        <v>11.25</v>
      </c>
      <c r="O64" s="117"/>
      <c r="Q64">
        <f t="shared" si="30"/>
        <v>5.19</v>
      </c>
      <c r="R64" s="4">
        <f t="shared" si="31"/>
        <v>102.92445426989036</v>
      </c>
      <c r="T64" s="4">
        <f t="shared" si="32"/>
        <v>6.193228736581338</v>
      </c>
      <c r="X64" s="3" t="e">
        <f t="shared" si="33"/>
        <v>#NUM!</v>
      </c>
      <c r="AA64" s="1">
        <f t="shared" si="21"/>
        <v>9.63579974870476E-06</v>
      </c>
      <c r="AB64">
        <f t="shared" si="34"/>
        <v>0.533</v>
      </c>
      <c r="AC64">
        <f t="shared" si="35"/>
        <v>8</v>
      </c>
      <c r="AD64" s="8" t="e">
        <f t="shared" si="22"/>
        <v>#NUM!</v>
      </c>
      <c r="AE64" s="4" t="e">
        <f t="shared" si="23"/>
        <v>#NUM!</v>
      </c>
      <c r="AF64" s="5" t="e">
        <f t="shared" si="24"/>
        <v>#NUM!</v>
      </c>
      <c r="AG64" s="4">
        <f t="shared" si="36"/>
        <v>225</v>
      </c>
      <c r="AH64" s="8" t="e">
        <f t="shared" si="37"/>
        <v>#NUM!</v>
      </c>
      <c r="AI64" s="10" t="e">
        <f t="shared" si="38"/>
        <v>#NUM!</v>
      </c>
    </row>
    <row r="65" spans="1:35" ht="12.75">
      <c r="A65" s="120"/>
      <c r="B65" s="114"/>
      <c r="D65">
        <f t="shared" si="39"/>
        <v>2.25</v>
      </c>
      <c r="E65" s="4">
        <f t="shared" si="25"/>
        <v>114.75</v>
      </c>
      <c r="F65" s="15">
        <f t="shared" si="40"/>
        <v>5</v>
      </c>
      <c r="G65" s="15">
        <f t="shared" si="26"/>
        <v>11.25</v>
      </c>
      <c r="I65" s="15">
        <f t="shared" si="41"/>
        <v>0</v>
      </c>
      <c r="J65" s="15">
        <f t="shared" si="27"/>
        <v>0</v>
      </c>
      <c r="K65" s="15"/>
      <c r="L65" s="15">
        <f t="shared" si="28"/>
        <v>5</v>
      </c>
      <c r="M65" s="15">
        <f t="shared" si="29"/>
        <v>11.25</v>
      </c>
      <c r="O65" s="117"/>
      <c r="Q65">
        <f t="shared" si="30"/>
        <v>5.19</v>
      </c>
      <c r="R65" s="4">
        <f t="shared" si="31"/>
        <v>103.27445426989036</v>
      </c>
      <c r="T65" s="4">
        <f t="shared" si="32"/>
        <v>6.193228736581338</v>
      </c>
      <c r="X65" s="3" t="e">
        <f t="shared" si="33"/>
        <v>#NUM!</v>
      </c>
      <c r="AA65" s="1">
        <f t="shared" si="21"/>
        <v>9.65661214870476E-06</v>
      </c>
      <c r="AB65">
        <f t="shared" si="34"/>
        <v>0.533</v>
      </c>
      <c r="AC65">
        <f t="shared" si="35"/>
        <v>8</v>
      </c>
      <c r="AD65" s="8" t="e">
        <f t="shared" si="22"/>
        <v>#NUM!</v>
      </c>
      <c r="AE65" s="4" t="e">
        <f t="shared" si="23"/>
        <v>#NUM!</v>
      </c>
      <c r="AF65" s="5" t="e">
        <f t="shared" si="24"/>
        <v>#NUM!</v>
      </c>
      <c r="AG65" s="4">
        <f t="shared" si="36"/>
        <v>225</v>
      </c>
      <c r="AH65" s="8" t="e">
        <f t="shared" si="37"/>
        <v>#NUM!</v>
      </c>
      <c r="AI65" s="10" t="e">
        <f t="shared" si="38"/>
        <v>#NUM!</v>
      </c>
    </row>
    <row r="66" spans="1:35" ht="12.75">
      <c r="A66" s="120"/>
      <c r="B66" s="114"/>
      <c r="D66">
        <f t="shared" si="39"/>
        <v>2.25</v>
      </c>
      <c r="E66" s="4">
        <f t="shared" si="25"/>
        <v>117</v>
      </c>
      <c r="F66" s="15">
        <f t="shared" si="40"/>
        <v>5</v>
      </c>
      <c r="G66" s="15">
        <f t="shared" si="26"/>
        <v>11.25</v>
      </c>
      <c r="I66" s="15">
        <f t="shared" si="41"/>
        <v>0</v>
      </c>
      <c r="J66" s="15">
        <f t="shared" si="27"/>
        <v>0</v>
      </c>
      <c r="K66" s="15"/>
      <c r="L66" s="15">
        <f t="shared" si="28"/>
        <v>5</v>
      </c>
      <c r="M66" s="15">
        <f t="shared" si="29"/>
        <v>11.25</v>
      </c>
      <c r="O66" s="117"/>
      <c r="Q66">
        <f t="shared" si="30"/>
        <v>5.19</v>
      </c>
      <c r="R66" s="4">
        <f t="shared" si="31"/>
        <v>103.62445426989035</v>
      </c>
      <c r="T66" s="4">
        <f t="shared" si="32"/>
        <v>6.193228736581338</v>
      </c>
      <c r="X66" s="3" t="e">
        <f t="shared" si="33"/>
        <v>#NUM!</v>
      </c>
      <c r="AA66" s="1">
        <f t="shared" si="21"/>
        <v>9.677424548704759E-06</v>
      </c>
      <c r="AB66">
        <f t="shared" si="34"/>
        <v>0.533</v>
      </c>
      <c r="AC66">
        <f t="shared" si="35"/>
        <v>8</v>
      </c>
      <c r="AD66" s="8" t="e">
        <f t="shared" si="22"/>
        <v>#NUM!</v>
      </c>
      <c r="AE66" s="4" t="e">
        <f t="shared" si="23"/>
        <v>#NUM!</v>
      </c>
      <c r="AF66" s="5" t="e">
        <f t="shared" si="24"/>
        <v>#NUM!</v>
      </c>
      <c r="AG66" s="4">
        <f t="shared" si="36"/>
        <v>225</v>
      </c>
      <c r="AH66" s="8" t="e">
        <f t="shared" si="37"/>
        <v>#NUM!</v>
      </c>
      <c r="AI66" s="10" t="e">
        <f t="shared" si="38"/>
        <v>#NUM!</v>
      </c>
    </row>
    <row r="67" spans="1:35" ht="12.75">
      <c r="A67" s="120"/>
      <c r="B67" s="114"/>
      <c r="D67">
        <f t="shared" si="39"/>
        <v>2.25</v>
      </c>
      <c r="E67" s="4">
        <f t="shared" si="25"/>
        <v>119.25</v>
      </c>
      <c r="F67" s="15">
        <f t="shared" si="40"/>
        <v>5</v>
      </c>
      <c r="G67" s="15">
        <f t="shared" si="26"/>
        <v>11.25</v>
      </c>
      <c r="I67" s="15">
        <f t="shared" si="41"/>
        <v>0</v>
      </c>
      <c r="J67" s="15">
        <f t="shared" si="27"/>
        <v>0</v>
      </c>
      <c r="K67" s="15"/>
      <c r="L67" s="15">
        <f t="shared" si="28"/>
        <v>5</v>
      </c>
      <c r="M67" s="15">
        <f t="shared" si="29"/>
        <v>11.25</v>
      </c>
      <c r="O67" s="117"/>
      <c r="Q67">
        <f t="shared" si="30"/>
        <v>5.19</v>
      </c>
      <c r="R67" s="4">
        <f t="shared" si="31"/>
        <v>103.97445426989034</v>
      </c>
      <c r="T67" s="4">
        <f t="shared" si="32"/>
        <v>6.193228736581338</v>
      </c>
      <c r="X67" s="3" t="e">
        <f t="shared" si="33"/>
        <v>#NUM!</v>
      </c>
      <c r="AA67" s="1">
        <f t="shared" si="21"/>
        <v>9.698236948704758E-06</v>
      </c>
      <c r="AB67">
        <f t="shared" si="34"/>
        <v>0.533</v>
      </c>
      <c r="AC67">
        <f t="shared" si="35"/>
        <v>8</v>
      </c>
      <c r="AD67" s="8" t="e">
        <f t="shared" si="22"/>
        <v>#NUM!</v>
      </c>
      <c r="AE67" s="4" t="e">
        <f t="shared" si="23"/>
        <v>#NUM!</v>
      </c>
      <c r="AF67" s="5" t="e">
        <f t="shared" si="24"/>
        <v>#NUM!</v>
      </c>
      <c r="AG67" s="4">
        <f t="shared" si="36"/>
        <v>225</v>
      </c>
      <c r="AH67" s="8" t="e">
        <f t="shared" si="37"/>
        <v>#NUM!</v>
      </c>
      <c r="AI67" s="10" t="e">
        <f t="shared" si="38"/>
        <v>#NUM!</v>
      </c>
    </row>
    <row r="68" spans="1:35" ht="12.75">
      <c r="A68" s="120"/>
      <c r="B68" s="114"/>
      <c r="D68">
        <f t="shared" si="39"/>
        <v>2.25</v>
      </c>
      <c r="E68" s="4">
        <f t="shared" si="25"/>
        <v>121.5</v>
      </c>
      <c r="F68" s="15">
        <f t="shared" si="40"/>
        <v>5</v>
      </c>
      <c r="G68" s="15">
        <f t="shared" si="26"/>
        <v>11.25</v>
      </c>
      <c r="I68" s="15">
        <f t="shared" si="41"/>
        <v>0</v>
      </c>
      <c r="J68" s="15">
        <f t="shared" si="27"/>
        <v>0</v>
      </c>
      <c r="K68" s="15"/>
      <c r="L68" s="15">
        <f t="shared" si="28"/>
        <v>5</v>
      </c>
      <c r="M68" s="15">
        <f t="shared" si="29"/>
        <v>11.25</v>
      </c>
      <c r="O68" s="117"/>
      <c r="Q68">
        <f t="shared" si="30"/>
        <v>5.19</v>
      </c>
      <c r="R68" s="4">
        <f t="shared" si="31"/>
        <v>104.32445426989034</v>
      </c>
      <c r="T68" s="4">
        <f t="shared" si="32"/>
        <v>6.193228736581338</v>
      </c>
      <c r="X68" s="3" t="e">
        <f t="shared" si="33"/>
        <v>#NUM!</v>
      </c>
      <c r="AA68" s="1">
        <f t="shared" si="21"/>
        <v>9.719049348704759E-06</v>
      </c>
      <c r="AB68">
        <f t="shared" si="34"/>
        <v>0.533</v>
      </c>
      <c r="AC68">
        <f t="shared" si="35"/>
        <v>8</v>
      </c>
      <c r="AD68" s="8" t="e">
        <f t="shared" si="22"/>
        <v>#NUM!</v>
      </c>
      <c r="AE68" s="4" t="e">
        <f t="shared" si="23"/>
        <v>#NUM!</v>
      </c>
      <c r="AF68" s="5" t="e">
        <f t="shared" si="24"/>
        <v>#NUM!</v>
      </c>
      <c r="AG68" s="4">
        <f t="shared" si="36"/>
        <v>225</v>
      </c>
      <c r="AH68" s="8" t="e">
        <f t="shared" si="37"/>
        <v>#NUM!</v>
      </c>
      <c r="AI68" s="10" t="e">
        <f t="shared" si="38"/>
        <v>#NUM!</v>
      </c>
    </row>
    <row r="69" spans="1:35" ht="12.75">
      <c r="A69" s="120"/>
      <c r="B69" s="114"/>
      <c r="D69">
        <f t="shared" si="39"/>
        <v>2.25</v>
      </c>
      <c r="E69" s="4">
        <f t="shared" si="25"/>
        <v>123.75</v>
      </c>
      <c r="F69" s="15">
        <f t="shared" si="40"/>
        <v>5</v>
      </c>
      <c r="G69" s="15">
        <f t="shared" si="26"/>
        <v>11.25</v>
      </c>
      <c r="I69" s="15">
        <f t="shared" si="41"/>
        <v>0</v>
      </c>
      <c r="J69" s="15">
        <f t="shared" si="27"/>
        <v>0</v>
      </c>
      <c r="K69" s="15"/>
      <c r="L69" s="15">
        <f t="shared" si="28"/>
        <v>5</v>
      </c>
      <c r="M69" s="15">
        <f t="shared" si="29"/>
        <v>11.25</v>
      </c>
      <c r="O69" s="117"/>
      <c r="Q69">
        <f t="shared" si="30"/>
        <v>5.19</v>
      </c>
      <c r="R69" s="4">
        <f t="shared" si="31"/>
        <v>104.67445426989033</v>
      </c>
      <c r="T69" s="4">
        <f t="shared" si="32"/>
        <v>6.193228736581338</v>
      </c>
      <c r="X69" s="3" t="e">
        <f t="shared" si="33"/>
        <v>#NUM!</v>
      </c>
      <c r="AA69" s="1">
        <f t="shared" si="21"/>
        <v>9.739861748704758E-06</v>
      </c>
      <c r="AB69">
        <f t="shared" si="34"/>
        <v>0.533</v>
      </c>
      <c r="AC69">
        <f t="shared" si="35"/>
        <v>8</v>
      </c>
      <c r="AD69" s="8" t="e">
        <f t="shared" si="22"/>
        <v>#NUM!</v>
      </c>
      <c r="AE69" s="4" t="e">
        <f t="shared" si="23"/>
        <v>#NUM!</v>
      </c>
      <c r="AF69" s="5" t="e">
        <f t="shared" si="24"/>
        <v>#NUM!</v>
      </c>
      <c r="AG69" s="4">
        <f t="shared" si="36"/>
        <v>225</v>
      </c>
      <c r="AH69" s="8" t="e">
        <f t="shared" si="37"/>
        <v>#NUM!</v>
      </c>
      <c r="AI69" s="10" t="e">
        <f t="shared" si="38"/>
        <v>#NUM!</v>
      </c>
    </row>
    <row r="70" spans="1:35" ht="12.75">
      <c r="A70" s="120"/>
      <c r="B70" s="114"/>
      <c r="D70">
        <f t="shared" si="39"/>
        <v>2.25</v>
      </c>
      <c r="E70" s="4">
        <f t="shared" si="25"/>
        <v>126</v>
      </c>
      <c r="F70" s="15">
        <f t="shared" si="40"/>
        <v>5</v>
      </c>
      <c r="G70" s="15">
        <f t="shared" si="26"/>
        <v>11.25</v>
      </c>
      <c r="I70" s="15">
        <f t="shared" si="41"/>
        <v>0</v>
      </c>
      <c r="J70" s="15">
        <f t="shared" si="27"/>
        <v>0</v>
      </c>
      <c r="K70" s="15"/>
      <c r="L70" s="15">
        <f t="shared" si="28"/>
        <v>5</v>
      </c>
      <c r="M70" s="15">
        <f t="shared" si="29"/>
        <v>11.25</v>
      </c>
      <c r="O70" s="117"/>
      <c r="Q70">
        <f t="shared" si="30"/>
        <v>5.19</v>
      </c>
      <c r="R70" s="4">
        <f t="shared" si="31"/>
        <v>105.02445426989033</v>
      </c>
      <c r="T70" s="4">
        <f t="shared" si="32"/>
        <v>6.193228736581338</v>
      </c>
      <c r="X70" s="3" t="e">
        <f t="shared" si="33"/>
        <v>#NUM!</v>
      </c>
      <c r="AA70" s="1">
        <f t="shared" si="21"/>
        <v>9.760674148704759E-06</v>
      </c>
      <c r="AB70">
        <f t="shared" si="34"/>
        <v>0.533</v>
      </c>
      <c r="AC70">
        <f t="shared" si="35"/>
        <v>8</v>
      </c>
      <c r="AD70" s="8" t="e">
        <f t="shared" si="22"/>
        <v>#NUM!</v>
      </c>
      <c r="AE70" s="4" t="e">
        <f t="shared" si="23"/>
        <v>#NUM!</v>
      </c>
      <c r="AF70" s="5" t="e">
        <f t="shared" si="24"/>
        <v>#NUM!</v>
      </c>
      <c r="AG70" s="4">
        <f t="shared" si="36"/>
        <v>225</v>
      </c>
      <c r="AH70" s="8" t="e">
        <f t="shared" si="37"/>
        <v>#NUM!</v>
      </c>
      <c r="AI70" s="10" t="e">
        <f t="shared" si="38"/>
        <v>#NUM!</v>
      </c>
    </row>
    <row r="71" spans="1:35" ht="12.75">
      <c r="A71" s="120"/>
      <c r="B71" s="114"/>
      <c r="D71">
        <f t="shared" si="39"/>
        <v>2.25</v>
      </c>
      <c r="E71" s="4">
        <f t="shared" si="25"/>
        <v>128.25</v>
      </c>
      <c r="F71" s="15">
        <f t="shared" si="40"/>
        <v>5</v>
      </c>
      <c r="G71" s="15">
        <f t="shared" si="26"/>
        <v>11.25</v>
      </c>
      <c r="I71" s="15">
        <f t="shared" si="41"/>
        <v>0</v>
      </c>
      <c r="J71" s="15">
        <f t="shared" si="27"/>
        <v>0</v>
      </c>
      <c r="K71" s="15"/>
      <c r="L71" s="15">
        <f t="shared" si="28"/>
        <v>5</v>
      </c>
      <c r="M71" s="15">
        <f t="shared" si="29"/>
        <v>11.25</v>
      </c>
      <c r="O71" s="117"/>
      <c r="Q71">
        <f t="shared" si="30"/>
        <v>5.19</v>
      </c>
      <c r="R71" s="4">
        <f t="shared" si="31"/>
        <v>105.37445426989032</v>
      </c>
      <c r="T71" s="4">
        <f t="shared" si="32"/>
        <v>6.193228736581338</v>
      </c>
      <c r="X71" s="3" t="e">
        <f t="shared" si="33"/>
        <v>#NUM!</v>
      </c>
      <c r="AA71" s="1">
        <f t="shared" si="21"/>
        <v>9.781486548704758E-06</v>
      </c>
      <c r="AB71">
        <f t="shared" si="34"/>
        <v>0.533</v>
      </c>
      <c r="AC71">
        <f t="shared" si="35"/>
        <v>8</v>
      </c>
      <c r="AD71" s="8" t="e">
        <f t="shared" si="22"/>
        <v>#NUM!</v>
      </c>
      <c r="AE71" s="4" t="e">
        <f t="shared" si="23"/>
        <v>#NUM!</v>
      </c>
      <c r="AF71" s="5" t="e">
        <f t="shared" si="24"/>
        <v>#NUM!</v>
      </c>
      <c r="AG71" s="4">
        <f t="shared" si="36"/>
        <v>225</v>
      </c>
      <c r="AH71" s="8" t="e">
        <f t="shared" si="37"/>
        <v>#NUM!</v>
      </c>
      <c r="AI71" s="10" t="e">
        <f t="shared" si="38"/>
        <v>#NUM!</v>
      </c>
    </row>
    <row r="72" spans="1:35" ht="12.75">
      <c r="A72" s="120"/>
      <c r="B72" s="114"/>
      <c r="D72">
        <f t="shared" si="39"/>
        <v>2.25</v>
      </c>
      <c r="E72" s="4">
        <f t="shared" si="25"/>
        <v>130.5</v>
      </c>
      <c r="F72" s="15">
        <f t="shared" si="40"/>
        <v>5</v>
      </c>
      <c r="G72" s="15">
        <f t="shared" si="26"/>
        <v>11.25</v>
      </c>
      <c r="I72" s="15">
        <f t="shared" si="41"/>
        <v>0</v>
      </c>
      <c r="J72" s="15">
        <f t="shared" si="27"/>
        <v>0</v>
      </c>
      <c r="K72" s="15"/>
      <c r="L72" s="15">
        <f t="shared" si="28"/>
        <v>5</v>
      </c>
      <c r="M72" s="15">
        <f t="shared" si="29"/>
        <v>11.25</v>
      </c>
      <c r="O72" s="117"/>
      <c r="Q72">
        <f t="shared" si="30"/>
        <v>5.19</v>
      </c>
      <c r="R72" s="4">
        <f t="shared" si="31"/>
        <v>105.72445426989032</v>
      </c>
      <c r="T72" s="4">
        <f t="shared" si="32"/>
        <v>6.193228736581338</v>
      </c>
      <c r="X72" s="3" t="e">
        <f t="shared" si="33"/>
        <v>#NUM!</v>
      </c>
      <c r="AA72" s="1">
        <f t="shared" si="21"/>
        <v>9.802298948704757E-06</v>
      </c>
      <c r="AB72">
        <f t="shared" si="34"/>
        <v>0.533</v>
      </c>
      <c r="AC72">
        <f t="shared" si="35"/>
        <v>8</v>
      </c>
      <c r="AD72" s="8" t="e">
        <f t="shared" si="22"/>
        <v>#NUM!</v>
      </c>
      <c r="AE72" s="4" t="e">
        <f t="shared" si="23"/>
        <v>#NUM!</v>
      </c>
      <c r="AF72" s="5" t="e">
        <f t="shared" si="24"/>
        <v>#NUM!</v>
      </c>
      <c r="AG72" s="4">
        <f t="shared" si="36"/>
        <v>225</v>
      </c>
      <c r="AH72" s="8" t="e">
        <f t="shared" si="37"/>
        <v>#NUM!</v>
      </c>
      <c r="AI72" s="10" t="e">
        <f t="shared" si="38"/>
        <v>#NUM!</v>
      </c>
    </row>
    <row r="73" spans="1:35" ht="12.75">
      <c r="A73" s="120"/>
      <c r="B73" s="114"/>
      <c r="D73">
        <f t="shared" si="39"/>
        <v>2.25</v>
      </c>
      <c r="E73" s="4">
        <f t="shared" si="25"/>
        <v>132.75</v>
      </c>
      <c r="F73" s="15">
        <f t="shared" si="40"/>
        <v>5</v>
      </c>
      <c r="G73" s="15">
        <f t="shared" si="26"/>
        <v>11.25</v>
      </c>
      <c r="I73" s="15">
        <f t="shared" si="41"/>
        <v>0</v>
      </c>
      <c r="J73" s="15">
        <f t="shared" si="27"/>
        <v>0</v>
      </c>
      <c r="K73" s="15"/>
      <c r="L73" s="15">
        <f t="shared" si="28"/>
        <v>5</v>
      </c>
      <c r="M73" s="15">
        <f t="shared" si="29"/>
        <v>11.25</v>
      </c>
      <c r="O73" s="117"/>
      <c r="Q73">
        <f t="shared" si="30"/>
        <v>5.19</v>
      </c>
      <c r="R73" s="4">
        <f t="shared" si="31"/>
        <v>106.07445426989031</v>
      </c>
      <c r="T73" s="4">
        <f t="shared" si="32"/>
        <v>6.193228736581338</v>
      </c>
      <c r="X73" s="3" t="e">
        <f t="shared" si="33"/>
        <v>#NUM!</v>
      </c>
      <c r="AA73" s="1">
        <f t="shared" si="21"/>
        <v>9.823111348704758E-06</v>
      </c>
      <c r="AB73">
        <f t="shared" si="34"/>
        <v>0.533</v>
      </c>
      <c r="AC73">
        <f t="shared" si="35"/>
        <v>8</v>
      </c>
      <c r="AD73" s="8" t="e">
        <f t="shared" si="22"/>
        <v>#NUM!</v>
      </c>
      <c r="AE73" s="4" t="e">
        <f t="shared" si="23"/>
        <v>#NUM!</v>
      </c>
      <c r="AF73" s="5" t="e">
        <f t="shared" si="24"/>
        <v>#NUM!</v>
      </c>
      <c r="AG73" s="4">
        <f t="shared" si="36"/>
        <v>225</v>
      </c>
      <c r="AH73" s="8" t="e">
        <f t="shared" si="37"/>
        <v>#NUM!</v>
      </c>
      <c r="AI73" s="10" t="e">
        <f t="shared" si="38"/>
        <v>#NUM!</v>
      </c>
    </row>
    <row r="74" spans="1:35" ht="13.5" thickBot="1">
      <c r="A74" s="100"/>
      <c r="B74" s="115"/>
      <c r="D74">
        <f t="shared" si="39"/>
        <v>2.25</v>
      </c>
      <c r="E74" s="4">
        <f t="shared" si="25"/>
        <v>135</v>
      </c>
      <c r="F74" s="15">
        <f t="shared" si="40"/>
        <v>5</v>
      </c>
      <c r="G74" s="15">
        <f t="shared" si="26"/>
        <v>11.25</v>
      </c>
      <c r="I74" s="15">
        <f t="shared" si="41"/>
        <v>0</v>
      </c>
      <c r="J74" s="15">
        <f t="shared" si="27"/>
        <v>0</v>
      </c>
      <c r="K74" s="15"/>
      <c r="L74" s="15">
        <f t="shared" si="28"/>
        <v>5</v>
      </c>
      <c r="M74" s="15">
        <f t="shared" si="29"/>
        <v>11.25</v>
      </c>
      <c r="O74" s="118"/>
      <c r="Q74">
        <f t="shared" si="30"/>
        <v>5.19</v>
      </c>
      <c r="R74" s="4">
        <f t="shared" si="31"/>
        <v>106.4244542698903</v>
      </c>
      <c r="T74" s="4">
        <f t="shared" si="32"/>
        <v>6.193228736581338</v>
      </c>
      <c r="X74" s="3" t="e">
        <f t="shared" si="33"/>
        <v>#NUM!</v>
      </c>
      <c r="AA74" s="1">
        <f t="shared" si="21"/>
        <v>9.843923748704757E-06</v>
      </c>
      <c r="AB74">
        <f t="shared" si="34"/>
        <v>0.533</v>
      </c>
      <c r="AC74">
        <f t="shared" si="35"/>
        <v>8</v>
      </c>
      <c r="AD74" s="8" t="e">
        <f t="shared" si="22"/>
        <v>#NUM!</v>
      </c>
      <c r="AE74" s="4" t="e">
        <f t="shared" si="23"/>
        <v>#NUM!</v>
      </c>
      <c r="AF74" s="5" t="e">
        <f t="shared" si="24"/>
        <v>#NUM!</v>
      </c>
      <c r="AG74" s="4">
        <f t="shared" si="36"/>
        <v>225</v>
      </c>
      <c r="AH74" s="8" t="e">
        <f t="shared" si="37"/>
        <v>#NUM!</v>
      </c>
      <c r="AI74" s="10" t="e">
        <f t="shared" si="38"/>
        <v>#NUM!</v>
      </c>
    </row>
    <row r="75" spans="1:35" ht="13.5" thickBot="1">
      <c r="A75" s="20" t="s">
        <v>46</v>
      </c>
      <c r="AB75" t="s">
        <v>40</v>
      </c>
      <c r="AH75" s="3" t="e">
        <f>0.1*(X74*AD74^2)/2</f>
        <v>#NUM!</v>
      </c>
      <c r="AI75" s="10" t="e">
        <f t="shared" si="38"/>
        <v>#NUM!</v>
      </c>
    </row>
    <row r="77" spans="1:34" ht="12.75">
      <c r="A77" t="s">
        <v>53</v>
      </c>
      <c r="B77" s="15">
        <f>B60+B45+B30+B15</f>
        <v>675</v>
      </c>
      <c r="C77" t="s">
        <v>35</v>
      </c>
      <c r="N77" t="s">
        <v>39</v>
      </c>
      <c r="O77" s="15">
        <f>O60+O45+O30+O15</f>
        <v>675</v>
      </c>
      <c r="P77" t="s">
        <v>35</v>
      </c>
      <c r="AG77" s="6" t="s">
        <v>66</v>
      </c>
      <c r="AH77" s="11" t="e">
        <f>SUM(AH15:AH75)</f>
        <v>#NUM!</v>
      </c>
    </row>
    <row r="78" spans="33:34" ht="12.75">
      <c r="AG78" s="25" t="s">
        <v>67</v>
      </c>
      <c r="AH78" s="26" t="e">
        <f>AH77/100000</f>
        <v>#NUM!</v>
      </c>
    </row>
    <row r="79" spans="33:34" ht="12.75">
      <c r="AG79" s="6"/>
      <c r="AH79" s="11"/>
    </row>
    <row r="80" spans="29:36" ht="12.75">
      <c r="AC80" s="12"/>
      <c r="AD80" s="12" t="s">
        <v>212</v>
      </c>
      <c r="AE80" s="12"/>
      <c r="AF80" s="12"/>
      <c r="AG80" s="23"/>
      <c r="AH80" s="71">
        <f>R74-'Supply helium'!P88</f>
        <v>29.819999999999993</v>
      </c>
      <c r="AI80" s="23"/>
      <c r="AJ80" s="24"/>
    </row>
    <row r="103" spans="4:10" ht="12.75">
      <c r="D103" t="s">
        <v>153</v>
      </c>
      <c r="I103" s="40">
        <f>'Thermal shield'!R174</f>
        <v>85.52757562313344</v>
      </c>
      <c r="J103" t="s">
        <v>89</v>
      </c>
    </row>
    <row r="104" spans="4:10" ht="12.75">
      <c r="D104" t="s">
        <v>152</v>
      </c>
      <c r="I104" s="40">
        <f>'Thermal shield'!AI175</f>
        <v>19.027321352606062</v>
      </c>
      <c r="J104" s="3" t="s">
        <v>70</v>
      </c>
    </row>
    <row r="105" spans="4:32" ht="18">
      <c r="D105" t="s">
        <v>90</v>
      </c>
      <c r="P105" s="14" t="s">
        <v>92</v>
      </c>
      <c r="AF105" t="s">
        <v>0</v>
      </c>
    </row>
    <row r="106" spans="16:32" ht="18">
      <c r="P106" s="14" t="s">
        <v>93</v>
      </c>
      <c r="AF106" s="13">
        <v>36547</v>
      </c>
    </row>
    <row r="107" spans="6:14" ht="12.75">
      <c r="F107" t="s">
        <v>91</v>
      </c>
      <c r="I107" s="21">
        <v>19</v>
      </c>
      <c r="J107" t="s">
        <v>89</v>
      </c>
      <c r="L107" t="s">
        <v>156</v>
      </c>
      <c r="M107" s="4">
        <f>AH178</f>
        <v>1.7764184193698063</v>
      </c>
      <c r="N107" t="s">
        <v>70</v>
      </c>
    </row>
    <row r="108" spans="6:24" ht="12.75">
      <c r="F108" t="s">
        <v>59</v>
      </c>
      <c r="H108" t="s">
        <v>60</v>
      </c>
      <c r="I108" s="70">
        <f>'Cryo Power'!E24/2</f>
        <v>6.25</v>
      </c>
      <c r="J108" t="s">
        <v>155</v>
      </c>
      <c r="L108" s="3"/>
      <c r="O108" s="22"/>
      <c r="P108" s="22"/>
      <c r="Q108" s="22"/>
      <c r="R108" s="22" t="s">
        <v>94</v>
      </c>
      <c r="S108" s="22"/>
      <c r="T108" s="22"/>
      <c r="U108" s="22"/>
      <c r="V108" s="22"/>
      <c r="W108" s="22"/>
      <c r="X108" s="22"/>
    </row>
    <row r="109" spans="2:32" ht="12.75">
      <c r="B109" t="s">
        <v>64</v>
      </c>
      <c r="F109" t="s">
        <v>84</v>
      </c>
      <c r="H109" t="s">
        <v>85</v>
      </c>
      <c r="I109" s="17">
        <v>0.533</v>
      </c>
      <c r="J109" t="s">
        <v>86</v>
      </c>
      <c r="AF109" t="s">
        <v>27</v>
      </c>
    </row>
    <row r="110" spans="2:35" ht="12.75">
      <c r="B110" t="s">
        <v>65</v>
      </c>
      <c r="F110" t="s">
        <v>61</v>
      </c>
      <c r="H110" t="s">
        <v>62</v>
      </c>
      <c r="I110" s="40">
        <f>'Cryo Power'!E29</f>
        <v>135</v>
      </c>
      <c r="J110" t="s">
        <v>63</v>
      </c>
      <c r="O110" t="s">
        <v>30</v>
      </c>
      <c r="R110" t="s">
        <v>97</v>
      </c>
      <c r="X110" s="16" t="s">
        <v>96</v>
      </c>
      <c r="Y110" s="16"/>
      <c r="Z110" s="16"/>
      <c r="AA110" s="16" t="s">
        <v>96</v>
      </c>
      <c r="AC110" s="16" t="s">
        <v>54</v>
      </c>
      <c r="AD110" s="19" t="s">
        <v>79</v>
      </c>
      <c r="AF110" t="s">
        <v>58</v>
      </c>
      <c r="AH110" s="5"/>
      <c r="AI110" s="5"/>
    </row>
    <row r="111" spans="1:35" ht="12.75">
      <c r="A111" s="2"/>
      <c r="B111" t="s">
        <v>29</v>
      </c>
      <c r="D111" s="2" t="s">
        <v>24</v>
      </c>
      <c r="E111" s="2"/>
      <c r="F111" s="2"/>
      <c r="G111" s="2"/>
      <c r="L111" s="2"/>
      <c r="M111" t="s">
        <v>30</v>
      </c>
      <c r="O111" t="s">
        <v>38</v>
      </c>
      <c r="Q111" s="2" t="s">
        <v>95</v>
      </c>
      <c r="R111" t="s">
        <v>98</v>
      </c>
      <c r="T111" s="2" t="s">
        <v>4</v>
      </c>
      <c r="X111" s="16" t="s">
        <v>73</v>
      </c>
      <c r="AA111" s="2" t="s">
        <v>100</v>
      </c>
      <c r="AB111" s="2" t="s">
        <v>7</v>
      </c>
      <c r="AC111" s="16" t="s">
        <v>55</v>
      </c>
      <c r="AD111" s="19" t="s">
        <v>80</v>
      </c>
      <c r="AE111" s="2" t="s">
        <v>8</v>
      </c>
      <c r="AF111" s="2" t="s">
        <v>9</v>
      </c>
      <c r="AG111" s="2" t="s">
        <v>10</v>
      </c>
      <c r="AH111" s="7" t="s">
        <v>11</v>
      </c>
      <c r="AI111" s="7" t="s">
        <v>71</v>
      </c>
    </row>
    <row r="112" spans="1:35" ht="12.75">
      <c r="A112" s="2"/>
      <c r="B112" s="2" t="s">
        <v>51</v>
      </c>
      <c r="D112" s="2" t="s">
        <v>25</v>
      </c>
      <c r="F112" s="2" t="s">
        <v>48</v>
      </c>
      <c r="G112" s="16" t="s">
        <v>48</v>
      </c>
      <c r="H112" s="2"/>
      <c r="I112" s="2" t="s">
        <v>34</v>
      </c>
      <c r="J112" s="2" t="s">
        <v>36</v>
      </c>
      <c r="L112" t="s">
        <v>30</v>
      </c>
      <c r="M112" t="s">
        <v>31</v>
      </c>
      <c r="O112" t="s">
        <v>50</v>
      </c>
      <c r="Q112" s="2" t="s">
        <v>123</v>
      </c>
      <c r="R112" t="s">
        <v>99</v>
      </c>
      <c r="T112" s="2" t="s">
        <v>15</v>
      </c>
      <c r="X112" s="2" t="s">
        <v>16</v>
      </c>
      <c r="AA112" s="2" t="s">
        <v>17</v>
      </c>
      <c r="AB112" s="2" t="s">
        <v>18</v>
      </c>
      <c r="AC112" s="16" t="s">
        <v>56</v>
      </c>
      <c r="AD112" s="7" t="s">
        <v>19</v>
      </c>
      <c r="AE112" s="2"/>
      <c r="AF112" s="2"/>
      <c r="AG112" s="2" t="s">
        <v>18</v>
      </c>
      <c r="AH112" s="7" t="s">
        <v>20</v>
      </c>
      <c r="AI112" s="7" t="s">
        <v>72</v>
      </c>
    </row>
    <row r="113" spans="1:35" ht="13.5" thickBot="1">
      <c r="A113" s="2"/>
      <c r="B113" s="2"/>
      <c r="D113" t="s">
        <v>26</v>
      </c>
      <c r="E113" s="2" t="s">
        <v>23</v>
      </c>
      <c r="F113" s="2" t="s">
        <v>33</v>
      </c>
      <c r="G113" s="16" t="s">
        <v>32</v>
      </c>
      <c r="H113" s="2"/>
      <c r="I113" s="2" t="s">
        <v>33</v>
      </c>
      <c r="J113" s="2" t="s">
        <v>37</v>
      </c>
      <c r="L113" t="s">
        <v>33</v>
      </c>
      <c r="M113" s="2" t="s">
        <v>37</v>
      </c>
      <c r="O113" s="2" t="s">
        <v>51</v>
      </c>
      <c r="Q113" s="2"/>
      <c r="T113" s="2"/>
      <c r="X113" s="2"/>
      <c r="AA113" s="2"/>
      <c r="AB113" s="2"/>
      <c r="AC113" s="2"/>
      <c r="AD113" s="7"/>
      <c r="AE113" s="2"/>
      <c r="AF113" s="2"/>
      <c r="AG113" s="2"/>
      <c r="AH113" s="7"/>
      <c r="AI113" s="7"/>
    </row>
    <row r="114" spans="1:35" ht="13.5" thickBot="1">
      <c r="A114" s="20" t="s">
        <v>47</v>
      </c>
      <c r="B114" s="15"/>
      <c r="D114">
        <v>0</v>
      </c>
      <c r="E114" s="4">
        <v>0</v>
      </c>
      <c r="F114" s="15">
        <v>0</v>
      </c>
      <c r="G114" s="15">
        <v>0</v>
      </c>
      <c r="I114" s="15"/>
      <c r="L114">
        <v>0</v>
      </c>
      <c r="M114" s="15">
        <v>0</v>
      </c>
      <c r="O114" s="15"/>
      <c r="Q114">
        <v>5.19</v>
      </c>
      <c r="R114" s="4">
        <f>I103</f>
        <v>85.52757562313344</v>
      </c>
      <c r="T114" s="4">
        <f>O177/(Q114*I107)</f>
        <v>8.556434438697899</v>
      </c>
      <c r="X114" s="3">
        <f>0.00096*(100/R114)*(AI114/2)</f>
        <v>0.010678560900047998</v>
      </c>
      <c r="AA114" s="1">
        <f aca="true" t="shared" si="42" ref="AA114:AA174">(3.5155+0.059464*R114)*10^-6</f>
        <v>8.601311756854008E-06</v>
      </c>
      <c r="AB114" s="27">
        <f>I109</f>
        <v>0.533</v>
      </c>
      <c r="AC114" s="18">
        <v>5</v>
      </c>
      <c r="AD114" s="8">
        <f aca="true" t="shared" si="43" ref="AD114:AD174">4*T114/(X114*3.14159*AB114^2*AC114)</f>
        <v>718.2343328630476</v>
      </c>
      <c r="AE114" s="4">
        <f aca="true" t="shared" si="44" ref="AE114:AE174">X114*AD114*AB114/AA114/10</f>
        <v>47527.110360180115</v>
      </c>
      <c r="AF114" s="5">
        <f aca="true" t="shared" si="45" ref="AF114:AF174">4*(0.0791/AE114^0.25)</f>
        <v>0.021428961388058762</v>
      </c>
      <c r="AG114" s="4">
        <v>0</v>
      </c>
      <c r="AH114" s="10">
        <f>AF114*AG114/(AB114)*(V114*AD114^2/2)*0.1</f>
        <v>0</v>
      </c>
      <c r="AI114" s="10">
        <f>I104</f>
        <v>19.027321352606062</v>
      </c>
    </row>
    <row r="115" spans="1:35" ht="12.75">
      <c r="A115" s="108" t="s">
        <v>42</v>
      </c>
      <c r="B115" s="113">
        <f>O115</f>
        <v>210.9375</v>
      </c>
      <c r="D115">
        <f>I110/60</f>
        <v>2.25</v>
      </c>
      <c r="E115" s="4">
        <f aca="true" t="shared" si="46" ref="E115:E174">E114+D115</f>
        <v>2.25</v>
      </c>
      <c r="F115" s="15">
        <f>I108</f>
        <v>6.25</v>
      </c>
      <c r="G115" s="15">
        <f aca="true" t="shared" si="47" ref="G115:G174">F115*D115</f>
        <v>14.0625</v>
      </c>
      <c r="I115" s="15">
        <v>0</v>
      </c>
      <c r="J115" s="15">
        <f aca="true" t="shared" si="48" ref="J115:J174">I115*D115</f>
        <v>0</v>
      </c>
      <c r="K115" s="15"/>
      <c r="L115" s="15">
        <f aca="true" t="shared" si="49" ref="L115:L174">I115+F115</f>
        <v>6.25</v>
      </c>
      <c r="M115" s="15">
        <f aca="true" t="shared" si="50" ref="M115:M174">L115*D115</f>
        <v>14.0625</v>
      </c>
      <c r="O115" s="101">
        <f>SUM(M115:M129)</f>
        <v>210.9375</v>
      </c>
      <c r="Q115">
        <f aca="true" t="shared" si="51" ref="Q115:Q174">Q114</f>
        <v>5.19</v>
      </c>
      <c r="R115" s="4">
        <f aca="true" t="shared" si="52" ref="R115:R174">R114+M115/(T115*Q115)</f>
        <v>85.8442422898001</v>
      </c>
      <c r="T115" s="4">
        <f aca="true" t="shared" si="53" ref="T115:T174">T114</f>
        <v>8.556434438697899</v>
      </c>
      <c r="X115" s="3">
        <f aca="true" t="shared" si="54" ref="X115:X174">0.00096*(100/R115)*(AI114/2)</f>
        <v>0.01063916927406568</v>
      </c>
      <c r="AA115" s="1">
        <f t="shared" si="42"/>
        <v>8.620142023520672E-06</v>
      </c>
      <c r="AB115">
        <f aca="true" t="shared" si="55" ref="AB115:AB174">AB114</f>
        <v>0.533</v>
      </c>
      <c r="AC115">
        <f aca="true" t="shared" si="56" ref="AC115:AC174">AC114</f>
        <v>5</v>
      </c>
      <c r="AD115" s="8">
        <f t="shared" si="43"/>
        <v>720.893602349131</v>
      </c>
      <c r="AE115" s="4">
        <f t="shared" si="44"/>
        <v>47423.28977815997</v>
      </c>
      <c r="AF115" s="5">
        <f t="shared" si="45"/>
        <v>0.021440680013724654</v>
      </c>
      <c r="AG115" s="4">
        <f aca="true" t="shared" si="57" ref="AG115:AG174">100*(E115-E114)</f>
        <v>225</v>
      </c>
      <c r="AH115" s="8">
        <f aca="true" t="shared" si="58" ref="AH115:AH174">AF115*AG115/(AB115)*(X115*AD115^2/2)*0.1</f>
        <v>2502.1533923869965</v>
      </c>
      <c r="AI115" s="10">
        <f aca="true" t="shared" si="59" ref="AI115:AI175">AI114-AH115/100000</f>
        <v>19.002299818682193</v>
      </c>
    </row>
    <row r="116" spans="1:35" ht="12.75">
      <c r="A116" s="111"/>
      <c r="B116" s="114"/>
      <c r="D116">
        <f aca="true" t="shared" si="60" ref="D116:D174">D115</f>
        <v>2.25</v>
      </c>
      <c r="E116" s="4">
        <f t="shared" si="46"/>
        <v>4.5</v>
      </c>
      <c r="F116" s="15">
        <f aca="true" t="shared" si="61" ref="F116:F174">F115</f>
        <v>6.25</v>
      </c>
      <c r="G116" s="15">
        <f t="shared" si="47"/>
        <v>14.0625</v>
      </c>
      <c r="I116" s="15">
        <f aca="true" t="shared" si="62" ref="I116:I174">I115</f>
        <v>0</v>
      </c>
      <c r="J116" s="15">
        <f t="shared" si="48"/>
        <v>0</v>
      </c>
      <c r="K116" s="15"/>
      <c r="L116" s="15">
        <f t="shared" si="49"/>
        <v>6.25</v>
      </c>
      <c r="M116" s="15">
        <f t="shared" si="50"/>
        <v>14.0625</v>
      </c>
      <c r="O116" s="121"/>
      <c r="Q116">
        <f t="shared" si="51"/>
        <v>5.19</v>
      </c>
      <c r="R116" s="4">
        <f t="shared" si="52"/>
        <v>86.16090895646677</v>
      </c>
      <c r="T116" s="4">
        <f t="shared" si="53"/>
        <v>8.556434438697899</v>
      </c>
      <c r="X116" s="3">
        <f t="shared" si="54"/>
        <v>0.010586127773531191</v>
      </c>
      <c r="AA116" s="1">
        <f t="shared" si="42"/>
        <v>8.63897229018734E-06</v>
      </c>
      <c r="AB116">
        <f t="shared" si="55"/>
        <v>0.533</v>
      </c>
      <c r="AC116">
        <f t="shared" si="56"/>
        <v>5</v>
      </c>
      <c r="AD116" s="8">
        <f t="shared" si="43"/>
        <v>724.5056198131484</v>
      </c>
      <c r="AE116" s="4">
        <f t="shared" si="44"/>
        <v>47319.921789151886</v>
      </c>
      <c r="AF116" s="5">
        <f t="shared" si="45"/>
        <v>0.021452379456027022</v>
      </c>
      <c r="AG116" s="4">
        <f t="shared" si="57"/>
        <v>225</v>
      </c>
      <c r="AH116" s="8">
        <f t="shared" si="58"/>
        <v>2516.0625428993935</v>
      </c>
      <c r="AI116" s="10">
        <f t="shared" si="59"/>
        <v>18.977139193253198</v>
      </c>
    </row>
    <row r="117" spans="1:35" ht="12.75">
      <c r="A117" s="111"/>
      <c r="B117" s="114"/>
      <c r="D117">
        <f t="shared" si="60"/>
        <v>2.25</v>
      </c>
      <c r="E117" s="4">
        <f t="shared" si="46"/>
        <v>6.75</v>
      </c>
      <c r="F117" s="15">
        <f t="shared" si="61"/>
        <v>6.25</v>
      </c>
      <c r="G117" s="15">
        <f t="shared" si="47"/>
        <v>14.0625</v>
      </c>
      <c r="I117" s="15">
        <f t="shared" si="62"/>
        <v>0</v>
      </c>
      <c r="J117" s="15">
        <f t="shared" si="48"/>
        <v>0</v>
      </c>
      <c r="K117" s="15"/>
      <c r="L117" s="15">
        <f t="shared" si="49"/>
        <v>6.25</v>
      </c>
      <c r="M117" s="15">
        <f t="shared" si="50"/>
        <v>14.0625</v>
      </c>
      <c r="O117" s="121"/>
      <c r="Q117">
        <f t="shared" si="51"/>
        <v>5.19</v>
      </c>
      <c r="R117" s="4">
        <f t="shared" si="52"/>
        <v>86.47757562313343</v>
      </c>
      <c r="T117" s="4">
        <f t="shared" si="53"/>
        <v>8.556434438697899</v>
      </c>
      <c r="X117" s="3">
        <f t="shared" si="54"/>
        <v>0.010533397527768804</v>
      </c>
      <c r="AA117" s="1">
        <f t="shared" si="42"/>
        <v>8.657802556854006E-06</v>
      </c>
      <c r="AB117">
        <f t="shared" si="55"/>
        <v>0.533</v>
      </c>
      <c r="AC117">
        <f t="shared" si="56"/>
        <v>5</v>
      </c>
      <c r="AD117" s="8">
        <f t="shared" si="43"/>
        <v>728.13249891728</v>
      </c>
      <c r="AE117" s="4">
        <f t="shared" si="44"/>
        <v>47217.00344005761</v>
      </c>
      <c r="AF117" s="5">
        <f t="shared" si="45"/>
        <v>0.021464059788080272</v>
      </c>
      <c r="AG117" s="4">
        <f t="shared" si="57"/>
        <v>225</v>
      </c>
      <c r="AH117" s="8">
        <f t="shared" si="58"/>
        <v>2530.0347624550695</v>
      </c>
      <c r="AI117" s="10">
        <f t="shared" si="59"/>
        <v>18.951838845628647</v>
      </c>
    </row>
    <row r="118" spans="1:35" ht="12.75">
      <c r="A118" s="111"/>
      <c r="B118" s="114"/>
      <c r="D118">
        <f t="shared" si="60"/>
        <v>2.25</v>
      </c>
      <c r="E118" s="4">
        <f t="shared" si="46"/>
        <v>9</v>
      </c>
      <c r="F118" s="15">
        <f t="shared" si="61"/>
        <v>6.25</v>
      </c>
      <c r="G118" s="15">
        <f t="shared" si="47"/>
        <v>14.0625</v>
      </c>
      <c r="I118" s="15">
        <f t="shared" si="62"/>
        <v>0</v>
      </c>
      <c r="J118" s="15">
        <f t="shared" si="48"/>
        <v>0</v>
      </c>
      <c r="K118" s="15"/>
      <c r="L118" s="15">
        <f t="shared" si="49"/>
        <v>6.25</v>
      </c>
      <c r="M118" s="15">
        <f t="shared" si="50"/>
        <v>14.0625</v>
      </c>
      <c r="O118" s="121"/>
      <c r="Q118">
        <f t="shared" si="51"/>
        <v>5.19</v>
      </c>
      <c r="R118" s="4">
        <f t="shared" si="52"/>
        <v>86.7942422898001</v>
      </c>
      <c r="T118" s="4">
        <f t="shared" si="53"/>
        <v>8.556434438697899</v>
      </c>
      <c r="X118" s="3">
        <f t="shared" si="54"/>
        <v>0.010480974781170247</v>
      </c>
      <c r="AA118" s="1">
        <f t="shared" si="42"/>
        <v>8.676632823520673E-06</v>
      </c>
      <c r="AB118">
        <f t="shared" si="55"/>
        <v>0.533</v>
      </c>
      <c r="AC118">
        <f t="shared" si="56"/>
        <v>5</v>
      </c>
      <c r="AD118" s="8">
        <f t="shared" si="43"/>
        <v>731.7744030605369</v>
      </c>
      <c r="AE118" s="4">
        <f t="shared" si="44"/>
        <v>47114.53180341453</v>
      </c>
      <c r="AF118" s="5">
        <f t="shared" si="45"/>
        <v>0.02147572108256185</v>
      </c>
      <c r="AG118" s="4">
        <f t="shared" si="57"/>
        <v>225</v>
      </c>
      <c r="AH118" s="8">
        <f t="shared" si="58"/>
        <v>2544.0706783759797</v>
      </c>
      <c r="AI118" s="10">
        <f t="shared" si="59"/>
        <v>18.92639813884489</v>
      </c>
    </row>
    <row r="119" spans="1:35" ht="12.75">
      <c r="A119" s="111"/>
      <c r="B119" s="114"/>
      <c r="D119">
        <f t="shared" si="60"/>
        <v>2.25</v>
      </c>
      <c r="E119" s="4">
        <f t="shared" si="46"/>
        <v>11.25</v>
      </c>
      <c r="F119" s="15">
        <f t="shared" si="61"/>
        <v>6.25</v>
      </c>
      <c r="G119" s="15">
        <f t="shared" si="47"/>
        <v>14.0625</v>
      </c>
      <c r="I119" s="15">
        <f t="shared" si="62"/>
        <v>0</v>
      </c>
      <c r="J119" s="15">
        <f t="shared" si="48"/>
        <v>0</v>
      </c>
      <c r="K119" s="15"/>
      <c r="L119" s="15">
        <f t="shared" si="49"/>
        <v>6.25</v>
      </c>
      <c r="M119" s="15">
        <f t="shared" si="50"/>
        <v>14.0625</v>
      </c>
      <c r="O119" s="121"/>
      <c r="Q119">
        <f t="shared" si="51"/>
        <v>5.19</v>
      </c>
      <c r="R119" s="4">
        <f t="shared" si="52"/>
        <v>87.11090895646676</v>
      </c>
      <c r="T119" s="4">
        <f t="shared" si="53"/>
        <v>8.556434438697899</v>
      </c>
      <c r="X119" s="3">
        <f t="shared" si="54"/>
        <v>0.01042885582928031</v>
      </c>
      <c r="AA119" s="1">
        <f t="shared" si="42"/>
        <v>8.695463090187339E-06</v>
      </c>
      <c r="AB119">
        <f t="shared" si="55"/>
        <v>0.533</v>
      </c>
      <c r="AC119">
        <f t="shared" si="56"/>
        <v>5</v>
      </c>
      <c r="AD119" s="8">
        <f t="shared" si="43"/>
        <v>735.4314979069648</v>
      </c>
      <c r="AE119" s="4">
        <f t="shared" si="44"/>
        <v>47012.503977118016</v>
      </c>
      <c r="AF119" s="5">
        <f t="shared" si="45"/>
        <v>0.02148736341171582</v>
      </c>
      <c r="AG119" s="4">
        <f t="shared" si="57"/>
        <v>225</v>
      </c>
      <c r="AH119" s="8">
        <f t="shared" si="58"/>
        <v>2558.1709269393823</v>
      </c>
      <c r="AI119" s="10">
        <f t="shared" si="59"/>
        <v>18.900816429575496</v>
      </c>
    </row>
    <row r="120" spans="1:35" ht="12.75">
      <c r="A120" s="111"/>
      <c r="B120" s="114"/>
      <c r="D120">
        <f t="shared" si="60"/>
        <v>2.25</v>
      </c>
      <c r="E120" s="4">
        <f t="shared" si="46"/>
        <v>13.5</v>
      </c>
      <c r="F120" s="15">
        <f t="shared" si="61"/>
        <v>6.25</v>
      </c>
      <c r="G120" s="15">
        <f t="shared" si="47"/>
        <v>14.0625</v>
      </c>
      <c r="I120" s="15">
        <f t="shared" si="62"/>
        <v>0</v>
      </c>
      <c r="J120" s="15">
        <f t="shared" si="48"/>
        <v>0</v>
      </c>
      <c r="K120" s="15"/>
      <c r="L120" s="15">
        <f t="shared" si="49"/>
        <v>6.25</v>
      </c>
      <c r="M120" s="15">
        <f t="shared" si="50"/>
        <v>14.0625</v>
      </c>
      <c r="O120" s="121"/>
      <c r="Q120">
        <f t="shared" si="51"/>
        <v>5.19</v>
      </c>
      <c r="R120" s="4">
        <f t="shared" si="52"/>
        <v>87.42757562313342</v>
      </c>
      <c r="T120" s="4">
        <f t="shared" si="53"/>
        <v>8.556434438697899</v>
      </c>
      <c r="X120" s="3">
        <f t="shared" si="54"/>
        <v>0.01037703701782127</v>
      </c>
      <c r="AA120" s="1">
        <f t="shared" si="42"/>
        <v>8.714293356854005E-06</v>
      </c>
      <c r="AB120">
        <f t="shared" si="55"/>
        <v>0.533</v>
      </c>
      <c r="AC120">
        <f t="shared" si="56"/>
        <v>5</v>
      </c>
      <c r="AD120" s="8">
        <f t="shared" si="43"/>
        <v>739.1039514277176</v>
      </c>
      <c r="AE120" s="4">
        <f t="shared" si="44"/>
        <v>46910.917084147455</v>
      </c>
      <c r="AF120" s="5">
        <f t="shared" si="45"/>
        <v>0.021498986847356356</v>
      </c>
      <c r="AG120" s="4">
        <f t="shared" si="57"/>
        <v>225</v>
      </c>
      <c r="AH120" s="8">
        <f t="shared" si="58"/>
        <v>2572.3361535414588</v>
      </c>
      <c r="AI120" s="10">
        <f t="shared" si="59"/>
        <v>18.87509306804008</v>
      </c>
    </row>
    <row r="121" spans="1:35" ht="12.75">
      <c r="A121" s="111"/>
      <c r="B121" s="114"/>
      <c r="D121">
        <f t="shared" si="60"/>
        <v>2.25</v>
      </c>
      <c r="E121" s="4">
        <f t="shared" si="46"/>
        <v>15.75</v>
      </c>
      <c r="F121" s="15">
        <f t="shared" si="61"/>
        <v>6.25</v>
      </c>
      <c r="G121" s="15">
        <f t="shared" si="47"/>
        <v>14.0625</v>
      </c>
      <c r="I121" s="15">
        <f t="shared" si="62"/>
        <v>0</v>
      </c>
      <c r="J121" s="15">
        <f t="shared" si="48"/>
        <v>0</v>
      </c>
      <c r="K121" s="15"/>
      <c r="L121" s="15">
        <f t="shared" si="49"/>
        <v>6.25</v>
      </c>
      <c r="M121" s="15">
        <f t="shared" si="50"/>
        <v>14.0625</v>
      </c>
      <c r="O121" s="121"/>
      <c r="Q121">
        <f t="shared" si="51"/>
        <v>5.19</v>
      </c>
      <c r="R121" s="4">
        <f t="shared" si="52"/>
        <v>87.74424228980008</v>
      </c>
      <c r="T121" s="4">
        <f t="shared" si="53"/>
        <v>8.556434438697899</v>
      </c>
      <c r="X121" s="3">
        <f t="shared" si="54"/>
        <v>0.01032551474173757</v>
      </c>
      <c r="AA121" s="1">
        <f t="shared" si="42"/>
        <v>8.733123623520672E-06</v>
      </c>
      <c r="AB121">
        <f t="shared" si="55"/>
        <v>0.533</v>
      </c>
      <c r="AC121">
        <f t="shared" si="56"/>
        <v>5</v>
      </c>
      <c r="AD121" s="8">
        <f t="shared" si="43"/>
        <v>742.7919339440841</v>
      </c>
      <c r="AE121" s="4">
        <f t="shared" si="44"/>
        <v>46809.76827229584</v>
      </c>
      <c r="AF121" s="5">
        <f t="shared" si="45"/>
        <v>0.021510591460871246</v>
      </c>
      <c r="AG121" s="4">
        <f t="shared" si="57"/>
        <v>225</v>
      </c>
      <c r="AH121" s="8">
        <f t="shared" si="58"/>
        <v>2586.5670128646675</v>
      </c>
      <c r="AI121" s="10">
        <f t="shared" si="59"/>
        <v>18.849227397911434</v>
      </c>
    </row>
    <row r="122" spans="1:35" ht="12.75">
      <c r="A122" s="111"/>
      <c r="B122" s="114"/>
      <c r="D122">
        <f t="shared" si="60"/>
        <v>2.25</v>
      </c>
      <c r="E122" s="4">
        <f t="shared" si="46"/>
        <v>18</v>
      </c>
      <c r="F122" s="15">
        <f t="shared" si="61"/>
        <v>6.25</v>
      </c>
      <c r="G122" s="15">
        <f t="shared" si="47"/>
        <v>14.0625</v>
      </c>
      <c r="I122" s="15">
        <f t="shared" si="62"/>
        <v>0</v>
      </c>
      <c r="J122" s="15">
        <f t="shared" si="48"/>
        <v>0</v>
      </c>
      <c r="K122" s="15"/>
      <c r="L122" s="15">
        <f t="shared" si="49"/>
        <v>6.25</v>
      </c>
      <c r="M122" s="15">
        <f t="shared" si="50"/>
        <v>14.0625</v>
      </c>
      <c r="O122" s="121"/>
      <c r="Q122">
        <f t="shared" si="51"/>
        <v>5.19</v>
      </c>
      <c r="R122" s="4">
        <f t="shared" si="52"/>
        <v>88.06090895646675</v>
      </c>
      <c r="T122" s="4">
        <f t="shared" si="53"/>
        <v>8.556434438697899</v>
      </c>
      <c r="X122" s="3">
        <f t="shared" si="54"/>
        <v>0.010274285444260199</v>
      </c>
      <c r="AA122" s="1">
        <f t="shared" si="42"/>
        <v>8.75195389018734E-06</v>
      </c>
      <c r="AB122">
        <f t="shared" si="55"/>
        <v>0.533</v>
      </c>
      <c r="AC122">
        <f t="shared" si="56"/>
        <v>5</v>
      </c>
      <c r="AD122" s="8">
        <f t="shared" si="43"/>
        <v>746.4956181714939</v>
      </c>
      <c r="AE122" s="4">
        <f t="shared" si="44"/>
        <v>46709.054713902835</v>
      </c>
      <c r="AF122" s="5">
        <f t="shared" si="45"/>
        <v>0.02152217732322532</v>
      </c>
      <c r="AG122" s="4">
        <f t="shared" si="57"/>
        <v>225</v>
      </c>
      <c r="AH122" s="8">
        <f t="shared" si="58"/>
        <v>2600.864169048898</v>
      </c>
      <c r="AI122" s="10">
        <f t="shared" si="59"/>
        <v>18.823218756220946</v>
      </c>
    </row>
    <row r="123" spans="1:35" ht="12.75">
      <c r="A123" s="111"/>
      <c r="B123" s="114"/>
      <c r="D123">
        <f t="shared" si="60"/>
        <v>2.25</v>
      </c>
      <c r="E123" s="4">
        <f t="shared" si="46"/>
        <v>20.25</v>
      </c>
      <c r="F123" s="15">
        <f t="shared" si="61"/>
        <v>6.25</v>
      </c>
      <c r="G123" s="15">
        <f t="shared" si="47"/>
        <v>14.0625</v>
      </c>
      <c r="I123" s="15">
        <f t="shared" si="62"/>
        <v>0</v>
      </c>
      <c r="J123" s="15">
        <f t="shared" si="48"/>
        <v>0</v>
      </c>
      <c r="K123" s="15"/>
      <c r="L123" s="15">
        <f t="shared" si="49"/>
        <v>6.25</v>
      </c>
      <c r="M123" s="15">
        <f t="shared" si="50"/>
        <v>14.0625</v>
      </c>
      <c r="O123" s="121"/>
      <c r="Q123">
        <f t="shared" si="51"/>
        <v>5.19</v>
      </c>
      <c r="R123" s="4">
        <f t="shared" si="52"/>
        <v>88.37757562313341</v>
      </c>
      <c r="T123" s="4">
        <f t="shared" si="53"/>
        <v>8.556434438697899</v>
      </c>
      <c r="X123" s="3">
        <f t="shared" si="54"/>
        <v>0.010223345615990222</v>
      </c>
      <c r="AA123" s="1">
        <f t="shared" si="42"/>
        <v>8.770784156854004E-06</v>
      </c>
      <c r="AB123">
        <f t="shared" si="55"/>
        <v>0.533</v>
      </c>
      <c r="AC123">
        <f t="shared" si="56"/>
        <v>5</v>
      </c>
      <c r="AD123" s="8">
        <f t="shared" si="43"/>
        <v>750.2151792645346</v>
      </c>
      <c r="AE123" s="4">
        <f t="shared" si="44"/>
        <v>46608.77360559129</v>
      </c>
      <c r="AF123" s="5">
        <f t="shared" si="45"/>
        <v>0.021533744504963846</v>
      </c>
      <c r="AG123" s="4">
        <f t="shared" si="57"/>
        <v>225</v>
      </c>
      <c r="AH123" s="8">
        <f t="shared" si="58"/>
        <v>2615.228295866588</v>
      </c>
      <c r="AI123" s="10">
        <f t="shared" si="59"/>
        <v>18.79706647326228</v>
      </c>
    </row>
    <row r="124" spans="1:35" ht="12.75">
      <c r="A124" s="111"/>
      <c r="B124" s="114"/>
      <c r="D124">
        <f t="shared" si="60"/>
        <v>2.25</v>
      </c>
      <c r="E124" s="4">
        <f t="shared" si="46"/>
        <v>22.5</v>
      </c>
      <c r="F124" s="15">
        <f t="shared" si="61"/>
        <v>6.25</v>
      </c>
      <c r="G124" s="15">
        <f t="shared" si="47"/>
        <v>14.0625</v>
      </c>
      <c r="I124" s="15">
        <f t="shared" si="62"/>
        <v>0</v>
      </c>
      <c r="J124" s="15">
        <f t="shared" si="48"/>
        <v>0</v>
      </c>
      <c r="K124" s="15"/>
      <c r="L124" s="15">
        <f t="shared" si="49"/>
        <v>6.25</v>
      </c>
      <c r="M124" s="15">
        <f t="shared" si="50"/>
        <v>14.0625</v>
      </c>
      <c r="O124" s="121"/>
      <c r="Q124">
        <f t="shared" si="51"/>
        <v>5.19</v>
      </c>
      <c r="R124" s="4">
        <f t="shared" si="52"/>
        <v>88.69424228980007</v>
      </c>
      <c r="T124" s="4">
        <f t="shared" si="53"/>
        <v>8.556434438697899</v>
      </c>
      <c r="X124" s="3">
        <f t="shared" si="54"/>
        <v>0.010172691794001043</v>
      </c>
      <c r="AA124" s="1">
        <f t="shared" si="42"/>
        <v>8.789614423520671E-06</v>
      </c>
      <c r="AB124">
        <f t="shared" si="55"/>
        <v>0.533</v>
      </c>
      <c r="AC124">
        <f t="shared" si="56"/>
        <v>5</v>
      </c>
      <c r="AD124" s="8">
        <f t="shared" si="43"/>
        <v>753.9507948629995</v>
      </c>
      <c r="AE124" s="4">
        <f t="shared" si="44"/>
        <v>46508.92216800706</v>
      </c>
      <c r="AF124" s="5">
        <f t="shared" si="45"/>
        <v>0.021545293076215936</v>
      </c>
      <c r="AG124" s="4">
        <f t="shared" si="57"/>
        <v>225</v>
      </c>
      <c r="AH124" s="8">
        <f t="shared" si="58"/>
        <v>2629.6600769018532</v>
      </c>
      <c r="AI124" s="10">
        <f t="shared" si="59"/>
        <v>18.77076987249326</v>
      </c>
    </row>
    <row r="125" spans="1:35" ht="12.75">
      <c r="A125" s="111"/>
      <c r="B125" s="114"/>
      <c r="D125">
        <f t="shared" si="60"/>
        <v>2.25</v>
      </c>
      <c r="E125" s="4">
        <f t="shared" si="46"/>
        <v>24.75</v>
      </c>
      <c r="F125" s="15">
        <f t="shared" si="61"/>
        <v>6.25</v>
      </c>
      <c r="G125" s="15">
        <f t="shared" si="47"/>
        <v>14.0625</v>
      </c>
      <c r="I125" s="15">
        <f t="shared" si="62"/>
        <v>0</v>
      </c>
      <c r="J125" s="15">
        <f t="shared" si="48"/>
        <v>0</v>
      </c>
      <c r="K125" s="15"/>
      <c r="L125" s="15">
        <f t="shared" si="49"/>
        <v>6.25</v>
      </c>
      <c r="M125" s="15">
        <f t="shared" si="50"/>
        <v>14.0625</v>
      </c>
      <c r="O125" s="121"/>
      <c r="Q125">
        <f t="shared" si="51"/>
        <v>5.19</v>
      </c>
      <c r="R125" s="4">
        <f t="shared" si="52"/>
        <v>89.01090895646674</v>
      </c>
      <c r="T125" s="4">
        <f t="shared" si="53"/>
        <v>8.556434438697899</v>
      </c>
      <c r="X125" s="3">
        <f t="shared" si="54"/>
        <v>0.010122320560958816</v>
      </c>
      <c r="AA125" s="1">
        <f t="shared" si="42"/>
        <v>8.808444690187337E-06</v>
      </c>
      <c r="AB125">
        <f t="shared" si="55"/>
        <v>0.533</v>
      </c>
      <c r="AC125">
        <f t="shared" si="56"/>
        <v>5</v>
      </c>
      <c r="AD125" s="8">
        <f t="shared" si="43"/>
        <v>757.7026451390017</v>
      </c>
      <c r="AE125" s="4">
        <f t="shared" si="44"/>
        <v>46409.497645562325</v>
      </c>
      <c r="AF125" s="5">
        <f t="shared" si="45"/>
        <v>0.021556823106697886</v>
      </c>
      <c r="AG125" s="4">
        <f t="shared" si="57"/>
        <v>225</v>
      </c>
      <c r="AH125" s="8">
        <f t="shared" si="58"/>
        <v>2644.1602057337795</v>
      </c>
      <c r="AI125" s="10">
        <f t="shared" si="59"/>
        <v>18.744328270435922</v>
      </c>
    </row>
    <row r="126" spans="1:35" ht="12.75">
      <c r="A126" s="111"/>
      <c r="B126" s="114"/>
      <c r="D126">
        <f t="shared" si="60"/>
        <v>2.25</v>
      </c>
      <c r="E126" s="4">
        <f t="shared" si="46"/>
        <v>27</v>
      </c>
      <c r="F126" s="15">
        <f t="shared" si="61"/>
        <v>6.25</v>
      </c>
      <c r="G126" s="15">
        <f t="shared" si="47"/>
        <v>14.0625</v>
      </c>
      <c r="I126" s="15">
        <f t="shared" si="62"/>
        <v>0</v>
      </c>
      <c r="J126" s="15">
        <f t="shared" si="48"/>
        <v>0</v>
      </c>
      <c r="K126" s="15"/>
      <c r="L126" s="15">
        <f t="shared" si="49"/>
        <v>6.25</v>
      </c>
      <c r="M126" s="15">
        <f t="shared" si="50"/>
        <v>14.0625</v>
      </c>
      <c r="O126" s="121"/>
      <c r="Q126">
        <f t="shared" si="51"/>
        <v>5.19</v>
      </c>
      <c r="R126" s="4">
        <f t="shared" si="52"/>
        <v>89.3275756231334</v>
      </c>
      <c r="T126" s="4">
        <f t="shared" si="53"/>
        <v>8.556434438697899</v>
      </c>
      <c r="X126" s="3">
        <f t="shared" si="54"/>
        <v>0.010072228544260632</v>
      </c>
      <c r="AA126" s="1">
        <f t="shared" si="42"/>
        <v>8.827274956854004E-06</v>
      </c>
      <c r="AB126">
        <f t="shared" si="55"/>
        <v>0.533</v>
      </c>
      <c r="AC126">
        <f t="shared" si="56"/>
        <v>5</v>
      </c>
      <c r="AD126" s="8">
        <f t="shared" si="43"/>
        <v>761.4709128451777</v>
      </c>
      <c r="AE126" s="4">
        <f t="shared" si="44"/>
        <v>46310.497306182</v>
      </c>
      <c r="AF126" s="5">
        <f t="shared" si="45"/>
        <v>0.021568334665716442</v>
      </c>
      <c r="AG126" s="4">
        <f t="shared" si="57"/>
        <v>225</v>
      </c>
      <c r="AH126" s="8">
        <f t="shared" si="58"/>
        <v>2658.7293861239596</v>
      </c>
      <c r="AI126" s="10">
        <f t="shared" si="59"/>
        <v>18.71774097657468</v>
      </c>
    </row>
    <row r="127" spans="1:35" ht="12.75">
      <c r="A127" s="111"/>
      <c r="B127" s="114"/>
      <c r="D127">
        <f t="shared" si="60"/>
        <v>2.25</v>
      </c>
      <c r="E127" s="4">
        <f t="shared" si="46"/>
        <v>29.25</v>
      </c>
      <c r="F127" s="15">
        <f t="shared" si="61"/>
        <v>6.25</v>
      </c>
      <c r="G127" s="15">
        <f t="shared" si="47"/>
        <v>14.0625</v>
      </c>
      <c r="I127" s="15">
        <f t="shared" si="62"/>
        <v>0</v>
      </c>
      <c r="J127" s="15">
        <f t="shared" si="48"/>
        <v>0</v>
      </c>
      <c r="K127" s="15"/>
      <c r="L127" s="15">
        <f t="shared" si="49"/>
        <v>6.25</v>
      </c>
      <c r="M127" s="15">
        <f t="shared" si="50"/>
        <v>14.0625</v>
      </c>
      <c r="O127" s="121"/>
      <c r="Q127">
        <f t="shared" si="51"/>
        <v>5.19</v>
      </c>
      <c r="R127" s="4">
        <f t="shared" si="52"/>
        <v>89.64424228980006</v>
      </c>
      <c r="T127" s="4">
        <f t="shared" si="53"/>
        <v>8.556434438697899</v>
      </c>
      <c r="X127" s="3">
        <f t="shared" si="54"/>
        <v>0.010022412415189913</v>
      </c>
      <c r="AA127" s="1">
        <f t="shared" si="42"/>
        <v>8.846105223520672E-06</v>
      </c>
      <c r="AB127">
        <f t="shared" si="55"/>
        <v>0.533</v>
      </c>
      <c r="AC127">
        <f t="shared" si="56"/>
        <v>5</v>
      </c>
      <c r="AD127" s="8">
        <f t="shared" si="43"/>
        <v>765.2557833640162</v>
      </c>
      <c r="AE127" s="4">
        <f t="shared" si="44"/>
        <v>46211.91844105356</v>
      </c>
      <c r="AF127" s="5">
        <f t="shared" si="45"/>
        <v>0.02157982782217214</v>
      </c>
      <c r="AG127" s="4">
        <f t="shared" si="57"/>
        <v>225</v>
      </c>
      <c r="AH127" s="8">
        <f t="shared" si="58"/>
        <v>2673.368332208428</v>
      </c>
      <c r="AI127" s="10">
        <f t="shared" si="59"/>
        <v>18.691007293252596</v>
      </c>
    </row>
    <row r="128" spans="1:35" ht="12.75">
      <c r="A128" s="111"/>
      <c r="B128" s="114"/>
      <c r="D128">
        <f t="shared" si="60"/>
        <v>2.25</v>
      </c>
      <c r="E128" s="4">
        <f t="shared" si="46"/>
        <v>31.5</v>
      </c>
      <c r="F128" s="15">
        <f t="shared" si="61"/>
        <v>6.25</v>
      </c>
      <c r="G128" s="15">
        <f t="shared" si="47"/>
        <v>14.0625</v>
      </c>
      <c r="I128" s="15">
        <f t="shared" si="62"/>
        <v>0</v>
      </c>
      <c r="J128" s="15">
        <f t="shared" si="48"/>
        <v>0</v>
      </c>
      <c r="K128" s="15"/>
      <c r="L128" s="15">
        <f t="shared" si="49"/>
        <v>6.25</v>
      </c>
      <c r="M128" s="15">
        <f t="shared" si="50"/>
        <v>14.0625</v>
      </c>
      <c r="O128" s="121"/>
      <c r="Q128">
        <f t="shared" si="51"/>
        <v>5.19</v>
      </c>
      <c r="R128" s="4">
        <f t="shared" si="52"/>
        <v>89.96090895646672</v>
      </c>
      <c r="T128" s="4">
        <f t="shared" si="53"/>
        <v>8.556434438697899</v>
      </c>
      <c r="X128" s="3">
        <f t="shared" si="54"/>
        <v>0.009972868888088673</v>
      </c>
      <c r="AA128" s="1">
        <f t="shared" si="42"/>
        <v>8.864935490187336E-06</v>
      </c>
      <c r="AB128">
        <f t="shared" si="55"/>
        <v>0.533</v>
      </c>
      <c r="AC128">
        <f t="shared" si="56"/>
        <v>5</v>
      </c>
      <c r="AD128" s="8">
        <f t="shared" si="43"/>
        <v>769.0574447583377</v>
      </c>
      <c r="AE128" s="4">
        <f t="shared" si="44"/>
        <v>46113.75836437999</v>
      </c>
      <c r="AF128" s="5">
        <f t="shared" si="45"/>
        <v>0.02159130264456247</v>
      </c>
      <c r="AG128" s="4">
        <f t="shared" si="57"/>
        <v>225</v>
      </c>
      <c r="AH128" s="8">
        <f t="shared" si="58"/>
        <v>2688.077768694069</v>
      </c>
      <c r="AI128" s="10">
        <f t="shared" si="59"/>
        <v>18.664126515565655</v>
      </c>
    </row>
    <row r="129" spans="1:35" ht="13.5" thickBot="1">
      <c r="A129" s="112"/>
      <c r="B129" s="115"/>
      <c r="D129">
        <f t="shared" si="60"/>
        <v>2.25</v>
      </c>
      <c r="E129" s="4">
        <f t="shared" si="46"/>
        <v>33.75</v>
      </c>
      <c r="F129" s="15">
        <f t="shared" si="61"/>
        <v>6.25</v>
      </c>
      <c r="G129" s="15">
        <f t="shared" si="47"/>
        <v>14.0625</v>
      </c>
      <c r="I129" s="15">
        <f t="shared" si="62"/>
        <v>0</v>
      </c>
      <c r="J129" s="15">
        <f t="shared" si="48"/>
        <v>0</v>
      </c>
      <c r="K129" s="15"/>
      <c r="L129" s="15">
        <f t="shared" si="49"/>
        <v>6.25</v>
      </c>
      <c r="M129" s="15">
        <f t="shared" si="50"/>
        <v>14.0625</v>
      </c>
      <c r="O129" s="122"/>
      <c r="Q129">
        <f t="shared" si="51"/>
        <v>5.19</v>
      </c>
      <c r="R129" s="4">
        <f t="shared" si="52"/>
        <v>90.27757562313339</v>
      </c>
      <c r="T129" s="4">
        <f t="shared" si="53"/>
        <v>8.556434438697899</v>
      </c>
      <c r="X129" s="3">
        <f t="shared" si="54"/>
        <v>0.009923594719546113</v>
      </c>
      <c r="AA129" s="1">
        <f t="shared" si="42"/>
        <v>8.883765756854003E-06</v>
      </c>
      <c r="AB129">
        <f t="shared" si="55"/>
        <v>0.533</v>
      </c>
      <c r="AC129">
        <f t="shared" si="56"/>
        <v>5</v>
      </c>
      <c r="AD129" s="8">
        <f t="shared" si="43"/>
        <v>772.8760878229615</v>
      </c>
      <c r="AE129" s="4">
        <f t="shared" si="44"/>
        <v>46016.014413135694</v>
      </c>
      <c r="AF129" s="5">
        <f t="shared" si="45"/>
        <v>0.021602759200985137</v>
      </c>
      <c r="AG129" s="4">
        <f t="shared" si="57"/>
        <v>225</v>
      </c>
      <c r="AH129" s="8">
        <f t="shared" si="58"/>
        <v>2702.8584310596734</v>
      </c>
      <c r="AI129" s="10">
        <f t="shared" si="59"/>
        <v>18.63709793125506</v>
      </c>
    </row>
    <row r="130" spans="1:35" ht="12.75">
      <c r="A130" s="108" t="s">
        <v>43</v>
      </c>
      <c r="B130" s="113">
        <f>O130</f>
        <v>210.9375</v>
      </c>
      <c r="D130">
        <f t="shared" si="60"/>
        <v>2.25</v>
      </c>
      <c r="E130" s="4">
        <f t="shared" si="46"/>
        <v>36</v>
      </c>
      <c r="F130" s="15">
        <f t="shared" si="61"/>
        <v>6.25</v>
      </c>
      <c r="G130" s="15">
        <f t="shared" si="47"/>
        <v>14.0625</v>
      </c>
      <c r="I130" s="15">
        <f t="shared" si="62"/>
        <v>0</v>
      </c>
      <c r="J130" s="15">
        <f t="shared" si="48"/>
        <v>0</v>
      </c>
      <c r="K130" s="15"/>
      <c r="L130" s="15">
        <f t="shared" si="49"/>
        <v>6.25</v>
      </c>
      <c r="M130" s="15">
        <f t="shared" si="50"/>
        <v>14.0625</v>
      </c>
      <c r="O130" s="116">
        <f>SUM(M130:M144)</f>
        <v>210.9375</v>
      </c>
      <c r="Q130">
        <f t="shared" si="51"/>
        <v>5.19</v>
      </c>
      <c r="R130" s="4">
        <f t="shared" si="52"/>
        <v>90.59424228980005</v>
      </c>
      <c r="T130" s="4">
        <f t="shared" si="53"/>
        <v>8.556434438697899</v>
      </c>
      <c r="X130" s="3">
        <f t="shared" si="54"/>
        <v>0.009874586707603198</v>
      </c>
      <c r="AA130" s="1">
        <f t="shared" si="42"/>
        <v>8.902596023520671E-06</v>
      </c>
      <c r="AB130">
        <f t="shared" si="55"/>
        <v>0.533</v>
      </c>
      <c r="AC130">
        <f t="shared" si="56"/>
        <v>5</v>
      </c>
      <c r="AD130" s="8">
        <f t="shared" si="43"/>
        <v>776.711906137591</v>
      </c>
      <c r="AE130" s="4">
        <f t="shared" si="44"/>
        <v>45918.68394682595</v>
      </c>
      <c r="AF130" s="5">
        <f t="shared" si="45"/>
        <v>0.021614197559141228</v>
      </c>
      <c r="AG130" s="4">
        <f t="shared" si="57"/>
        <v>225</v>
      </c>
      <c r="AH130" s="8">
        <f t="shared" si="58"/>
        <v>2717.711065761736</v>
      </c>
      <c r="AI130" s="10">
        <f t="shared" si="59"/>
        <v>18.60992082059744</v>
      </c>
    </row>
    <row r="131" spans="1:35" ht="12.75">
      <c r="A131" s="111"/>
      <c r="B131" s="114"/>
      <c r="D131">
        <f t="shared" si="60"/>
        <v>2.25</v>
      </c>
      <c r="E131" s="4">
        <f t="shared" si="46"/>
        <v>38.25</v>
      </c>
      <c r="F131" s="15">
        <f t="shared" si="61"/>
        <v>6.25</v>
      </c>
      <c r="G131" s="15">
        <f t="shared" si="47"/>
        <v>14.0625</v>
      </c>
      <c r="I131" s="15">
        <f t="shared" si="62"/>
        <v>0</v>
      </c>
      <c r="J131" s="15">
        <f t="shared" si="48"/>
        <v>0</v>
      </c>
      <c r="K131" s="15"/>
      <c r="L131" s="15">
        <f t="shared" si="49"/>
        <v>6.25</v>
      </c>
      <c r="M131" s="15">
        <f t="shared" si="50"/>
        <v>14.0625</v>
      </c>
      <c r="O131" s="117"/>
      <c r="Q131">
        <f t="shared" si="51"/>
        <v>5.19</v>
      </c>
      <c r="R131" s="4">
        <f t="shared" si="52"/>
        <v>90.91090895646671</v>
      </c>
      <c r="T131" s="4">
        <f t="shared" si="53"/>
        <v>8.556434438697899</v>
      </c>
      <c r="X131" s="3">
        <f t="shared" si="54"/>
        <v>0.009825841690972736</v>
      </c>
      <c r="AA131" s="1">
        <f t="shared" si="42"/>
        <v>8.921426290187337E-06</v>
      </c>
      <c r="AB131">
        <f t="shared" si="55"/>
        <v>0.533</v>
      </c>
      <c r="AC131">
        <f t="shared" si="56"/>
        <v>5</v>
      </c>
      <c r="AD131" s="8">
        <f t="shared" si="43"/>
        <v>780.5650961209527</v>
      </c>
      <c r="AE131" s="4">
        <f t="shared" si="44"/>
        <v>45821.76434724891</v>
      </c>
      <c r="AF131" s="5">
        <f t="shared" si="45"/>
        <v>0.021625617786338345</v>
      </c>
      <c r="AG131" s="4">
        <f t="shared" si="57"/>
        <v>225</v>
      </c>
      <c r="AH131" s="8">
        <f t="shared" si="58"/>
        <v>2732.6364304451367</v>
      </c>
      <c r="AI131" s="10">
        <f t="shared" si="59"/>
        <v>18.58259445629299</v>
      </c>
    </row>
    <row r="132" spans="1:35" ht="12.75">
      <c r="A132" s="111"/>
      <c r="B132" s="114"/>
      <c r="D132">
        <f t="shared" si="60"/>
        <v>2.25</v>
      </c>
      <c r="E132" s="4">
        <f t="shared" si="46"/>
        <v>40.5</v>
      </c>
      <c r="F132" s="15">
        <f t="shared" si="61"/>
        <v>6.25</v>
      </c>
      <c r="G132" s="15">
        <f t="shared" si="47"/>
        <v>14.0625</v>
      </c>
      <c r="I132" s="15">
        <f t="shared" si="62"/>
        <v>0</v>
      </c>
      <c r="J132" s="15">
        <f t="shared" si="48"/>
        <v>0</v>
      </c>
      <c r="K132" s="15"/>
      <c r="L132" s="15">
        <f t="shared" si="49"/>
        <v>6.25</v>
      </c>
      <c r="M132" s="15">
        <f t="shared" si="50"/>
        <v>14.0625</v>
      </c>
      <c r="O132" s="117"/>
      <c r="Q132">
        <f t="shared" si="51"/>
        <v>5.19</v>
      </c>
      <c r="R132" s="4">
        <f t="shared" si="52"/>
        <v>91.22757562313338</v>
      </c>
      <c r="T132" s="4">
        <f t="shared" si="53"/>
        <v>8.556434438697899</v>
      </c>
      <c r="X132" s="3">
        <f t="shared" si="54"/>
        <v>0.009777356548274645</v>
      </c>
      <c r="AA132" s="1">
        <f t="shared" si="42"/>
        <v>8.940256556854002E-06</v>
      </c>
      <c r="AB132">
        <f t="shared" si="55"/>
        <v>0.533</v>
      </c>
      <c r="AC132">
        <f t="shared" si="56"/>
        <v>5</v>
      </c>
      <c r="AD132" s="8">
        <f t="shared" si="43"/>
        <v>784.4358570862212</v>
      </c>
      <c r="AE132" s="4">
        <f t="shared" si="44"/>
        <v>45725.25301826089</v>
      </c>
      <c r="AF132" s="5">
        <f t="shared" si="45"/>
        <v>0.0216370199494937</v>
      </c>
      <c r="AG132" s="4">
        <f t="shared" si="57"/>
        <v>225</v>
      </c>
      <c r="AH132" s="8">
        <f t="shared" si="58"/>
        <v>2747.635294158845</v>
      </c>
      <c r="AI132" s="10">
        <f t="shared" si="59"/>
        <v>18.555118103351404</v>
      </c>
    </row>
    <row r="133" spans="1:35" ht="12.75">
      <c r="A133" s="111"/>
      <c r="B133" s="114"/>
      <c r="D133">
        <f t="shared" si="60"/>
        <v>2.25</v>
      </c>
      <c r="E133" s="4">
        <f t="shared" si="46"/>
        <v>42.75</v>
      </c>
      <c r="F133" s="15">
        <f t="shared" si="61"/>
        <v>6.25</v>
      </c>
      <c r="G133" s="15">
        <f t="shared" si="47"/>
        <v>14.0625</v>
      </c>
      <c r="I133" s="15">
        <f t="shared" si="62"/>
        <v>0</v>
      </c>
      <c r="J133" s="15">
        <f t="shared" si="48"/>
        <v>0</v>
      </c>
      <c r="K133" s="15"/>
      <c r="L133" s="15">
        <f t="shared" si="49"/>
        <v>6.25</v>
      </c>
      <c r="M133" s="15">
        <f t="shared" si="50"/>
        <v>14.0625</v>
      </c>
      <c r="O133" s="117"/>
      <c r="Q133">
        <f t="shared" si="51"/>
        <v>5.19</v>
      </c>
      <c r="R133" s="4">
        <f t="shared" si="52"/>
        <v>91.54424228980004</v>
      </c>
      <c r="T133" s="4">
        <f t="shared" si="53"/>
        <v>8.556434438697899</v>
      </c>
      <c r="X133" s="3">
        <f t="shared" si="54"/>
        <v>0.009729128197285915</v>
      </c>
      <c r="AA133" s="1">
        <f t="shared" si="42"/>
        <v>8.95908682352067E-06</v>
      </c>
      <c r="AB133">
        <f t="shared" si="55"/>
        <v>0.533</v>
      </c>
      <c r="AC133">
        <f t="shared" si="56"/>
        <v>5</v>
      </c>
      <c r="AD133" s="8">
        <f t="shared" si="43"/>
        <v>788.324391297771</v>
      </c>
      <c r="AE133" s="4">
        <f t="shared" si="44"/>
        <v>45629.147385544595</v>
      </c>
      <c r="AF133" s="5">
        <f t="shared" si="45"/>
        <v>0.021648404115137243</v>
      </c>
      <c r="AG133" s="4">
        <f t="shared" si="57"/>
        <v>225</v>
      </c>
      <c r="AH133" s="8">
        <f t="shared" si="58"/>
        <v>2762.708437576796</v>
      </c>
      <c r="AI133" s="10">
        <f t="shared" si="59"/>
        <v>18.527491018975635</v>
      </c>
    </row>
    <row r="134" spans="1:35" ht="12.75">
      <c r="A134" s="111"/>
      <c r="B134" s="114"/>
      <c r="D134">
        <f t="shared" si="60"/>
        <v>2.25</v>
      </c>
      <c r="E134" s="4">
        <f t="shared" si="46"/>
        <v>45</v>
      </c>
      <c r="F134" s="15">
        <f t="shared" si="61"/>
        <v>6.25</v>
      </c>
      <c r="G134" s="15">
        <f t="shared" si="47"/>
        <v>14.0625</v>
      </c>
      <c r="I134" s="15">
        <f t="shared" si="62"/>
        <v>0</v>
      </c>
      <c r="J134" s="15">
        <f t="shared" si="48"/>
        <v>0</v>
      </c>
      <c r="K134" s="15"/>
      <c r="L134" s="15">
        <f t="shared" si="49"/>
        <v>6.25</v>
      </c>
      <c r="M134" s="15">
        <f t="shared" si="50"/>
        <v>14.0625</v>
      </c>
      <c r="O134" s="117"/>
      <c r="Q134">
        <f t="shared" si="51"/>
        <v>5.19</v>
      </c>
      <c r="R134" s="4">
        <f t="shared" si="52"/>
        <v>91.8609089564667</v>
      </c>
      <c r="T134" s="4">
        <f t="shared" si="53"/>
        <v>8.556434438697899</v>
      </c>
      <c r="X134" s="3">
        <f t="shared" si="54"/>
        <v>0.009681153594204942</v>
      </c>
      <c r="AA134" s="1">
        <f t="shared" si="42"/>
        <v>8.977917090187336E-06</v>
      </c>
      <c r="AB134">
        <f t="shared" si="55"/>
        <v>0.533</v>
      </c>
      <c r="AC134">
        <f t="shared" si="56"/>
        <v>5</v>
      </c>
      <c r="AD134" s="8">
        <f t="shared" si="43"/>
        <v>792.2309040292906</v>
      </c>
      <c r="AE134" s="4">
        <f t="shared" si="44"/>
        <v>45533.4448963802</v>
      </c>
      <c r="AF134" s="5">
        <f t="shared" si="45"/>
        <v>0.021659770349414683</v>
      </c>
      <c r="AG134" s="4">
        <f t="shared" si="57"/>
        <v>225</v>
      </c>
      <c r="AH134" s="8">
        <f t="shared" si="58"/>
        <v>2777.85665322407</v>
      </c>
      <c r="AI134" s="10">
        <f t="shared" si="59"/>
        <v>18.499712452443394</v>
      </c>
    </row>
    <row r="135" spans="1:35" ht="12.75">
      <c r="A135" s="111"/>
      <c r="B135" s="114"/>
      <c r="D135">
        <f t="shared" si="60"/>
        <v>2.25</v>
      </c>
      <c r="E135" s="4">
        <f t="shared" si="46"/>
        <v>47.25</v>
      </c>
      <c r="F135" s="15">
        <f t="shared" si="61"/>
        <v>6.25</v>
      </c>
      <c r="G135" s="15">
        <f t="shared" si="47"/>
        <v>14.0625</v>
      </c>
      <c r="I135" s="15">
        <f t="shared" si="62"/>
        <v>0</v>
      </c>
      <c r="J135" s="15">
        <f t="shared" si="48"/>
        <v>0</v>
      </c>
      <c r="K135" s="15"/>
      <c r="L135" s="15">
        <f t="shared" si="49"/>
        <v>6.25</v>
      </c>
      <c r="M135" s="15">
        <f t="shared" si="50"/>
        <v>14.0625</v>
      </c>
      <c r="O135" s="117"/>
      <c r="Q135">
        <f t="shared" si="51"/>
        <v>5.19</v>
      </c>
      <c r="R135" s="4">
        <f t="shared" si="52"/>
        <v>92.17757562313336</v>
      </c>
      <c r="T135" s="4">
        <f t="shared" si="53"/>
        <v>8.556434438697899</v>
      </c>
      <c r="X135" s="3">
        <f t="shared" si="54"/>
        <v>0.009633429732929853</v>
      </c>
      <c r="AA135" s="1">
        <f t="shared" si="42"/>
        <v>8.996747356854003E-06</v>
      </c>
      <c r="AB135">
        <f t="shared" si="55"/>
        <v>0.533</v>
      </c>
      <c r="AC135">
        <f t="shared" si="56"/>
        <v>5</v>
      </c>
      <c r="AD135" s="8">
        <f t="shared" si="43"/>
        <v>796.1556036232986</v>
      </c>
      <c r="AE135" s="4">
        <f t="shared" si="44"/>
        <v>45438.143019419345</v>
      </c>
      <c r="AF135" s="5">
        <f t="shared" si="45"/>
        <v>0.021671118718090483</v>
      </c>
      <c r="AG135" s="4">
        <f t="shared" si="57"/>
        <v>225</v>
      </c>
      <c r="AH135" s="8">
        <f t="shared" si="58"/>
        <v>2793.080745708542</v>
      </c>
      <c r="AI135" s="10">
        <f t="shared" si="59"/>
        <v>18.471781644986308</v>
      </c>
    </row>
    <row r="136" spans="1:35" ht="12.75">
      <c r="A136" s="111"/>
      <c r="B136" s="114"/>
      <c r="D136">
        <f t="shared" si="60"/>
        <v>2.25</v>
      </c>
      <c r="E136" s="4">
        <f t="shared" si="46"/>
        <v>49.5</v>
      </c>
      <c r="F136" s="15">
        <f t="shared" si="61"/>
        <v>6.25</v>
      </c>
      <c r="G136" s="15">
        <f t="shared" si="47"/>
        <v>14.0625</v>
      </c>
      <c r="I136" s="15">
        <f t="shared" si="62"/>
        <v>0</v>
      </c>
      <c r="J136" s="15">
        <f t="shared" si="48"/>
        <v>0</v>
      </c>
      <c r="K136" s="15"/>
      <c r="L136" s="15">
        <f t="shared" si="49"/>
        <v>6.25</v>
      </c>
      <c r="M136" s="15">
        <f t="shared" si="50"/>
        <v>14.0625</v>
      </c>
      <c r="O136" s="117"/>
      <c r="Q136">
        <f t="shared" si="51"/>
        <v>5.19</v>
      </c>
      <c r="R136" s="4">
        <f t="shared" si="52"/>
        <v>92.49424228980003</v>
      </c>
      <c r="T136" s="4">
        <f t="shared" si="53"/>
        <v>8.556434438697899</v>
      </c>
      <c r="X136" s="3">
        <f t="shared" si="54"/>
        <v>0.009585953644350458</v>
      </c>
      <c r="AA136" s="1">
        <f t="shared" si="42"/>
        <v>9.015577623520667E-06</v>
      </c>
      <c r="AB136">
        <f t="shared" si="55"/>
        <v>0.533</v>
      </c>
      <c r="AC136">
        <f t="shared" si="56"/>
        <v>5</v>
      </c>
      <c r="AD136" s="8">
        <f t="shared" si="43"/>
        <v>800.0987015520976</v>
      </c>
      <c r="AE136" s="4">
        <f t="shared" si="44"/>
        <v>45343.23924446193</v>
      </c>
      <c r="AF136" s="5">
        <f t="shared" si="45"/>
        <v>0.02168244928655092</v>
      </c>
      <c r="AG136" s="4">
        <f t="shared" si="57"/>
        <v>225</v>
      </c>
      <c r="AH136" s="8">
        <f t="shared" si="58"/>
        <v>2808.381531958141</v>
      </c>
      <c r="AI136" s="10">
        <f t="shared" si="59"/>
        <v>18.443697829666725</v>
      </c>
    </row>
    <row r="137" spans="1:35" ht="12.75">
      <c r="A137" s="111"/>
      <c r="B137" s="114"/>
      <c r="D137">
        <f t="shared" si="60"/>
        <v>2.25</v>
      </c>
      <c r="E137" s="4">
        <f t="shared" si="46"/>
        <v>51.75</v>
      </c>
      <c r="F137" s="15">
        <f t="shared" si="61"/>
        <v>6.25</v>
      </c>
      <c r="G137" s="15">
        <f t="shared" si="47"/>
        <v>14.0625</v>
      </c>
      <c r="I137" s="15">
        <f t="shared" si="62"/>
        <v>0</v>
      </c>
      <c r="J137" s="15">
        <f t="shared" si="48"/>
        <v>0</v>
      </c>
      <c r="K137" s="15"/>
      <c r="L137" s="15">
        <f t="shared" si="49"/>
        <v>6.25</v>
      </c>
      <c r="M137" s="15">
        <f t="shared" si="50"/>
        <v>14.0625</v>
      </c>
      <c r="O137" s="117"/>
      <c r="Q137">
        <f t="shared" si="51"/>
        <v>5.19</v>
      </c>
      <c r="R137" s="4">
        <f t="shared" si="52"/>
        <v>92.81090895646669</v>
      </c>
      <c r="T137" s="4">
        <f t="shared" si="53"/>
        <v>8.556434438697899</v>
      </c>
      <c r="X137" s="3">
        <f t="shared" si="54"/>
        <v>0.009538722395653457</v>
      </c>
      <c r="AA137" s="1">
        <f t="shared" si="42"/>
        <v>9.034407890187335E-06</v>
      </c>
      <c r="AB137">
        <f t="shared" si="55"/>
        <v>0.533</v>
      </c>
      <c r="AC137">
        <f t="shared" si="56"/>
        <v>5</v>
      </c>
      <c r="AD137" s="8">
        <f t="shared" si="43"/>
        <v>804.0604124802164</v>
      </c>
      <c r="AE137" s="4">
        <f t="shared" si="44"/>
        <v>45248.731082235696</v>
      </c>
      <c r="AF137" s="5">
        <f t="shared" si="45"/>
        <v>0.021693762119806965</v>
      </c>
      <c r="AG137" s="4">
        <f t="shared" si="57"/>
        <v>225</v>
      </c>
      <c r="AH137" s="8">
        <f t="shared" si="58"/>
        <v>2823.7598414638956</v>
      </c>
      <c r="AI137" s="10">
        <f t="shared" si="59"/>
        <v>18.415460231252087</v>
      </c>
    </row>
    <row r="138" spans="1:35" ht="12.75">
      <c r="A138" s="111"/>
      <c r="B138" s="114"/>
      <c r="D138">
        <f t="shared" si="60"/>
        <v>2.25</v>
      </c>
      <c r="E138" s="4">
        <f t="shared" si="46"/>
        <v>54</v>
      </c>
      <c r="F138" s="15">
        <f t="shared" si="61"/>
        <v>6.25</v>
      </c>
      <c r="G138" s="15">
        <f t="shared" si="47"/>
        <v>14.0625</v>
      </c>
      <c r="I138" s="15">
        <f t="shared" si="62"/>
        <v>0</v>
      </c>
      <c r="J138" s="15">
        <f t="shared" si="48"/>
        <v>0</v>
      </c>
      <c r="K138" s="15"/>
      <c r="L138" s="15">
        <f t="shared" si="49"/>
        <v>6.25</v>
      </c>
      <c r="M138" s="15">
        <f t="shared" si="50"/>
        <v>14.0625</v>
      </c>
      <c r="O138" s="117"/>
      <c r="Q138">
        <f t="shared" si="51"/>
        <v>5.19</v>
      </c>
      <c r="R138" s="4">
        <f t="shared" si="52"/>
        <v>93.12757562313335</v>
      </c>
      <c r="T138" s="4">
        <f t="shared" si="53"/>
        <v>8.556434438697899</v>
      </c>
      <c r="X138" s="3">
        <f t="shared" si="54"/>
        <v>0.009491733089640578</v>
      </c>
      <c r="AA138" s="1">
        <f t="shared" si="42"/>
        <v>9.053238156854002E-06</v>
      </c>
      <c r="AB138">
        <f t="shared" si="55"/>
        <v>0.533</v>
      </c>
      <c r="AC138">
        <f t="shared" si="56"/>
        <v>5</v>
      </c>
      <c r="AD138" s="8">
        <f t="shared" si="43"/>
        <v>808.0409543283762</v>
      </c>
      <c r="AE138" s="4">
        <f t="shared" si="44"/>
        <v>45154.6160641787</v>
      </c>
      <c r="AF138" s="5">
        <f t="shared" si="45"/>
        <v>0.02170505728249725</v>
      </c>
      <c r="AG138" s="4">
        <f t="shared" si="57"/>
        <v>225</v>
      </c>
      <c r="AH138" s="8">
        <f t="shared" si="58"/>
        <v>2839.216516528935</v>
      </c>
      <c r="AI138" s="10">
        <f t="shared" si="59"/>
        <v>18.387068066086798</v>
      </c>
    </row>
    <row r="139" spans="1:35" ht="12.75">
      <c r="A139" s="111"/>
      <c r="B139" s="114"/>
      <c r="D139">
        <f t="shared" si="60"/>
        <v>2.25</v>
      </c>
      <c r="E139" s="4">
        <f t="shared" si="46"/>
        <v>56.25</v>
      </c>
      <c r="F139" s="15">
        <f t="shared" si="61"/>
        <v>6.25</v>
      </c>
      <c r="G139" s="15">
        <f t="shared" si="47"/>
        <v>14.0625</v>
      </c>
      <c r="I139" s="15">
        <f t="shared" si="62"/>
        <v>0</v>
      </c>
      <c r="J139" s="15">
        <f t="shared" si="48"/>
        <v>0</v>
      </c>
      <c r="K139" s="15"/>
      <c r="L139" s="15">
        <f t="shared" si="49"/>
        <v>6.25</v>
      </c>
      <c r="M139" s="15">
        <f t="shared" si="50"/>
        <v>14.0625</v>
      </c>
      <c r="O139" s="117"/>
      <c r="Q139">
        <f t="shared" si="51"/>
        <v>5.19</v>
      </c>
      <c r="R139" s="4">
        <f t="shared" si="52"/>
        <v>93.44424228980002</v>
      </c>
      <c r="T139" s="4">
        <f t="shared" si="53"/>
        <v>8.556434438697899</v>
      </c>
      <c r="X139" s="3">
        <f t="shared" si="54"/>
        <v>0.009444982864059297</v>
      </c>
      <c r="AA139" s="1">
        <f t="shared" si="42"/>
        <v>9.072068423520668E-06</v>
      </c>
      <c r="AB139">
        <f t="shared" si="55"/>
        <v>0.533</v>
      </c>
      <c r="AC139">
        <f t="shared" si="56"/>
        <v>5</v>
      </c>
      <c r="AD139" s="8">
        <f t="shared" si="43"/>
        <v>812.0405483390242</v>
      </c>
      <c r="AE139" s="4">
        <f t="shared" si="44"/>
        <v>45060.89174222418</v>
      </c>
      <c r="AF139" s="5">
        <f t="shared" si="45"/>
        <v>0.02171633483889101</v>
      </c>
      <c r="AG139" s="4">
        <f t="shared" si="57"/>
        <v>225</v>
      </c>
      <c r="AH139" s="8">
        <f t="shared" si="58"/>
        <v>2854.752412523589</v>
      </c>
      <c r="AI139" s="10">
        <f t="shared" si="59"/>
        <v>18.35852054196156</v>
      </c>
    </row>
    <row r="140" spans="1:35" ht="12.75">
      <c r="A140" s="111"/>
      <c r="B140" s="114"/>
      <c r="D140">
        <f t="shared" si="60"/>
        <v>2.25</v>
      </c>
      <c r="E140" s="4">
        <f t="shared" si="46"/>
        <v>58.5</v>
      </c>
      <c r="F140" s="15">
        <f t="shared" si="61"/>
        <v>6.25</v>
      </c>
      <c r="G140" s="15">
        <f t="shared" si="47"/>
        <v>14.0625</v>
      </c>
      <c r="I140" s="15">
        <f t="shared" si="62"/>
        <v>0</v>
      </c>
      <c r="J140" s="15">
        <f t="shared" si="48"/>
        <v>0</v>
      </c>
      <c r="K140" s="15"/>
      <c r="L140" s="15">
        <f t="shared" si="49"/>
        <v>6.25</v>
      </c>
      <c r="M140" s="15">
        <f t="shared" si="50"/>
        <v>14.0625</v>
      </c>
      <c r="O140" s="117"/>
      <c r="Q140">
        <f t="shared" si="51"/>
        <v>5.19</v>
      </c>
      <c r="R140" s="4">
        <f t="shared" si="52"/>
        <v>93.76090895646668</v>
      </c>
      <c r="T140" s="4">
        <f t="shared" si="53"/>
        <v>8.556434438697899</v>
      </c>
      <c r="X140" s="3">
        <f t="shared" si="54"/>
        <v>0.009398468890945815</v>
      </c>
      <c r="AA140" s="1">
        <f t="shared" si="42"/>
        <v>9.090898690187334E-06</v>
      </c>
      <c r="AB140">
        <f t="shared" si="55"/>
        <v>0.533</v>
      </c>
      <c r="AC140">
        <f t="shared" si="56"/>
        <v>5</v>
      </c>
      <c r="AD140" s="8">
        <f t="shared" si="43"/>
        <v>816.0594191434895</v>
      </c>
      <c r="AE140" s="4">
        <f t="shared" si="44"/>
        <v>44967.5556885885</v>
      </c>
      <c r="AF140" s="5">
        <f t="shared" si="45"/>
        <v>0.021727594852890872</v>
      </c>
      <c r="AG140" s="4">
        <f t="shared" si="57"/>
        <v>225</v>
      </c>
      <c r="AH140" s="8">
        <f t="shared" si="58"/>
        <v>2870.3683981468107</v>
      </c>
      <c r="AI140" s="10">
        <f t="shared" si="59"/>
        <v>18.32981685798009</v>
      </c>
    </row>
    <row r="141" spans="1:35" ht="12.75">
      <c r="A141" s="111"/>
      <c r="B141" s="114"/>
      <c r="D141">
        <f t="shared" si="60"/>
        <v>2.25</v>
      </c>
      <c r="E141" s="4">
        <f t="shared" si="46"/>
        <v>60.75</v>
      </c>
      <c r="F141" s="15">
        <f t="shared" si="61"/>
        <v>6.25</v>
      </c>
      <c r="G141" s="15">
        <f t="shared" si="47"/>
        <v>14.0625</v>
      </c>
      <c r="I141" s="15">
        <f t="shared" si="62"/>
        <v>0</v>
      </c>
      <c r="J141" s="15">
        <f t="shared" si="48"/>
        <v>0</v>
      </c>
      <c r="K141" s="15"/>
      <c r="L141" s="15">
        <f t="shared" si="49"/>
        <v>6.25</v>
      </c>
      <c r="M141" s="15">
        <f t="shared" si="50"/>
        <v>14.0625</v>
      </c>
      <c r="O141" s="117"/>
      <c r="Q141">
        <f t="shared" si="51"/>
        <v>5.19</v>
      </c>
      <c r="R141" s="4">
        <f t="shared" si="52"/>
        <v>94.07757562313334</v>
      </c>
      <c r="T141" s="4">
        <f t="shared" si="53"/>
        <v>8.556434438697899</v>
      </c>
      <c r="X141" s="3">
        <f t="shared" si="54"/>
        <v>0.009352188375979974</v>
      </c>
      <c r="AA141" s="1">
        <f t="shared" si="42"/>
        <v>9.109728956854001E-06</v>
      </c>
      <c r="AB141">
        <f t="shared" si="55"/>
        <v>0.533</v>
      </c>
      <c r="AC141">
        <f t="shared" si="56"/>
        <v>5</v>
      </c>
      <c r="AD141" s="8">
        <f t="shared" si="43"/>
        <v>820.0977948307981</v>
      </c>
      <c r="AE141" s="4">
        <f t="shared" si="44"/>
        <v>44874.60549556138</v>
      </c>
      <c r="AF141" s="5">
        <f t="shared" si="45"/>
        <v>0.021738837388035784</v>
      </c>
      <c r="AG141" s="4">
        <f t="shared" si="57"/>
        <v>225</v>
      </c>
      <c r="AH141" s="8">
        <f t="shared" si="58"/>
        <v>2886.065355694067</v>
      </c>
      <c r="AI141" s="10">
        <f t="shared" si="59"/>
        <v>18.30095620442315</v>
      </c>
    </row>
    <row r="142" spans="1:35" ht="12.75">
      <c r="A142" s="111"/>
      <c r="B142" s="114"/>
      <c r="D142">
        <f t="shared" si="60"/>
        <v>2.25</v>
      </c>
      <c r="E142" s="4">
        <f t="shared" si="46"/>
        <v>63</v>
      </c>
      <c r="F142" s="15">
        <f t="shared" si="61"/>
        <v>6.25</v>
      </c>
      <c r="G142" s="15">
        <f t="shared" si="47"/>
        <v>14.0625</v>
      </c>
      <c r="I142" s="15">
        <f t="shared" si="62"/>
        <v>0</v>
      </c>
      <c r="J142" s="15">
        <f t="shared" si="48"/>
        <v>0</v>
      </c>
      <c r="K142" s="15"/>
      <c r="L142" s="15">
        <f t="shared" si="49"/>
        <v>6.25</v>
      </c>
      <c r="M142" s="15">
        <f t="shared" si="50"/>
        <v>14.0625</v>
      </c>
      <c r="O142" s="117"/>
      <c r="Q142">
        <f t="shared" si="51"/>
        <v>5.19</v>
      </c>
      <c r="R142" s="4">
        <f t="shared" si="52"/>
        <v>94.3942422898</v>
      </c>
      <c r="T142" s="4">
        <f t="shared" si="53"/>
        <v>8.556434438697899</v>
      </c>
      <c r="X142" s="3">
        <f t="shared" si="54"/>
        <v>0.009306138557851784</v>
      </c>
      <c r="AA142" s="1">
        <f t="shared" si="42"/>
        <v>9.128559223520667E-06</v>
      </c>
      <c r="AB142">
        <f t="shared" si="55"/>
        <v>0.533</v>
      </c>
      <c r="AC142">
        <f t="shared" si="56"/>
        <v>5</v>
      </c>
      <c r="AD142" s="8">
        <f t="shared" si="43"/>
        <v>824.1559070182018</v>
      </c>
      <c r="AE142" s="4">
        <f t="shared" si="44"/>
        <v>44782.03877529892</v>
      </c>
      <c r="AF142" s="5">
        <f t="shared" si="45"/>
        <v>0.021750062507503755</v>
      </c>
      <c r="AG142" s="4">
        <f t="shared" si="57"/>
        <v>225</v>
      </c>
      <c r="AH142" s="8">
        <f t="shared" si="58"/>
        <v>2901.8441813319005</v>
      </c>
      <c r="AI142" s="10">
        <f t="shared" si="59"/>
        <v>18.271937762609834</v>
      </c>
    </row>
    <row r="143" spans="1:35" ht="12.75">
      <c r="A143" s="111"/>
      <c r="B143" s="114"/>
      <c r="D143">
        <f t="shared" si="60"/>
        <v>2.25</v>
      </c>
      <c r="E143" s="4">
        <f t="shared" si="46"/>
        <v>65.25</v>
      </c>
      <c r="F143" s="15">
        <f t="shared" si="61"/>
        <v>6.25</v>
      </c>
      <c r="G143" s="15">
        <f t="shared" si="47"/>
        <v>14.0625</v>
      </c>
      <c r="I143" s="15">
        <f t="shared" si="62"/>
        <v>0</v>
      </c>
      <c r="J143" s="15">
        <f t="shared" si="48"/>
        <v>0</v>
      </c>
      <c r="K143" s="15"/>
      <c r="L143" s="15">
        <f t="shared" si="49"/>
        <v>6.25</v>
      </c>
      <c r="M143" s="15">
        <f t="shared" si="50"/>
        <v>14.0625</v>
      </c>
      <c r="O143" s="117"/>
      <c r="Q143">
        <f t="shared" si="51"/>
        <v>5.19</v>
      </c>
      <c r="R143" s="4">
        <f t="shared" si="52"/>
        <v>94.71090895646667</v>
      </c>
      <c r="T143" s="4">
        <f t="shared" si="53"/>
        <v>8.556434438697899</v>
      </c>
      <c r="X143" s="3">
        <f t="shared" si="54"/>
        <v>0.00926031670763929</v>
      </c>
      <c r="AA143" s="1">
        <f t="shared" si="42"/>
        <v>9.147389490187335E-06</v>
      </c>
      <c r="AB143">
        <f t="shared" si="55"/>
        <v>0.533</v>
      </c>
      <c r="AC143">
        <f t="shared" si="56"/>
        <v>5</v>
      </c>
      <c r="AD143" s="8">
        <f t="shared" si="43"/>
        <v>828.2339909234723</v>
      </c>
      <c r="AE143" s="4">
        <f t="shared" si="44"/>
        <v>44689.85315961912</v>
      </c>
      <c r="AF143" s="5">
        <f t="shared" si="45"/>
        <v>0.021761270274114702</v>
      </c>
      <c r="AG143" s="4">
        <f t="shared" si="57"/>
        <v>225</v>
      </c>
      <c r="AH143" s="8">
        <f t="shared" si="58"/>
        <v>2917.705785379385</v>
      </c>
      <c r="AI143" s="10">
        <f t="shared" si="59"/>
        <v>18.24276070475604</v>
      </c>
    </row>
    <row r="144" spans="1:35" ht="13.5" thickBot="1">
      <c r="A144" s="112"/>
      <c r="B144" s="115"/>
      <c r="D144">
        <f t="shared" si="60"/>
        <v>2.25</v>
      </c>
      <c r="E144" s="4">
        <f t="shared" si="46"/>
        <v>67.5</v>
      </c>
      <c r="F144" s="15">
        <f t="shared" si="61"/>
        <v>6.25</v>
      </c>
      <c r="G144" s="15">
        <f t="shared" si="47"/>
        <v>14.0625</v>
      </c>
      <c r="I144" s="15">
        <f t="shared" si="62"/>
        <v>0</v>
      </c>
      <c r="J144" s="15">
        <f t="shared" si="48"/>
        <v>0</v>
      </c>
      <c r="K144" s="15"/>
      <c r="L144" s="15">
        <f t="shared" si="49"/>
        <v>6.25</v>
      </c>
      <c r="M144" s="15">
        <f t="shared" si="50"/>
        <v>14.0625</v>
      </c>
      <c r="O144" s="118"/>
      <c r="Q144">
        <f t="shared" si="51"/>
        <v>5.19</v>
      </c>
      <c r="R144" s="4">
        <f t="shared" si="52"/>
        <v>95.02757562313333</v>
      </c>
      <c r="T144" s="4">
        <f t="shared" si="53"/>
        <v>8.556434438697899</v>
      </c>
      <c r="X144" s="3">
        <f t="shared" si="54"/>
        <v>0.009214720128197426</v>
      </c>
      <c r="AA144" s="1">
        <f t="shared" si="42"/>
        <v>9.166219756853999E-06</v>
      </c>
      <c r="AB144">
        <f t="shared" si="55"/>
        <v>0.533</v>
      </c>
      <c r="AC144">
        <f t="shared" si="56"/>
        <v>5</v>
      </c>
      <c r="AD144" s="8">
        <f t="shared" si="43"/>
        <v>832.3322854390087</v>
      </c>
      <c r="AE144" s="4">
        <f t="shared" si="44"/>
        <v>44598.0462997999</v>
      </c>
      <c r="AF144" s="5">
        <f t="shared" si="45"/>
        <v>0.021772460750333202</v>
      </c>
      <c r="AG144" s="4">
        <f t="shared" si="57"/>
        <v>225</v>
      </c>
      <c r="AH144" s="8">
        <f t="shared" si="58"/>
        <v>2933.6510925966204</v>
      </c>
      <c r="AI144" s="10">
        <f t="shared" si="59"/>
        <v>18.213424193830075</v>
      </c>
    </row>
    <row r="145" spans="1:35" ht="12.75">
      <c r="A145" s="108" t="s">
        <v>44</v>
      </c>
      <c r="B145" s="113">
        <f>O145</f>
        <v>210.9375</v>
      </c>
      <c r="D145">
        <f t="shared" si="60"/>
        <v>2.25</v>
      </c>
      <c r="E145" s="4">
        <f t="shared" si="46"/>
        <v>69.75</v>
      </c>
      <c r="F145" s="15">
        <f t="shared" si="61"/>
        <v>6.25</v>
      </c>
      <c r="G145" s="15">
        <f t="shared" si="47"/>
        <v>14.0625</v>
      </c>
      <c r="I145" s="15">
        <f t="shared" si="62"/>
        <v>0</v>
      </c>
      <c r="J145" s="15">
        <f t="shared" si="48"/>
        <v>0</v>
      </c>
      <c r="K145" s="15"/>
      <c r="L145" s="15">
        <f t="shared" si="49"/>
        <v>6.25</v>
      </c>
      <c r="M145" s="15">
        <f t="shared" si="50"/>
        <v>14.0625</v>
      </c>
      <c r="O145" s="116">
        <f>SUM(M145:M159)</f>
        <v>210.9375</v>
      </c>
      <c r="Q145">
        <f t="shared" si="51"/>
        <v>5.19</v>
      </c>
      <c r="R145" s="4">
        <f t="shared" si="52"/>
        <v>95.3442422898</v>
      </c>
      <c r="T145" s="4">
        <f t="shared" si="53"/>
        <v>8.556434438697899</v>
      </c>
      <c r="X145" s="3">
        <f t="shared" si="54"/>
        <v>0.009169346153557623</v>
      </c>
      <c r="AA145" s="1">
        <f t="shared" si="42"/>
        <v>9.185050023520666E-06</v>
      </c>
      <c r="AB145">
        <f t="shared" si="55"/>
        <v>0.533</v>
      </c>
      <c r="AC145">
        <f t="shared" si="56"/>
        <v>5</v>
      </c>
      <c r="AD145" s="8">
        <f t="shared" si="43"/>
        <v>836.4510332078171</v>
      </c>
      <c r="AE145" s="4">
        <f t="shared" si="44"/>
        <v>44506.615866379594</v>
      </c>
      <c r="AF145" s="5">
        <f t="shared" si="45"/>
        <v>0.021783633998271212</v>
      </c>
      <c r="AG145" s="4">
        <f t="shared" si="57"/>
        <v>225</v>
      </c>
      <c r="AH145" s="8">
        <f t="shared" si="58"/>
        <v>2949.6810424805467</v>
      </c>
      <c r="AI145" s="10">
        <f t="shared" si="59"/>
        <v>18.18392738340527</v>
      </c>
    </row>
    <row r="146" spans="1:35" ht="12.75">
      <c r="A146" s="111"/>
      <c r="B146" s="114"/>
      <c r="D146">
        <f t="shared" si="60"/>
        <v>2.25</v>
      </c>
      <c r="E146" s="4">
        <f t="shared" si="46"/>
        <v>72</v>
      </c>
      <c r="F146" s="15">
        <f t="shared" si="61"/>
        <v>6.25</v>
      </c>
      <c r="G146" s="15">
        <f t="shared" si="47"/>
        <v>14.0625</v>
      </c>
      <c r="I146" s="15">
        <f t="shared" si="62"/>
        <v>0</v>
      </c>
      <c r="J146" s="15">
        <f t="shared" si="48"/>
        <v>0</v>
      </c>
      <c r="K146" s="15"/>
      <c r="L146" s="15">
        <f t="shared" si="49"/>
        <v>6.25</v>
      </c>
      <c r="M146" s="15">
        <f t="shared" si="50"/>
        <v>14.0625</v>
      </c>
      <c r="O146" s="117"/>
      <c r="Q146">
        <f t="shared" si="51"/>
        <v>5.19</v>
      </c>
      <c r="R146" s="4">
        <f t="shared" si="52"/>
        <v>95.66090895646666</v>
      </c>
      <c r="T146" s="4">
        <f t="shared" si="53"/>
        <v>8.556434438697899</v>
      </c>
      <c r="X146" s="3">
        <f t="shared" si="54"/>
        <v>0.009124192148337828</v>
      </c>
      <c r="AA146" s="1">
        <f t="shared" si="42"/>
        <v>9.203880290187334E-06</v>
      </c>
      <c r="AB146">
        <f t="shared" si="55"/>
        <v>0.533</v>
      </c>
      <c r="AC146">
        <f t="shared" si="56"/>
        <v>5</v>
      </c>
      <c r="AD146" s="8">
        <f t="shared" si="43"/>
        <v>840.5904807014181</v>
      </c>
      <c r="AE146" s="4">
        <f t="shared" si="44"/>
        <v>44415.559548960046</v>
      </c>
      <c r="AF146" s="5">
        <f t="shared" si="45"/>
        <v>0.021794790079690776</v>
      </c>
      <c r="AG146" s="4">
        <f t="shared" si="57"/>
        <v>225</v>
      </c>
      <c r="AH146" s="8">
        <f t="shared" si="58"/>
        <v>2965.796589568253</v>
      </c>
      <c r="AI146" s="10">
        <f t="shared" si="59"/>
        <v>18.154269417509585</v>
      </c>
    </row>
    <row r="147" spans="1:35" ht="12.75">
      <c r="A147" s="111"/>
      <c r="B147" s="114"/>
      <c r="D147">
        <f t="shared" si="60"/>
        <v>2.25</v>
      </c>
      <c r="E147" s="4">
        <f t="shared" si="46"/>
        <v>74.25</v>
      </c>
      <c r="F147" s="15">
        <f t="shared" si="61"/>
        <v>6.25</v>
      </c>
      <c r="G147" s="15">
        <f t="shared" si="47"/>
        <v>14.0625</v>
      </c>
      <c r="I147" s="15">
        <f t="shared" si="62"/>
        <v>0</v>
      </c>
      <c r="J147" s="15">
        <f t="shared" si="48"/>
        <v>0</v>
      </c>
      <c r="K147" s="15"/>
      <c r="L147" s="15">
        <f t="shared" si="49"/>
        <v>6.25</v>
      </c>
      <c r="M147" s="15">
        <f t="shared" si="50"/>
        <v>14.0625</v>
      </c>
      <c r="O147" s="117"/>
      <c r="Q147">
        <f t="shared" si="51"/>
        <v>5.19</v>
      </c>
      <c r="R147" s="4">
        <f t="shared" si="52"/>
        <v>95.97757562313332</v>
      </c>
      <c r="T147" s="4">
        <f t="shared" si="53"/>
        <v>8.556434438697899</v>
      </c>
      <c r="X147" s="3">
        <f t="shared" si="54"/>
        <v>0.009079255507162723</v>
      </c>
      <c r="AA147" s="1">
        <f t="shared" si="42"/>
        <v>9.222710556854E-06</v>
      </c>
      <c r="AB147">
        <f t="shared" si="55"/>
        <v>0.533</v>
      </c>
      <c r="AC147">
        <f t="shared" si="56"/>
        <v>5</v>
      </c>
      <c r="AD147" s="8">
        <f t="shared" si="43"/>
        <v>844.750878299733</v>
      </c>
      <c r="AE147" s="4">
        <f t="shared" si="44"/>
        <v>44324.87505601187</v>
      </c>
      <c r="AF147" s="5">
        <f t="shared" si="45"/>
        <v>0.02180592905600672</v>
      </c>
      <c r="AG147" s="4">
        <f t="shared" si="57"/>
        <v>225</v>
      </c>
      <c r="AH147" s="8">
        <f t="shared" si="58"/>
        <v>2981.998703747989</v>
      </c>
      <c r="AI147" s="10">
        <f t="shared" si="59"/>
        <v>18.124449430472104</v>
      </c>
    </row>
    <row r="148" spans="1:35" ht="12.75">
      <c r="A148" s="111"/>
      <c r="B148" s="114"/>
      <c r="D148">
        <f t="shared" si="60"/>
        <v>2.25</v>
      </c>
      <c r="E148" s="4">
        <f t="shared" si="46"/>
        <v>76.5</v>
      </c>
      <c r="F148" s="15">
        <f t="shared" si="61"/>
        <v>6.25</v>
      </c>
      <c r="G148" s="15">
        <f t="shared" si="47"/>
        <v>14.0625</v>
      </c>
      <c r="I148" s="15">
        <f t="shared" si="62"/>
        <v>0</v>
      </c>
      <c r="J148" s="15">
        <f t="shared" si="48"/>
        <v>0</v>
      </c>
      <c r="K148" s="15"/>
      <c r="L148" s="15">
        <f t="shared" si="49"/>
        <v>6.25</v>
      </c>
      <c r="M148" s="15">
        <f t="shared" si="50"/>
        <v>14.0625</v>
      </c>
      <c r="O148" s="117"/>
      <c r="Q148">
        <f t="shared" si="51"/>
        <v>5.19</v>
      </c>
      <c r="R148" s="4">
        <f t="shared" si="52"/>
        <v>96.29424228979998</v>
      </c>
      <c r="T148" s="4">
        <f t="shared" si="53"/>
        <v>8.556434438697899</v>
      </c>
      <c r="X148" s="3">
        <f t="shared" si="54"/>
        <v>0.009034533654093806</v>
      </c>
      <c r="AA148" s="1">
        <f t="shared" si="42"/>
        <v>9.241540823520665E-06</v>
      </c>
      <c r="AB148">
        <f t="shared" si="55"/>
        <v>0.533</v>
      </c>
      <c r="AC148">
        <f t="shared" si="56"/>
        <v>5</v>
      </c>
      <c r="AD148" s="8">
        <f t="shared" si="43"/>
        <v>848.9324803730221</v>
      </c>
      <c r="AE148" s="4">
        <f t="shared" si="44"/>
        <v>44234.560114682274</v>
      </c>
      <c r="AF148" s="5">
        <f t="shared" si="45"/>
        <v>0.02181705098828929</v>
      </c>
      <c r="AG148" s="4">
        <f t="shared" si="57"/>
        <v>225</v>
      </c>
      <c r="AH148" s="8">
        <f t="shared" si="58"/>
        <v>2998.2883705781937</v>
      </c>
      <c r="AI148" s="10">
        <f t="shared" si="59"/>
        <v>18.094466546766323</v>
      </c>
    </row>
    <row r="149" spans="1:35" ht="12.75">
      <c r="A149" s="111"/>
      <c r="B149" s="114"/>
      <c r="D149">
        <f t="shared" si="60"/>
        <v>2.25</v>
      </c>
      <c r="E149" s="4">
        <f t="shared" si="46"/>
        <v>78.75</v>
      </c>
      <c r="F149" s="15">
        <f t="shared" si="61"/>
        <v>6.25</v>
      </c>
      <c r="G149" s="15">
        <f t="shared" si="47"/>
        <v>14.0625</v>
      </c>
      <c r="I149" s="15">
        <f t="shared" si="62"/>
        <v>0</v>
      </c>
      <c r="J149" s="15">
        <f t="shared" si="48"/>
        <v>0</v>
      </c>
      <c r="K149" s="15"/>
      <c r="L149" s="15">
        <f t="shared" si="49"/>
        <v>6.25</v>
      </c>
      <c r="M149" s="15">
        <f t="shared" si="50"/>
        <v>14.0625</v>
      </c>
      <c r="O149" s="117"/>
      <c r="Q149">
        <f t="shared" si="51"/>
        <v>5.19</v>
      </c>
      <c r="R149" s="4">
        <f t="shared" si="52"/>
        <v>96.61090895646664</v>
      </c>
      <c r="T149" s="4">
        <f t="shared" si="53"/>
        <v>8.556434438697899</v>
      </c>
      <c r="X149" s="3">
        <f t="shared" si="54"/>
        <v>0.008990024042069094</v>
      </c>
      <c r="AA149" s="1">
        <f t="shared" si="42"/>
        <v>9.260371090187333E-06</v>
      </c>
      <c r="AB149">
        <f t="shared" si="55"/>
        <v>0.533</v>
      </c>
      <c r="AC149">
        <f t="shared" si="56"/>
        <v>5</v>
      </c>
      <c r="AD149" s="8">
        <f t="shared" si="43"/>
        <v>853.1355453659254</v>
      </c>
      <c r="AE149" s="4">
        <f t="shared" si="44"/>
        <v>44144.61247060514</v>
      </c>
      <c r="AF149" s="5">
        <f t="shared" si="45"/>
        <v>0.02182815593726685</v>
      </c>
      <c r="AG149" s="4">
        <f t="shared" si="57"/>
        <v>225</v>
      </c>
      <c r="AH149" s="8">
        <f t="shared" si="58"/>
        <v>3014.6665916146867</v>
      </c>
      <c r="AI149" s="10">
        <f t="shared" si="59"/>
        <v>18.064319880850178</v>
      </c>
    </row>
    <row r="150" spans="1:35" ht="12.75">
      <c r="A150" s="111"/>
      <c r="B150" s="114"/>
      <c r="D150">
        <f t="shared" si="60"/>
        <v>2.25</v>
      </c>
      <c r="E150" s="4">
        <f t="shared" si="46"/>
        <v>81</v>
      </c>
      <c r="F150" s="15">
        <f t="shared" si="61"/>
        <v>6.25</v>
      </c>
      <c r="G150" s="15">
        <f t="shared" si="47"/>
        <v>14.0625</v>
      </c>
      <c r="I150" s="15">
        <f t="shared" si="62"/>
        <v>0</v>
      </c>
      <c r="J150" s="15">
        <f t="shared" si="48"/>
        <v>0</v>
      </c>
      <c r="K150" s="15"/>
      <c r="L150" s="15">
        <f t="shared" si="49"/>
        <v>6.25</v>
      </c>
      <c r="M150" s="15">
        <f t="shared" si="50"/>
        <v>14.0625</v>
      </c>
      <c r="O150" s="117"/>
      <c r="Q150">
        <f t="shared" si="51"/>
        <v>5.19</v>
      </c>
      <c r="R150" s="4">
        <f t="shared" si="52"/>
        <v>96.92757562313331</v>
      </c>
      <c r="T150" s="4">
        <f t="shared" si="53"/>
        <v>8.556434438697899</v>
      </c>
      <c r="X150" s="3">
        <f t="shared" si="54"/>
        <v>0.008945724152352208</v>
      </c>
      <c r="AA150" s="1">
        <f t="shared" si="42"/>
        <v>9.279201356853998E-06</v>
      </c>
      <c r="AB150">
        <f t="shared" si="55"/>
        <v>0.533</v>
      </c>
      <c r="AC150">
        <f t="shared" si="56"/>
        <v>5</v>
      </c>
      <c r="AD150" s="8">
        <f t="shared" si="43"/>
        <v>857.3603358836756</v>
      </c>
      <c r="AE150" s="4">
        <f t="shared" si="44"/>
        <v>44055.029887713565</v>
      </c>
      <c r="AF150" s="5">
        <f t="shared" si="45"/>
        <v>0.02183924396332836</v>
      </c>
      <c r="AG150" s="4">
        <f t="shared" si="57"/>
        <v>225</v>
      </c>
      <c r="AH150" s="8">
        <f t="shared" si="58"/>
        <v>3031.1343847463277</v>
      </c>
      <c r="AI150" s="10">
        <f t="shared" si="59"/>
        <v>18.034008537002716</v>
      </c>
    </row>
    <row r="151" spans="1:35" ht="12.75">
      <c r="A151" s="111"/>
      <c r="B151" s="114"/>
      <c r="D151">
        <f t="shared" si="60"/>
        <v>2.25</v>
      </c>
      <c r="E151" s="4">
        <f t="shared" si="46"/>
        <v>83.25</v>
      </c>
      <c r="F151" s="15">
        <f t="shared" si="61"/>
        <v>6.25</v>
      </c>
      <c r="G151" s="15">
        <f t="shared" si="47"/>
        <v>14.0625</v>
      </c>
      <c r="I151" s="15">
        <f t="shared" si="62"/>
        <v>0</v>
      </c>
      <c r="J151" s="15">
        <f t="shared" si="48"/>
        <v>0</v>
      </c>
      <c r="K151" s="15"/>
      <c r="L151" s="15">
        <f t="shared" si="49"/>
        <v>6.25</v>
      </c>
      <c r="M151" s="15">
        <f t="shared" si="50"/>
        <v>14.0625</v>
      </c>
      <c r="O151" s="117"/>
      <c r="Q151">
        <f t="shared" si="51"/>
        <v>5.19</v>
      </c>
      <c r="R151" s="4">
        <f t="shared" si="52"/>
        <v>97.24424228979997</v>
      </c>
      <c r="T151" s="4">
        <f t="shared" si="53"/>
        <v>8.556434438697899</v>
      </c>
      <c r="X151" s="3">
        <f t="shared" si="54"/>
        <v>0.008901631493990541</v>
      </c>
      <c r="AA151" s="1">
        <f t="shared" si="42"/>
        <v>9.298031623520666E-06</v>
      </c>
      <c r="AB151">
        <f t="shared" si="55"/>
        <v>0.533</v>
      </c>
      <c r="AC151">
        <f t="shared" si="56"/>
        <v>5</v>
      </c>
      <c r="AD151" s="8">
        <f t="shared" si="43"/>
        <v>861.6071187805506</v>
      </c>
      <c r="AE151" s="4">
        <f t="shared" si="44"/>
        <v>43965.81014805435</v>
      </c>
      <c r="AF151" s="5">
        <f t="shared" si="45"/>
        <v>0.021850315126526083</v>
      </c>
      <c r="AG151" s="4">
        <f t="shared" si="57"/>
        <v>225</v>
      </c>
      <c r="AH151" s="8">
        <f t="shared" si="58"/>
        <v>3047.692784539411</v>
      </c>
      <c r="AI151" s="10">
        <f t="shared" si="59"/>
        <v>18.00353160915732</v>
      </c>
    </row>
    <row r="152" spans="1:35" ht="12.75">
      <c r="A152" s="111"/>
      <c r="B152" s="114"/>
      <c r="D152">
        <f t="shared" si="60"/>
        <v>2.25</v>
      </c>
      <c r="E152" s="4">
        <f t="shared" si="46"/>
        <v>85.5</v>
      </c>
      <c r="F152" s="15">
        <f t="shared" si="61"/>
        <v>6.25</v>
      </c>
      <c r="G152" s="15">
        <f t="shared" si="47"/>
        <v>14.0625</v>
      </c>
      <c r="I152" s="15">
        <f t="shared" si="62"/>
        <v>0</v>
      </c>
      <c r="J152" s="15">
        <f t="shared" si="48"/>
        <v>0</v>
      </c>
      <c r="K152" s="15"/>
      <c r="L152" s="15">
        <f t="shared" si="49"/>
        <v>6.25</v>
      </c>
      <c r="M152" s="15">
        <f t="shared" si="50"/>
        <v>14.0625</v>
      </c>
      <c r="O152" s="117"/>
      <c r="Q152">
        <f t="shared" si="51"/>
        <v>5.19</v>
      </c>
      <c r="R152" s="4">
        <f t="shared" si="52"/>
        <v>97.56090895646663</v>
      </c>
      <c r="T152" s="4">
        <f t="shared" si="53"/>
        <v>8.556434438697899</v>
      </c>
      <c r="X152" s="3">
        <f t="shared" si="54"/>
        <v>0.008857743603282323</v>
      </c>
      <c r="AA152" s="1">
        <f t="shared" si="42"/>
        <v>9.316861890187332E-06</v>
      </c>
      <c r="AB152">
        <f t="shared" si="55"/>
        <v>0.533</v>
      </c>
      <c r="AC152">
        <f t="shared" si="56"/>
        <v>5</v>
      </c>
      <c r="AD152" s="8">
        <f t="shared" si="43"/>
        <v>865.8761652506303</v>
      </c>
      <c r="AE152" s="4">
        <f t="shared" si="44"/>
        <v>43876.951051605174</v>
      </c>
      <c r="AF152" s="5">
        <f t="shared" si="45"/>
        <v>0.021861369486578085</v>
      </c>
      <c r="AG152" s="4">
        <f t="shared" si="57"/>
        <v>225</v>
      </c>
      <c r="AH152" s="8">
        <f t="shared" si="58"/>
        <v>3064.342842591015</v>
      </c>
      <c r="AI152" s="10">
        <f t="shared" si="59"/>
        <v>17.97288818073141</v>
      </c>
    </row>
    <row r="153" spans="1:35" ht="12.75">
      <c r="A153" s="111"/>
      <c r="B153" s="114"/>
      <c r="D153">
        <f t="shared" si="60"/>
        <v>2.25</v>
      </c>
      <c r="E153" s="4">
        <f t="shared" si="46"/>
        <v>87.75</v>
      </c>
      <c r="F153" s="15">
        <f t="shared" si="61"/>
        <v>6.25</v>
      </c>
      <c r="G153" s="15">
        <f t="shared" si="47"/>
        <v>14.0625</v>
      </c>
      <c r="I153" s="15">
        <f t="shared" si="62"/>
        <v>0</v>
      </c>
      <c r="J153" s="15">
        <f t="shared" si="48"/>
        <v>0</v>
      </c>
      <c r="K153" s="15"/>
      <c r="L153" s="15">
        <f t="shared" si="49"/>
        <v>6.25</v>
      </c>
      <c r="M153" s="15">
        <f t="shared" si="50"/>
        <v>14.0625</v>
      </c>
      <c r="O153" s="117"/>
      <c r="Q153">
        <f t="shared" si="51"/>
        <v>5.19</v>
      </c>
      <c r="R153" s="4">
        <f t="shared" si="52"/>
        <v>97.8775756231333</v>
      </c>
      <c r="T153" s="4">
        <f t="shared" si="53"/>
        <v>8.556434438697899</v>
      </c>
      <c r="X153" s="3">
        <f t="shared" si="54"/>
        <v>0.008814058043252243</v>
      </c>
      <c r="AA153" s="1">
        <f t="shared" si="42"/>
        <v>9.335692156853997E-06</v>
      </c>
      <c r="AB153">
        <f t="shared" si="55"/>
        <v>0.533</v>
      </c>
      <c r="AC153">
        <f t="shared" si="56"/>
        <v>5</v>
      </c>
      <c r="AD153" s="8">
        <f t="shared" si="43"/>
        <v>870.167750920937</v>
      </c>
      <c r="AE153" s="4">
        <f t="shared" si="44"/>
        <v>43788.45041609361</v>
      </c>
      <c r="AF153" s="5">
        <f t="shared" si="45"/>
        <v>0.021872407102870733</v>
      </c>
      <c r="AG153" s="4">
        <f t="shared" si="57"/>
        <v>225</v>
      </c>
      <c r="AH153" s="8">
        <f t="shared" si="58"/>
        <v>3081.08562789164</v>
      </c>
      <c r="AI153" s="10">
        <f t="shared" si="59"/>
        <v>17.942077324452494</v>
      </c>
    </row>
    <row r="154" spans="1:35" ht="12.75">
      <c r="A154" s="111"/>
      <c r="B154" s="114"/>
      <c r="D154">
        <f t="shared" si="60"/>
        <v>2.25</v>
      </c>
      <c r="E154" s="4">
        <f t="shared" si="46"/>
        <v>90</v>
      </c>
      <c r="F154" s="15">
        <f t="shared" si="61"/>
        <v>6.25</v>
      </c>
      <c r="G154" s="15">
        <f t="shared" si="47"/>
        <v>14.0625</v>
      </c>
      <c r="I154" s="15">
        <f t="shared" si="62"/>
        <v>0</v>
      </c>
      <c r="J154" s="15">
        <f t="shared" si="48"/>
        <v>0</v>
      </c>
      <c r="K154" s="15"/>
      <c r="L154" s="15">
        <f t="shared" si="49"/>
        <v>6.25</v>
      </c>
      <c r="M154" s="15">
        <f t="shared" si="50"/>
        <v>14.0625</v>
      </c>
      <c r="O154" s="117"/>
      <c r="Q154">
        <f t="shared" si="51"/>
        <v>5.19</v>
      </c>
      <c r="R154" s="4">
        <f t="shared" si="52"/>
        <v>98.19424228979996</v>
      </c>
      <c r="T154" s="4">
        <f t="shared" si="53"/>
        <v>8.556434438697899</v>
      </c>
      <c r="X154" s="3">
        <f t="shared" si="54"/>
        <v>0.008770572403135495</v>
      </c>
      <c r="AA154" s="1">
        <f t="shared" si="42"/>
        <v>9.354522423520665E-06</v>
      </c>
      <c r="AB154">
        <f t="shared" si="55"/>
        <v>0.533</v>
      </c>
      <c r="AC154">
        <f t="shared" si="56"/>
        <v>5</v>
      </c>
      <c r="AD154" s="8">
        <f t="shared" si="43"/>
        <v>874.4821559470242</v>
      </c>
      <c r="AE154" s="4">
        <f t="shared" si="44"/>
        <v>43700.306076818524</v>
      </c>
      <c r="AF154" s="5">
        <f t="shared" si="45"/>
        <v>0.021883428034461277</v>
      </c>
      <c r="AG154" s="4">
        <f t="shared" si="57"/>
        <v>225</v>
      </c>
      <c r="AH154" s="8">
        <f t="shared" si="58"/>
        <v>3097.9222271973836</v>
      </c>
      <c r="AI154" s="10">
        <f t="shared" si="59"/>
        <v>17.91109810218052</v>
      </c>
    </row>
    <row r="155" spans="1:35" ht="12.75">
      <c r="A155" s="111"/>
      <c r="B155" s="114"/>
      <c r="D155">
        <f t="shared" si="60"/>
        <v>2.25</v>
      </c>
      <c r="E155" s="4">
        <f t="shared" si="46"/>
        <v>92.25</v>
      </c>
      <c r="F155" s="15">
        <f t="shared" si="61"/>
        <v>6.25</v>
      </c>
      <c r="G155" s="15">
        <f t="shared" si="47"/>
        <v>14.0625</v>
      </c>
      <c r="I155" s="15">
        <f t="shared" si="62"/>
        <v>0</v>
      </c>
      <c r="J155" s="15">
        <f t="shared" si="48"/>
        <v>0</v>
      </c>
      <c r="K155" s="15"/>
      <c r="L155" s="15">
        <f t="shared" si="49"/>
        <v>6.25</v>
      </c>
      <c r="M155" s="15">
        <f t="shared" si="50"/>
        <v>14.0625</v>
      </c>
      <c r="O155" s="117"/>
      <c r="Q155">
        <f t="shared" si="51"/>
        <v>5.19</v>
      </c>
      <c r="R155" s="4">
        <f t="shared" si="52"/>
        <v>98.51090895646662</v>
      </c>
      <c r="T155" s="4">
        <f t="shared" si="53"/>
        <v>8.556434438697899</v>
      </c>
      <c r="X155" s="3">
        <f t="shared" si="54"/>
        <v>0.008727284297869925</v>
      </c>
      <c r="AA155" s="1">
        <f t="shared" si="42"/>
        <v>9.37335269018733E-06</v>
      </c>
      <c r="AB155">
        <f t="shared" si="55"/>
        <v>0.533</v>
      </c>
      <c r="AC155">
        <f t="shared" si="56"/>
        <v>5</v>
      </c>
      <c r="AD155" s="8">
        <f t="shared" si="43"/>
        <v>878.8196651110986</v>
      </c>
      <c r="AE155" s="4">
        <f t="shared" si="44"/>
        <v>43612.51588647361</v>
      </c>
      <c r="AF155" s="5">
        <f t="shared" si="45"/>
        <v>0.02189443234008027</v>
      </c>
      <c r="AG155" s="4">
        <f t="shared" si="57"/>
        <v>225</v>
      </c>
      <c r="AH155" s="8">
        <f t="shared" si="58"/>
        <v>3114.8537454119796</v>
      </c>
      <c r="AI155" s="10">
        <f t="shared" si="59"/>
        <v>17.879949564726402</v>
      </c>
    </row>
    <row r="156" spans="1:35" ht="12.75">
      <c r="A156" s="111"/>
      <c r="B156" s="114"/>
      <c r="D156">
        <f t="shared" si="60"/>
        <v>2.25</v>
      </c>
      <c r="E156" s="4">
        <f t="shared" si="46"/>
        <v>94.5</v>
      </c>
      <c r="F156" s="15">
        <f t="shared" si="61"/>
        <v>6.25</v>
      </c>
      <c r="G156" s="15">
        <f t="shared" si="47"/>
        <v>14.0625</v>
      </c>
      <c r="I156" s="15">
        <f t="shared" si="62"/>
        <v>0</v>
      </c>
      <c r="J156" s="15">
        <f t="shared" si="48"/>
        <v>0</v>
      </c>
      <c r="K156" s="15"/>
      <c r="L156" s="15">
        <f t="shared" si="49"/>
        <v>6.25</v>
      </c>
      <c r="M156" s="15">
        <f t="shared" si="50"/>
        <v>14.0625</v>
      </c>
      <c r="O156" s="117"/>
      <c r="Q156">
        <f t="shared" si="51"/>
        <v>5.19</v>
      </c>
      <c r="R156" s="4">
        <f t="shared" si="52"/>
        <v>98.82757562313328</v>
      </c>
      <c r="T156" s="4">
        <f t="shared" si="53"/>
        <v>8.556434438697899</v>
      </c>
      <c r="X156" s="3">
        <f t="shared" si="54"/>
        <v>0.008684191367596125</v>
      </c>
      <c r="AA156" s="1">
        <f t="shared" si="42"/>
        <v>9.392182956853996E-06</v>
      </c>
      <c r="AB156">
        <f t="shared" si="55"/>
        <v>0.533</v>
      </c>
      <c r="AC156">
        <f t="shared" si="56"/>
        <v>5</v>
      </c>
      <c r="AD156" s="8">
        <f t="shared" si="43"/>
        <v>883.1805679227512</v>
      </c>
      <c r="AE156" s="4">
        <f t="shared" si="44"/>
        <v>43525.077714973006</v>
      </c>
      <c r="AF156" s="5">
        <f t="shared" si="45"/>
        <v>0.02190542007813406</v>
      </c>
      <c r="AG156" s="4">
        <f t="shared" si="57"/>
        <v>225</v>
      </c>
      <c r="AH156" s="8">
        <f t="shared" si="58"/>
        <v>3131.8813059789886</v>
      </c>
      <c r="AI156" s="10">
        <f t="shared" si="59"/>
        <v>17.84863075166661</v>
      </c>
    </row>
    <row r="157" spans="1:35" ht="12.75">
      <c r="A157" s="111"/>
      <c r="B157" s="114"/>
      <c r="D157">
        <f t="shared" si="60"/>
        <v>2.25</v>
      </c>
      <c r="E157" s="4">
        <f t="shared" si="46"/>
        <v>96.75</v>
      </c>
      <c r="F157" s="15">
        <f t="shared" si="61"/>
        <v>6.25</v>
      </c>
      <c r="G157" s="15">
        <f t="shared" si="47"/>
        <v>14.0625</v>
      </c>
      <c r="I157" s="15">
        <f t="shared" si="62"/>
        <v>0</v>
      </c>
      <c r="J157" s="15">
        <f t="shared" si="48"/>
        <v>0</v>
      </c>
      <c r="K157" s="15"/>
      <c r="L157" s="15">
        <f t="shared" si="49"/>
        <v>6.25</v>
      </c>
      <c r="M157" s="15">
        <f t="shared" si="50"/>
        <v>14.0625</v>
      </c>
      <c r="O157" s="117"/>
      <c r="Q157">
        <f t="shared" si="51"/>
        <v>5.19</v>
      </c>
      <c r="R157" s="4">
        <f t="shared" si="52"/>
        <v>99.14424228979995</v>
      </c>
      <c r="T157" s="4">
        <f t="shared" si="53"/>
        <v>8.556434438697899</v>
      </c>
      <c r="X157" s="3">
        <f t="shared" si="54"/>
        <v>0.00864129127716516</v>
      </c>
      <c r="AA157" s="1">
        <f t="shared" si="42"/>
        <v>9.411013223520664E-06</v>
      </c>
      <c r="AB157">
        <f t="shared" si="55"/>
        <v>0.533</v>
      </c>
      <c r="AC157">
        <f t="shared" si="56"/>
        <v>5</v>
      </c>
      <c r="AD157" s="8">
        <f t="shared" si="43"/>
        <v>887.5651587223782</v>
      </c>
      <c r="AE157" s="4">
        <f t="shared" si="44"/>
        <v>43437.98944927893</v>
      </c>
      <c r="AF157" s="5">
        <f t="shared" si="45"/>
        <v>0.021916391306707226</v>
      </c>
      <c r="AG157" s="4">
        <f t="shared" si="57"/>
        <v>225</v>
      </c>
      <c r="AH157" s="8">
        <f t="shared" si="58"/>
        <v>3149.006051284468</v>
      </c>
      <c r="AI157" s="10">
        <f t="shared" si="59"/>
        <v>17.817140691153767</v>
      </c>
    </row>
    <row r="158" spans="1:35" ht="12.75">
      <c r="A158" s="111"/>
      <c r="B158" s="114"/>
      <c r="D158">
        <f t="shared" si="60"/>
        <v>2.25</v>
      </c>
      <c r="E158" s="4">
        <f t="shared" si="46"/>
        <v>99</v>
      </c>
      <c r="F158" s="15">
        <f t="shared" si="61"/>
        <v>6.25</v>
      </c>
      <c r="G158" s="15">
        <f t="shared" si="47"/>
        <v>14.0625</v>
      </c>
      <c r="I158" s="15">
        <f t="shared" si="62"/>
        <v>0</v>
      </c>
      <c r="J158" s="15">
        <f t="shared" si="48"/>
        <v>0</v>
      </c>
      <c r="K158" s="15"/>
      <c r="L158" s="15">
        <f t="shared" si="49"/>
        <v>6.25</v>
      </c>
      <c r="M158" s="15">
        <f t="shared" si="50"/>
        <v>14.0625</v>
      </c>
      <c r="O158" s="117"/>
      <c r="Q158">
        <f t="shared" si="51"/>
        <v>5.19</v>
      </c>
      <c r="R158" s="4">
        <f t="shared" si="52"/>
        <v>99.46090895646661</v>
      </c>
      <c r="T158" s="4">
        <f t="shared" si="53"/>
        <v>8.556434438697899</v>
      </c>
      <c r="X158" s="3">
        <f t="shared" si="54"/>
        <v>0.008598581715653798</v>
      </c>
      <c r="AA158" s="1">
        <f t="shared" si="42"/>
        <v>9.42984349018733E-06</v>
      </c>
      <c r="AB158">
        <f t="shared" si="55"/>
        <v>0.533</v>
      </c>
      <c r="AC158">
        <f t="shared" si="56"/>
        <v>5</v>
      </c>
      <c r="AD158" s="8">
        <f t="shared" si="43"/>
        <v>891.9737367873846</v>
      </c>
      <c r="AE158" s="4">
        <f t="shared" si="44"/>
        <v>43351.24899323162</v>
      </c>
      <c r="AF158" s="5">
        <f t="shared" si="45"/>
        <v>0.021927346083564968</v>
      </c>
      <c r="AG158" s="4">
        <f t="shared" si="57"/>
        <v>225</v>
      </c>
      <c r="AH158" s="8">
        <f t="shared" si="58"/>
        <v>3166.229143070468</v>
      </c>
      <c r="AI158" s="10">
        <f t="shared" si="59"/>
        <v>17.78547839972306</v>
      </c>
    </row>
    <row r="159" spans="1:35" ht="13.5" thickBot="1">
      <c r="A159" s="112"/>
      <c r="B159" s="115"/>
      <c r="D159">
        <f t="shared" si="60"/>
        <v>2.25</v>
      </c>
      <c r="E159" s="4">
        <f t="shared" si="46"/>
        <v>101.25</v>
      </c>
      <c r="F159" s="15">
        <f t="shared" si="61"/>
        <v>6.25</v>
      </c>
      <c r="G159" s="15">
        <f t="shared" si="47"/>
        <v>14.0625</v>
      </c>
      <c r="I159" s="15">
        <f t="shared" si="62"/>
        <v>0</v>
      </c>
      <c r="J159" s="15">
        <f t="shared" si="48"/>
        <v>0</v>
      </c>
      <c r="K159" s="15"/>
      <c r="L159" s="15">
        <f t="shared" si="49"/>
        <v>6.25</v>
      </c>
      <c r="M159" s="15">
        <f t="shared" si="50"/>
        <v>14.0625</v>
      </c>
      <c r="O159" s="118"/>
      <c r="Q159">
        <f t="shared" si="51"/>
        <v>5.19</v>
      </c>
      <c r="R159" s="4">
        <f t="shared" si="52"/>
        <v>99.77757562313327</v>
      </c>
      <c r="T159" s="4">
        <f t="shared" si="53"/>
        <v>8.556434438697899</v>
      </c>
      <c r="X159" s="3">
        <f t="shared" si="54"/>
        <v>0.008556060395886961</v>
      </c>
      <c r="AA159" s="1">
        <f t="shared" si="42"/>
        <v>9.448673756853997E-06</v>
      </c>
      <c r="AB159">
        <f t="shared" si="55"/>
        <v>0.533</v>
      </c>
      <c r="AC159">
        <f t="shared" si="56"/>
        <v>5</v>
      </c>
      <c r="AD159" s="8">
        <f t="shared" si="43"/>
        <v>896.4066064412488</v>
      </c>
      <c r="AE159" s="4">
        <f t="shared" si="44"/>
        <v>43264.854267380964</v>
      </c>
      <c r="AF159" s="5">
        <f t="shared" si="45"/>
        <v>0.021938284466155495</v>
      </c>
      <c r="AG159" s="4">
        <f t="shared" si="57"/>
        <v>225</v>
      </c>
      <c r="AH159" s="8">
        <f t="shared" si="58"/>
        <v>3183.551762859671</v>
      </c>
      <c r="AI159" s="10">
        <f t="shared" si="59"/>
        <v>17.753642882094464</v>
      </c>
    </row>
    <row r="160" spans="1:35" ht="12.75">
      <c r="A160" s="119" t="s">
        <v>45</v>
      </c>
      <c r="B160" s="113">
        <f>O160</f>
        <v>210.9375</v>
      </c>
      <c r="D160">
        <f t="shared" si="60"/>
        <v>2.25</v>
      </c>
      <c r="E160" s="4">
        <f t="shared" si="46"/>
        <v>103.5</v>
      </c>
      <c r="F160" s="15">
        <f t="shared" si="61"/>
        <v>6.25</v>
      </c>
      <c r="G160" s="15">
        <f t="shared" si="47"/>
        <v>14.0625</v>
      </c>
      <c r="I160" s="15">
        <f t="shared" si="62"/>
        <v>0</v>
      </c>
      <c r="J160" s="15">
        <f t="shared" si="48"/>
        <v>0</v>
      </c>
      <c r="K160" s="15"/>
      <c r="L160" s="15">
        <f t="shared" si="49"/>
        <v>6.25</v>
      </c>
      <c r="M160" s="15">
        <f t="shared" si="50"/>
        <v>14.0625</v>
      </c>
      <c r="O160" s="116">
        <f>SUM(M160:M174)</f>
        <v>210.9375</v>
      </c>
      <c r="Q160">
        <f t="shared" si="51"/>
        <v>5.19</v>
      </c>
      <c r="R160" s="4">
        <f t="shared" si="52"/>
        <v>100.09424228979994</v>
      </c>
      <c r="T160" s="4">
        <f t="shared" si="53"/>
        <v>8.556434438697899</v>
      </c>
      <c r="X160" s="3">
        <f t="shared" si="54"/>
        <v>0.008513725053967214</v>
      </c>
      <c r="AA160" s="1">
        <f t="shared" si="42"/>
        <v>9.467504023520665E-06</v>
      </c>
      <c r="AB160">
        <f t="shared" si="55"/>
        <v>0.533</v>
      </c>
      <c r="AC160">
        <f t="shared" si="56"/>
        <v>5</v>
      </c>
      <c r="AD160" s="8">
        <f t="shared" si="43"/>
        <v>900.8640771655503</v>
      </c>
      <c r="AE160" s="4">
        <f t="shared" si="44"/>
        <v>43178.80320882051</v>
      </c>
      <c r="AF160" s="5">
        <f t="shared" si="45"/>
        <v>0.021949206511612446</v>
      </c>
      <c r="AG160" s="4">
        <f t="shared" si="57"/>
        <v>225</v>
      </c>
      <c r="AH160" s="8">
        <f t="shared" si="58"/>
        <v>3200.9751123915694</v>
      </c>
      <c r="AI160" s="10">
        <f t="shared" si="59"/>
        <v>17.72163313097055</v>
      </c>
    </row>
    <row r="161" spans="1:35" ht="12.75">
      <c r="A161" s="120"/>
      <c r="B161" s="114"/>
      <c r="D161">
        <f t="shared" si="60"/>
        <v>2.25</v>
      </c>
      <c r="E161" s="4">
        <f t="shared" si="46"/>
        <v>105.75</v>
      </c>
      <c r="F161" s="15">
        <f t="shared" si="61"/>
        <v>6.25</v>
      </c>
      <c r="G161" s="15">
        <f t="shared" si="47"/>
        <v>14.0625</v>
      </c>
      <c r="I161" s="15">
        <f t="shared" si="62"/>
        <v>0</v>
      </c>
      <c r="J161" s="15">
        <f t="shared" si="48"/>
        <v>0</v>
      </c>
      <c r="K161" s="15"/>
      <c r="L161" s="15">
        <f t="shared" si="49"/>
        <v>6.25</v>
      </c>
      <c r="M161" s="15">
        <f t="shared" si="50"/>
        <v>14.0625</v>
      </c>
      <c r="O161" s="117"/>
      <c r="Q161">
        <f t="shared" si="51"/>
        <v>5.19</v>
      </c>
      <c r="R161" s="4">
        <f t="shared" si="52"/>
        <v>100.4109089564666</v>
      </c>
      <c r="T161" s="4">
        <f t="shared" si="53"/>
        <v>8.556434438697899</v>
      </c>
      <c r="X161" s="3">
        <f t="shared" si="54"/>
        <v>0.008471573448811052</v>
      </c>
      <c r="AA161" s="1">
        <f t="shared" si="42"/>
        <v>9.486334290187329E-06</v>
      </c>
      <c r="AB161">
        <f t="shared" si="55"/>
        <v>0.533</v>
      </c>
      <c r="AC161">
        <f t="shared" si="56"/>
        <v>5</v>
      </c>
      <c r="AD161" s="8">
        <f t="shared" si="43"/>
        <v>905.3464637150503</v>
      </c>
      <c r="AE161" s="4">
        <f t="shared" si="44"/>
        <v>43093.09377102318</v>
      </c>
      <c r="AF161" s="5">
        <f t="shared" si="45"/>
        <v>0.021960112276757173</v>
      </c>
      <c r="AG161" s="4">
        <f t="shared" si="57"/>
        <v>225</v>
      </c>
      <c r="AH161" s="8">
        <f t="shared" si="58"/>
        <v>3218.5004140705146</v>
      </c>
      <c r="AI161" s="10">
        <f t="shared" si="59"/>
        <v>17.689448126829845</v>
      </c>
    </row>
    <row r="162" spans="1:35" ht="12.75">
      <c r="A162" s="120"/>
      <c r="B162" s="114"/>
      <c r="D162">
        <f t="shared" si="60"/>
        <v>2.25</v>
      </c>
      <c r="E162" s="4">
        <f t="shared" si="46"/>
        <v>108</v>
      </c>
      <c r="F162" s="15">
        <f t="shared" si="61"/>
        <v>6.25</v>
      </c>
      <c r="G162" s="15">
        <f t="shared" si="47"/>
        <v>14.0625</v>
      </c>
      <c r="I162" s="15">
        <f t="shared" si="62"/>
        <v>0</v>
      </c>
      <c r="J162" s="15">
        <f t="shared" si="48"/>
        <v>0</v>
      </c>
      <c r="K162" s="15"/>
      <c r="L162" s="15">
        <f t="shared" si="49"/>
        <v>6.25</v>
      </c>
      <c r="M162" s="15">
        <f t="shared" si="50"/>
        <v>14.0625</v>
      </c>
      <c r="O162" s="117"/>
      <c r="Q162">
        <f t="shared" si="51"/>
        <v>5.19</v>
      </c>
      <c r="R162" s="4">
        <f t="shared" si="52"/>
        <v>100.72757562313326</v>
      </c>
      <c r="T162" s="4">
        <f t="shared" si="53"/>
        <v>8.556434438697899</v>
      </c>
      <c r="X162" s="3">
        <f t="shared" si="54"/>
        <v>0.008429603361691834</v>
      </c>
      <c r="AA162" s="1">
        <f t="shared" si="42"/>
        <v>9.505164556853996E-06</v>
      </c>
      <c r="AB162">
        <f t="shared" si="55"/>
        <v>0.533</v>
      </c>
      <c r="AC162">
        <f t="shared" si="56"/>
        <v>5</v>
      </c>
      <c r="AD162" s="8">
        <f t="shared" si="43"/>
        <v>909.8540862359242</v>
      </c>
      <c r="AE162" s="4">
        <f t="shared" si="44"/>
        <v>43007.72392367899</v>
      </c>
      <c r="AF162" s="5">
        <f t="shared" si="45"/>
        <v>0.021971001818101073</v>
      </c>
      <c r="AG162" s="4">
        <f t="shared" si="57"/>
        <v>225</v>
      </c>
      <c r="AH162" s="8">
        <f t="shared" si="58"/>
        <v>3236.1289114260435</v>
      </c>
      <c r="AI162" s="10">
        <f t="shared" si="59"/>
        <v>17.657086837715585</v>
      </c>
    </row>
    <row r="163" spans="1:35" ht="12.75">
      <c r="A163" s="120"/>
      <c r="B163" s="114"/>
      <c r="D163">
        <f t="shared" si="60"/>
        <v>2.25</v>
      </c>
      <c r="E163" s="4">
        <f t="shared" si="46"/>
        <v>110.25</v>
      </c>
      <c r="F163" s="15">
        <f t="shared" si="61"/>
        <v>6.25</v>
      </c>
      <c r="G163" s="15">
        <f t="shared" si="47"/>
        <v>14.0625</v>
      </c>
      <c r="I163" s="15">
        <f t="shared" si="62"/>
        <v>0</v>
      </c>
      <c r="J163" s="15">
        <f t="shared" si="48"/>
        <v>0</v>
      </c>
      <c r="K163" s="15"/>
      <c r="L163" s="15">
        <f t="shared" si="49"/>
        <v>6.25</v>
      </c>
      <c r="M163" s="15">
        <f t="shared" si="50"/>
        <v>14.0625</v>
      </c>
      <c r="O163" s="117"/>
      <c r="Q163">
        <f t="shared" si="51"/>
        <v>5.19</v>
      </c>
      <c r="R163" s="4">
        <f t="shared" si="52"/>
        <v>101.04424228979993</v>
      </c>
      <c r="T163" s="4">
        <f t="shared" si="53"/>
        <v>8.556434438697899</v>
      </c>
      <c r="X163" s="3">
        <f t="shared" si="54"/>
        <v>0.008387812595789086</v>
      </c>
      <c r="AA163" s="1">
        <f t="shared" si="42"/>
        <v>9.523994823520664E-06</v>
      </c>
      <c r="AB163">
        <f t="shared" si="55"/>
        <v>0.533</v>
      </c>
      <c r="AC163">
        <f t="shared" si="56"/>
        <v>5</v>
      </c>
      <c r="AD163" s="8">
        <f t="shared" si="43"/>
        <v>914.3872703872528</v>
      </c>
      <c r="AE163" s="4">
        <f t="shared" si="44"/>
        <v>42922.69165253483</v>
      </c>
      <c r="AF163" s="5">
        <f t="shared" si="45"/>
        <v>0.02198187519184793</v>
      </c>
      <c r="AG163" s="4">
        <f t="shared" si="57"/>
        <v>225</v>
      </c>
      <c r="AH163" s="8">
        <f t="shared" si="58"/>
        <v>3253.861869585891</v>
      </c>
      <c r="AI163" s="10">
        <f t="shared" si="59"/>
        <v>17.624548219019726</v>
      </c>
    </row>
    <row r="164" spans="1:35" ht="12.75">
      <c r="A164" s="120"/>
      <c r="B164" s="114"/>
      <c r="D164">
        <f t="shared" si="60"/>
        <v>2.25</v>
      </c>
      <c r="E164" s="4">
        <f t="shared" si="46"/>
        <v>112.5</v>
      </c>
      <c r="F164" s="15">
        <f t="shared" si="61"/>
        <v>6.25</v>
      </c>
      <c r="G164" s="15">
        <f t="shared" si="47"/>
        <v>14.0625</v>
      </c>
      <c r="I164" s="15">
        <f t="shared" si="62"/>
        <v>0</v>
      </c>
      <c r="J164" s="15">
        <f t="shared" si="48"/>
        <v>0</v>
      </c>
      <c r="K164" s="15"/>
      <c r="L164" s="15">
        <f t="shared" si="49"/>
        <v>6.25</v>
      </c>
      <c r="M164" s="15">
        <f t="shared" si="50"/>
        <v>14.0625</v>
      </c>
      <c r="O164" s="117"/>
      <c r="Q164">
        <f t="shared" si="51"/>
        <v>5.19</v>
      </c>
      <c r="R164" s="4">
        <f t="shared" si="52"/>
        <v>101.36090895646659</v>
      </c>
      <c r="T164" s="4">
        <f t="shared" si="53"/>
        <v>8.556434438697899</v>
      </c>
      <c r="X164" s="3">
        <f t="shared" si="54"/>
        <v>0.008346198975744045</v>
      </c>
      <c r="AA164" s="1">
        <f t="shared" si="42"/>
        <v>9.54282509018733E-06</v>
      </c>
      <c r="AB164">
        <f t="shared" si="55"/>
        <v>0.533</v>
      </c>
      <c r="AC164">
        <f t="shared" si="56"/>
        <v>5</v>
      </c>
      <c r="AD164" s="8">
        <f t="shared" si="43"/>
        <v>918.9463474658727</v>
      </c>
      <c r="AE164" s="4">
        <f t="shared" si="44"/>
        <v>42837.99495923595</v>
      </c>
      <c r="AF164" s="5">
        <f t="shared" si="45"/>
        <v>0.021992732453896147</v>
      </c>
      <c r="AG164" s="4">
        <f t="shared" si="57"/>
        <v>225</v>
      </c>
      <c r="AH164" s="8">
        <f t="shared" si="58"/>
        <v>3271.700575762064</v>
      </c>
      <c r="AI164" s="10">
        <f t="shared" si="59"/>
        <v>17.591831213262104</v>
      </c>
    </row>
    <row r="165" spans="1:35" ht="12.75">
      <c r="A165" s="120"/>
      <c r="B165" s="114"/>
      <c r="D165">
        <f t="shared" si="60"/>
        <v>2.25</v>
      </c>
      <c r="E165" s="4">
        <f t="shared" si="46"/>
        <v>114.75</v>
      </c>
      <c r="F165" s="15">
        <f t="shared" si="61"/>
        <v>6.25</v>
      </c>
      <c r="G165" s="15">
        <f t="shared" si="47"/>
        <v>14.0625</v>
      </c>
      <c r="I165" s="15">
        <f t="shared" si="62"/>
        <v>0</v>
      </c>
      <c r="J165" s="15">
        <f t="shared" si="48"/>
        <v>0</v>
      </c>
      <c r="K165" s="15"/>
      <c r="L165" s="15">
        <f t="shared" si="49"/>
        <v>6.25</v>
      </c>
      <c r="M165" s="15">
        <f t="shared" si="50"/>
        <v>14.0625</v>
      </c>
      <c r="O165" s="117"/>
      <c r="Q165">
        <f t="shared" si="51"/>
        <v>5.19</v>
      </c>
      <c r="R165" s="4">
        <f t="shared" si="52"/>
        <v>101.67757562313325</v>
      </c>
      <c r="T165" s="4">
        <f t="shared" si="53"/>
        <v>8.556434438697899</v>
      </c>
      <c r="X165" s="3">
        <f t="shared" si="54"/>
        <v>0.00830476034722119</v>
      </c>
      <c r="AA165" s="1">
        <f t="shared" si="42"/>
        <v>9.561655356853995E-06</v>
      </c>
      <c r="AB165">
        <f t="shared" si="55"/>
        <v>0.533</v>
      </c>
      <c r="AC165">
        <f t="shared" si="56"/>
        <v>5</v>
      </c>
      <c r="AD165" s="8">
        <f t="shared" si="43"/>
        <v>923.5316545347052</v>
      </c>
      <c r="AE165" s="4">
        <f t="shared" si="44"/>
        <v>42753.63186116952</v>
      </c>
      <c r="AF165" s="5">
        <f t="shared" si="45"/>
        <v>0.02200357365984103</v>
      </c>
      <c r="AG165" s="4">
        <f t="shared" si="57"/>
        <v>225</v>
      </c>
      <c r="AH165" s="8">
        <f t="shared" si="58"/>
        <v>3289.6463397504726</v>
      </c>
      <c r="AI165" s="10">
        <f t="shared" si="59"/>
        <v>17.558934749864598</v>
      </c>
    </row>
    <row r="166" spans="1:35" ht="12.75">
      <c r="A166" s="120"/>
      <c r="B166" s="114"/>
      <c r="D166">
        <f t="shared" si="60"/>
        <v>2.25</v>
      </c>
      <c r="E166" s="4">
        <f t="shared" si="46"/>
        <v>117</v>
      </c>
      <c r="F166" s="15">
        <f t="shared" si="61"/>
        <v>6.25</v>
      </c>
      <c r="G166" s="15">
        <f t="shared" si="47"/>
        <v>14.0625</v>
      </c>
      <c r="I166" s="15">
        <f t="shared" si="62"/>
        <v>0</v>
      </c>
      <c r="J166" s="15">
        <f t="shared" si="48"/>
        <v>0</v>
      </c>
      <c r="K166" s="15"/>
      <c r="L166" s="15">
        <f t="shared" si="49"/>
        <v>6.25</v>
      </c>
      <c r="M166" s="15">
        <f t="shared" si="50"/>
        <v>14.0625</v>
      </c>
      <c r="O166" s="117"/>
      <c r="Q166">
        <f t="shared" si="51"/>
        <v>5.19</v>
      </c>
      <c r="R166" s="4">
        <f t="shared" si="52"/>
        <v>101.99424228979991</v>
      </c>
      <c r="T166" s="4">
        <f t="shared" si="53"/>
        <v>8.556434438697899</v>
      </c>
      <c r="X166" s="3">
        <f t="shared" si="54"/>
        <v>0.008263494576475608</v>
      </c>
      <c r="AA166" s="1">
        <f t="shared" si="42"/>
        <v>9.580485623520661E-06</v>
      </c>
      <c r="AB166">
        <f t="shared" si="55"/>
        <v>0.533</v>
      </c>
      <c r="AC166">
        <f t="shared" si="56"/>
        <v>5</v>
      </c>
      <c r="AD166" s="8">
        <f t="shared" si="43"/>
        <v>928.1435345546678</v>
      </c>
      <c r="AE166" s="4">
        <f t="shared" si="44"/>
        <v>42669.60039130981</v>
      </c>
      <c r="AF166" s="5">
        <f t="shared" si="45"/>
        <v>0.022014398864977035</v>
      </c>
      <c r="AG166" s="4">
        <f t="shared" si="57"/>
        <v>225</v>
      </c>
      <c r="AH166" s="8">
        <f t="shared" si="58"/>
        <v>3307.7004944444834</v>
      </c>
      <c r="AI166" s="10">
        <f t="shared" si="59"/>
        <v>17.525857744920152</v>
      </c>
    </row>
    <row r="167" spans="1:35" ht="12.75">
      <c r="A167" s="120"/>
      <c r="B167" s="114"/>
      <c r="D167">
        <f t="shared" si="60"/>
        <v>2.25</v>
      </c>
      <c r="E167" s="4">
        <f t="shared" si="46"/>
        <v>119.25</v>
      </c>
      <c r="F167" s="15">
        <f t="shared" si="61"/>
        <v>6.25</v>
      </c>
      <c r="G167" s="15">
        <f t="shared" si="47"/>
        <v>14.0625</v>
      </c>
      <c r="I167" s="15">
        <f t="shared" si="62"/>
        <v>0</v>
      </c>
      <c r="J167" s="15">
        <f t="shared" si="48"/>
        <v>0</v>
      </c>
      <c r="K167" s="15"/>
      <c r="L167" s="15">
        <f t="shared" si="49"/>
        <v>6.25</v>
      </c>
      <c r="M167" s="15">
        <f t="shared" si="50"/>
        <v>14.0625</v>
      </c>
      <c r="O167" s="117"/>
      <c r="Q167">
        <f t="shared" si="51"/>
        <v>5.19</v>
      </c>
      <c r="R167" s="4">
        <f t="shared" si="52"/>
        <v>102.31090895646658</v>
      </c>
      <c r="T167" s="4">
        <f t="shared" si="53"/>
        <v>8.556434438697899</v>
      </c>
      <c r="X167" s="3">
        <f t="shared" si="54"/>
        <v>0.008222399549925968</v>
      </c>
      <c r="AA167" s="1">
        <f t="shared" si="42"/>
        <v>9.599315890187329E-06</v>
      </c>
      <c r="AB167">
        <f t="shared" si="55"/>
        <v>0.533</v>
      </c>
      <c r="AC167">
        <f t="shared" si="56"/>
        <v>5</v>
      </c>
      <c r="AD167" s="8">
        <f t="shared" si="43"/>
        <v>932.7823365202989</v>
      </c>
      <c r="AE167" s="4">
        <f t="shared" si="44"/>
        <v>42585.89859806537</v>
      </c>
      <c r="AF167" s="5">
        <f t="shared" si="45"/>
        <v>0.02202520812429993</v>
      </c>
      <c r="AG167" s="4">
        <f t="shared" si="57"/>
        <v>225</v>
      </c>
      <c r="AH167" s="8">
        <f t="shared" si="58"/>
        <v>3325.864396362934</v>
      </c>
      <c r="AI167" s="10">
        <f t="shared" si="59"/>
        <v>17.49259910095652</v>
      </c>
    </row>
    <row r="168" spans="1:35" ht="12.75">
      <c r="A168" s="120"/>
      <c r="B168" s="114"/>
      <c r="D168">
        <f t="shared" si="60"/>
        <v>2.25</v>
      </c>
      <c r="E168" s="4">
        <f t="shared" si="46"/>
        <v>121.5</v>
      </c>
      <c r="F168" s="15">
        <f t="shared" si="61"/>
        <v>6.25</v>
      </c>
      <c r="G168" s="15">
        <f t="shared" si="47"/>
        <v>14.0625</v>
      </c>
      <c r="I168" s="15">
        <f t="shared" si="62"/>
        <v>0</v>
      </c>
      <c r="J168" s="15">
        <f t="shared" si="48"/>
        <v>0</v>
      </c>
      <c r="K168" s="15"/>
      <c r="L168" s="15">
        <f t="shared" si="49"/>
        <v>6.25</v>
      </c>
      <c r="M168" s="15">
        <f t="shared" si="50"/>
        <v>14.0625</v>
      </c>
      <c r="O168" s="117"/>
      <c r="Q168">
        <f t="shared" si="51"/>
        <v>5.19</v>
      </c>
      <c r="R168" s="4">
        <f t="shared" si="52"/>
        <v>102.62757562313324</v>
      </c>
      <c r="T168" s="4">
        <f t="shared" si="53"/>
        <v>8.556434438697899</v>
      </c>
      <c r="X168" s="3">
        <f t="shared" si="54"/>
        <v>0.008181473173732938</v>
      </c>
      <c r="AA168" s="1">
        <f t="shared" si="42"/>
        <v>9.618146156853996E-06</v>
      </c>
      <c r="AB168">
        <f t="shared" si="55"/>
        <v>0.533</v>
      </c>
      <c r="AC168">
        <f t="shared" si="56"/>
        <v>5</v>
      </c>
      <c r="AD168" s="8">
        <f t="shared" si="43"/>
        <v>937.448415599212</v>
      </c>
      <c r="AE168" s="4">
        <f t="shared" si="44"/>
        <v>42502.52454512797</v>
      </c>
      <c r="AF168" s="5">
        <f t="shared" si="45"/>
        <v>0.022036001492509047</v>
      </c>
      <c r="AG168" s="4">
        <f t="shared" si="57"/>
        <v>225</v>
      </c>
      <c r="AH168" s="8">
        <f t="shared" si="58"/>
        <v>3344.1394261930495</v>
      </c>
      <c r="AI168" s="10">
        <f t="shared" si="59"/>
        <v>17.45915770669459</v>
      </c>
    </row>
    <row r="169" spans="1:35" ht="12.75">
      <c r="A169" s="120"/>
      <c r="B169" s="114"/>
      <c r="D169">
        <f t="shared" si="60"/>
        <v>2.25</v>
      </c>
      <c r="E169" s="4">
        <f t="shared" si="46"/>
        <v>123.75</v>
      </c>
      <c r="F169" s="15">
        <f t="shared" si="61"/>
        <v>6.25</v>
      </c>
      <c r="G169" s="15">
        <f t="shared" si="47"/>
        <v>14.0625</v>
      </c>
      <c r="I169" s="15">
        <f t="shared" si="62"/>
        <v>0</v>
      </c>
      <c r="J169" s="15">
        <f t="shared" si="48"/>
        <v>0</v>
      </c>
      <c r="K169" s="15"/>
      <c r="L169" s="15">
        <f t="shared" si="49"/>
        <v>6.25</v>
      </c>
      <c r="M169" s="15">
        <f t="shared" si="50"/>
        <v>14.0625</v>
      </c>
      <c r="O169" s="117"/>
      <c r="Q169">
        <f t="shared" si="51"/>
        <v>5.19</v>
      </c>
      <c r="R169" s="4">
        <f t="shared" si="52"/>
        <v>102.9442422897999</v>
      </c>
      <c r="T169" s="4">
        <f t="shared" si="53"/>
        <v>8.556434438697899</v>
      </c>
      <c r="X169" s="3">
        <f t="shared" si="54"/>
        <v>0.008140713373382869</v>
      </c>
      <c r="AA169" s="1">
        <f t="shared" si="42"/>
        <v>9.63697642352066E-06</v>
      </c>
      <c r="AB169">
        <f t="shared" si="55"/>
        <v>0.533</v>
      </c>
      <c r="AC169">
        <f t="shared" si="56"/>
        <v>5</v>
      </c>
      <c r="AD169" s="8">
        <f t="shared" si="43"/>
        <v>942.1421332755087</v>
      </c>
      <c r="AE169" s="4">
        <f t="shared" si="44"/>
        <v>42419.47631132324</v>
      </c>
      <c r="AF169" s="5">
        <f t="shared" si="45"/>
        <v>0.022046779024009457</v>
      </c>
      <c r="AG169" s="4">
        <f t="shared" si="57"/>
        <v>225</v>
      </c>
      <c r="AH169" s="8">
        <f t="shared" si="58"/>
        <v>3362.5269893487684</v>
      </c>
      <c r="AI169" s="10">
        <f t="shared" si="59"/>
        <v>17.425532436801102</v>
      </c>
    </row>
    <row r="170" spans="1:35" ht="12.75">
      <c r="A170" s="120"/>
      <c r="B170" s="114"/>
      <c r="D170">
        <f t="shared" si="60"/>
        <v>2.25</v>
      </c>
      <c r="E170" s="4">
        <f t="shared" si="46"/>
        <v>126</v>
      </c>
      <c r="F170" s="15">
        <f t="shared" si="61"/>
        <v>6.25</v>
      </c>
      <c r="G170" s="15">
        <f t="shared" si="47"/>
        <v>14.0625</v>
      </c>
      <c r="I170" s="15">
        <f t="shared" si="62"/>
        <v>0</v>
      </c>
      <c r="J170" s="15">
        <f t="shared" si="48"/>
        <v>0</v>
      </c>
      <c r="K170" s="15"/>
      <c r="L170" s="15">
        <f t="shared" si="49"/>
        <v>6.25</v>
      </c>
      <c r="M170" s="15">
        <f t="shared" si="50"/>
        <v>14.0625</v>
      </c>
      <c r="O170" s="117"/>
      <c r="Q170">
        <f t="shared" si="51"/>
        <v>5.19</v>
      </c>
      <c r="R170" s="4">
        <f t="shared" si="52"/>
        <v>103.26090895646657</v>
      </c>
      <c r="T170" s="4">
        <f t="shared" si="53"/>
        <v>8.556434438697899</v>
      </c>
      <c r="X170" s="3">
        <f t="shared" si="54"/>
        <v>0.008100118093276506</v>
      </c>
      <c r="AA170" s="1">
        <f t="shared" si="42"/>
        <v>9.655806690187328E-06</v>
      </c>
      <c r="AB170">
        <f t="shared" si="55"/>
        <v>0.533</v>
      </c>
      <c r="AC170">
        <f t="shared" si="56"/>
        <v>5</v>
      </c>
      <c r="AD170" s="8">
        <f t="shared" si="43"/>
        <v>946.8638574972915</v>
      </c>
      <c r="AE170" s="4">
        <f t="shared" si="44"/>
        <v>42336.75199046309</v>
      </c>
      <c r="AF170" s="5">
        <f t="shared" si="45"/>
        <v>0.022057540772914063</v>
      </c>
      <c r="AG170" s="4">
        <f t="shared" si="57"/>
        <v>225</v>
      </c>
      <c r="AH170" s="8">
        <f t="shared" si="58"/>
        <v>3381.028516544997</v>
      </c>
      <c r="AI170" s="10">
        <f t="shared" si="59"/>
        <v>17.39172215163565</v>
      </c>
    </row>
    <row r="171" spans="1:35" ht="12.75">
      <c r="A171" s="120"/>
      <c r="B171" s="114"/>
      <c r="D171">
        <f t="shared" si="60"/>
        <v>2.25</v>
      </c>
      <c r="E171" s="4">
        <f t="shared" si="46"/>
        <v>128.25</v>
      </c>
      <c r="F171" s="15">
        <f t="shared" si="61"/>
        <v>6.25</v>
      </c>
      <c r="G171" s="15">
        <f t="shared" si="47"/>
        <v>14.0625</v>
      </c>
      <c r="I171" s="15">
        <f t="shared" si="62"/>
        <v>0</v>
      </c>
      <c r="J171" s="15">
        <f t="shared" si="48"/>
        <v>0</v>
      </c>
      <c r="K171" s="15"/>
      <c r="L171" s="15">
        <f t="shared" si="49"/>
        <v>6.25</v>
      </c>
      <c r="M171" s="15">
        <f t="shared" si="50"/>
        <v>14.0625</v>
      </c>
      <c r="O171" s="117"/>
      <c r="Q171">
        <f t="shared" si="51"/>
        <v>5.19</v>
      </c>
      <c r="R171" s="4">
        <f t="shared" si="52"/>
        <v>103.57757562313323</v>
      </c>
      <c r="T171" s="4">
        <f t="shared" si="53"/>
        <v>8.556434438697899</v>
      </c>
      <c r="X171" s="3">
        <f t="shared" si="54"/>
        <v>0.008059685296322621</v>
      </c>
      <c r="AA171" s="1">
        <f t="shared" si="42"/>
        <v>9.674636956853995E-06</v>
      </c>
      <c r="AB171">
        <f t="shared" si="55"/>
        <v>0.533</v>
      </c>
      <c r="AC171">
        <f t="shared" si="56"/>
        <v>5</v>
      </c>
      <c r="AD171" s="8">
        <f t="shared" si="43"/>
        <v>951.6139628284052</v>
      </c>
      <c r="AE171" s="4">
        <f t="shared" si="44"/>
        <v>42254.34969119994</v>
      </c>
      <c r="AF171" s="5">
        <f t="shared" si="45"/>
        <v>0.022068286793045826</v>
      </c>
      <c r="AG171" s="4">
        <f t="shared" si="57"/>
        <v>225</v>
      </c>
      <c r="AH171" s="8">
        <f t="shared" si="58"/>
        <v>3399.645464388355</v>
      </c>
      <c r="AI171" s="10">
        <f t="shared" si="59"/>
        <v>17.357725696991768</v>
      </c>
    </row>
    <row r="172" spans="1:35" ht="12.75">
      <c r="A172" s="120"/>
      <c r="B172" s="114"/>
      <c r="D172">
        <f t="shared" si="60"/>
        <v>2.25</v>
      </c>
      <c r="E172" s="4">
        <f t="shared" si="46"/>
        <v>130.5</v>
      </c>
      <c r="F172" s="15">
        <f t="shared" si="61"/>
        <v>6.25</v>
      </c>
      <c r="G172" s="15">
        <f t="shared" si="47"/>
        <v>14.0625</v>
      </c>
      <c r="I172" s="15">
        <f t="shared" si="62"/>
        <v>0</v>
      </c>
      <c r="J172" s="15">
        <f t="shared" si="48"/>
        <v>0</v>
      </c>
      <c r="K172" s="15"/>
      <c r="L172" s="15">
        <f t="shared" si="49"/>
        <v>6.25</v>
      </c>
      <c r="M172" s="15">
        <f t="shared" si="50"/>
        <v>14.0625</v>
      </c>
      <c r="O172" s="117"/>
      <c r="Q172">
        <f t="shared" si="51"/>
        <v>5.19</v>
      </c>
      <c r="R172" s="4">
        <f t="shared" si="52"/>
        <v>103.89424228979989</v>
      </c>
      <c r="T172" s="4">
        <f t="shared" si="53"/>
        <v>8.556434438697899</v>
      </c>
      <c r="X172" s="3">
        <f t="shared" si="54"/>
        <v>0.008019412963536322</v>
      </c>
      <c r="AA172" s="1">
        <f t="shared" si="42"/>
        <v>9.69346722352066E-06</v>
      </c>
      <c r="AB172">
        <f t="shared" si="55"/>
        <v>0.533</v>
      </c>
      <c r="AC172">
        <f t="shared" si="56"/>
        <v>5</v>
      </c>
      <c r="AD172" s="8">
        <f t="shared" si="43"/>
        <v>956.3928306045591</v>
      </c>
      <c r="AE172" s="4">
        <f t="shared" si="44"/>
        <v>42172.26753688253</v>
      </c>
      <c r="AF172" s="5">
        <f t="shared" si="45"/>
        <v>0.022079017137939784</v>
      </c>
      <c r="AG172" s="4">
        <f t="shared" si="57"/>
        <v>225</v>
      </c>
      <c r="AH172" s="8">
        <f t="shared" si="58"/>
        <v>3418.379315984923</v>
      </c>
      <c r="AI172" s="10">
        <f t="shared" si="59"/>
        <v>17.32354190383192</v>
      </c>
    </row>
    <row r="173" spans="1:35" ht="12.75">
      <c r="A173" s="120"/>
      <c r="B173" s="114"/>
      <c r="D173">
        <f t="shared" si="60"/>
        <v>2.25</v>
      </c>
      <c r="E173" s="4">
        <f t="shared" si="46"/>
        <v>132.75</v>
      </c>
      <c r="F173" s="15">
        <f t="shared" si="61"/>
        <v>6.25</v>
      </c>
      <c r="G173" s="15">
        <f t="shared" si="47"/>
        <v>14.0625</v>
      </c>
      <c r="I173" s="15">
        <f t="shared" si="62"/>
        <v>0</v>
      </c>
      <c r="J173" s="15">
        <f t="shared" si="48"/>
        <v>0</v>
      </c>
      <c r="K173" s="15"/>
      <c r="L173" s="15">
        <f t="shared" si="49"/>
        <v>6.25</v>
      </c>
      <c r="M173" s="15">
        <f t="shared" si="50"/>
        <v>14.0625</v>
      </c>
      <c r="O173" s="117"/>
      <c r="Q173">
        <f t="shared" si="51"/>
        <v>5.19</v>
      </c>
      <c r="R173" s="4">
        <f t="shared" si="52"/>
        <v>104.21090895646655</v>
      </c>
      <c r="T173" s="4">
        <f t="shared" si="53"/>
        <v>8.556434438697899</v>
      </c>
      <c r="X173" s="3">
        <f t="shared" si="54"/>
        <v>0.0079792990936419</v>
      </c>
      <c r="AA173" s="1">
        <f t="shared" si="42"/>
        <v>9.712297490187327E-06</v>
      </c>
      <c r="AB173">
        <f t="shared" si="55"/>
        <v>0.533</v>
      </c>
      <c r="AC173">
        <f t="shared" si="56"/>
        <v>5</v>
      </c>
      <c r="AD173" s="8">
        <f t="shared" si="43"/>
        <v>961.2008490939774</v>
      </c>
      <c r="AE173" s="4">
        <f t="shared" si="44"/>
        <v>42090.50366541342</v>
      </c>
      <c r="AF173" s="5">
        <f t="shared" si="45"/>
        <v>0.022089731860845226</v>
      </c>
      <c r="AG173" s="4">
        <f t="shared" si="57"/>
        <v>225</v>
      </c>
      <c r="AH173" s="8">
        <f t="shared" si="58"/>
        <v>3437.2315815656507</v>
      </c>
      <c r="AI173" s="10">
        <f t="shared" si="59"/>
        <v>17.289169588016264</v>
      </c>
    </row>
    <row r="174" spans="1:35" ht="13.5" thickBot="1">
      <c r="A174" s="100"/>
      <c r="B174" s="115"/>
      <c r="D174">
        <f t="shared" si="60"/>
        <v>2.25</v>
      </c>
      <c r="E174" s="4">
        <f t="shared" si="46"/>
        <v>135</v>
      </c>
      <c r="F174" s="15">
        <f t="shared" si="61"/>
        <v>6.25</v>
      </c>
      <c r="G174" s="15">
        <f t="shared" si="47"/>
        <v>14.0625</v>
      </c>
      <c r="I174" s="15">
        <f t="shared" si="62"/>
        <v>0</v>
      </c>
      <c r="J174" s="15">
        <f t="shared" si="48"/>
        <v>0</v>
      </c>
      <c r="K174" s="15"/>
      <c r="L174" s="15">
        <f t="shared" si="49"/>
        <v>6.25</v>
      </c>
      <c r="M174" s="15">
        <f t="shared" si="50"/>
        <v>14.0625</v>
      </c>
      <c r="O174" s="118"/>
      <c r="Q174">
        <f t="shared" si="51"/>
        <v>5.19</v>
      </c>
      <c r="R174" s="4">
        <f t="shared" si="52"/>
        <v>104.52757562313322</v>
      </c>
      <c r="T174" s="4">
        <f t="shared" si="53"/>
        <v>8.556434438697899</v>
      </c>
      <c r="X174" s="3">
        <f t="shared" si="54"/>
        <v>0.007939341702680017</v>
      </c>
      <c r="AA174" s="1">
        <f t="shared" si="42"/>
        <v>9.731127756853992E-06</v>
      </c>
      <c r="AB174">
        <f t="shared" si="55"/>
        <v>0.533</v>
      </c>
      <c r="AC174">
        <f t="shared" si="56"/>
        <v>5</v>
      </c>
      <c r="AD174" s="8">
        <f t="shared" si="43"/>
        <v>966.0384136627347</v>
      </c>
      <c r="AE174" s="4">
        <f t="shared" si="44"/>
        <v>42009.05622910823</v>
      </c>
      <c r="AF174" s="5">
        <f t="shared" si="45"/>
        <v>0.022100431014727723</v>
      </c>
      <c r="AG174" s="4">
        <f t="shared" si="57"/>
        <v>225</v>
      </c>
      <c r="AH174" s="8">
        <f t="shared" si="58"/>
        <v>3456.2037991299567</v>
      </c>
      <c r="AI174" s="10">
        <f t="shared" si="59"/>
        <v>17.254607550024964</v>
      </c>
    </row>
    <row r="175" spans="1:35" ht="13.5" thickBot="1">
      <c r="A175" s="20" t="s">
        <v>46</v>
      </c>
      <c r="AB175" t="s">
        <v>40</v>
      </c>
      <c r="AH175" s="3">
        <f>0.1*(X174*AD174^2)/2</f>
        <v>370.46167887126103</v>
      </c>
      <c r="AI175" s="10">
        <f t="shared" si="59"/>
        <v>17.25090293323625</v>
      </c>
    </row>
    <row r="177" spans="1:34" ht="12.75">
      <c r="A177" t="s">
        <v>53</v>
      </c>
      <c r="B177" s="15">
        <f>B160+B145+B130+B115</f>
        <v>843.75</v>
      </c>
      <c r="C177" t="s">
        <v>35</v>
      </c>
      <c r="N177" t="s">
        <v>39</v>
      </c>
      <c r="O177" s="15">
        <f>O160+O145+O130+O115</f>
        <v>843.75</v>
      </c>
      <c r="P177" t="s">
        <v>35</v>
      </c>
      <c r="AG177" s="6" t="s">
        <v>66</v>
      </c>
      <c r="AH177" s="11">
        <f>SUM(AH115:AH175)</f>
        <v>177641.84193698064</v>
      </c>
    </row>
    <row r="178" spans="33:34" ht="12.75">
      <c r="AG178" s="25" t="s">
        <v>67</v>
      </c>
      <c r="AH178" s="26">
        <f>AH177/100000</f>
        <v>1.7764184193698063</v>
      </c>
    </row>
    <row r="179" spans="33:34" ht="12.75">
      <c r="AG179" s="6"/>
      <c r="AH179" s="11"/>
    </row>
    <row r="180" spans="29:35" ht="12.75">
      <c r="AC180" s="12"/>
      <c r="AD180" s="12" t="s">
        <v>212</v>
      </c>
      <c r="AE180" s="12"/>
      <c r="AF180" s="12"/>
      <c r="AG180" s="23"/>
      <c r="AH180" s="71">
        <f>R174-'Supply helium'!P188</f>
        <v>26.979999999999507</v>
      </c>
      <c r="AI180" s="23"/>
    </row>
  </sheetData>
  <mergeCells count="24">
    <mergeCell ref="B30:B44"/>
    <mergeCell ref="A30:A44"/>
    <mergeCell ref="O30:O44"/>
    <mergeCell ref="A15:A29"/>
    <mergeCell ref="B15:B29"/>
    <mergeCell ref="O15:O29"/>
    <mergeCell ref="O45:O59"/>
    <mergeCell ref="B60:B74"/>
    <mergeCell ref="A60:A74"/>
    <mergeCell ref="O60:O74"/>
    <mergeCell ref="A45:A59"/>
    <mergeCell ref="B45:B59"/>
    <mergeCell ref="A115:A129"/>
    <mergeCell ref="B115:B129"/>
    <mergeCell ref="O115:O129"/>
    <mergeCell ref="A130:A144"/>
    <mergeCell ref="B130:B144"/>
    <mergeCell ref="O130:O144"/>
    <mergeCell ref="A145:A159"/>
    <mergeCell ref="B145:B159"/>
    <mergeCell ref="O145:O159"/>
    <mergeCell ref="A160:A174"/>
    <mergeCell ref="B160:B174"/>
    <mergeCell ref="O160:O17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193"/>
  <sheetViews>
    <sheetView zoomScale="75" zoomScaleNormal="75" workbookViewId="0" topLeftCell="P152">
      <selection activeCell="H109" sqref="H109"/>
    </sheetView>
  </sheetViews>
  <sheetFormatPr defaultColWidth="9.00390625" defaultRowHeight="12.75"/>
  <cols>
    <col min="1" max="1" width="18.00390625" style="0" bestFit="1" customWidth="1"/>
    <col min="2" max="2" width="9.625" style="0" customWidth="1"/>
    <col min="3" max="3" width="6.00390625" style="0" customWidth="1"/>
    <col min="4" max="4" width="9.75390625" style="0" customWidth="1"/>
    <col min="5" max="5" width="11.25390625" style="0" customWidth="1"/>
    <col min="6" max="6" width="12.375" style="0" customWidth="1"/>
    <col min="9" max="9" width="11.125" style="0" customWidth="1"/>
    <col min="10" max="10" width="6.625" style="0" customWidth="1"/>
    <col min="11" max="11" width="11.125" style="0" customWidth="1"/>
    <col min="12" max="12" width="10.00390625" style="0" customWidth="1"/>
    <col min="13" max="13" width="17.625" style="0" bestFit="1" customWidth="1"/>
    <col min="14" max="14" width="14.625" style="0" customWidth="1"/>
    <col min="15" max="15" width="11.375" style="0" bestFit="1" customWidth="1"/>
    <col min="16" max="16" width="14.625" style="0" customWidth="1"/>
    <col min="17" max="17" width="14.375" style="0" bestFit="1" customWidth="1"/>
    <col min="18" max="18" width="11.375" style="0" customWidth="1"/>
    <col min="19" max="19" width="11.00390625" style="0" customWidth="1"/>
    <col min="20" max="20" width="10.875" style="0" bestFit="1" customWidth="1"/>
    <col min="22" max="22" width="6.125" style="0" customWidth="1"/>
    <col min="23" max="25" width="11.375" style="0" customWidth="1"/>
    <col min="26" max="28" width="13.125" style="0" customWidth="1"/>
    <col min="29" max="29" width="12.875" style="0" customWidth="1"/>
    <col min="30" max="30" width="10.875" style="0" customWidth="1"/>
    <col min="31" max="31" width="12.25390625" style="0" customWidth="1"/>
    <col min="32" max="32" width="13.875" style="0" customWidth="1"/>
    <col min="33" max="33" width="9.75390625" style="0" customWidth="1"/>
    <col min="34" max="34" width="9.625" style="0" customWidth="1"/>
    <col min="35" max="35" width="13.25390625" style="0" bestFit="1" customWidth="1"/>
    <col min="36" max="36" width="6.375" style="0" customWidth="1"/>
    <col min="37" max="37" width="11.375" style="5" customWidth="1"/>
    <col min="38" max="16384" width="11.375" style="0" customWidth="1"/>
  </cols>
  <sheetData>
    <row r="3" ht="12.75">
      <c r="H3" s="40"/>
    </row>
    <row r="4" spans="3:9" ht="12.75">
      <c r="C4" t="s">
        <v>149</v>
      </c>
      <c r="H4" s="40" t="e">
        <f>'Trace Tube Helium'!AI75</f>
        <v>#NUM!</v>
      </c>
      <c r="I4" s="3" t="s">
        <v>70</v>
      </c>
    </row>
    <row r="5" spans="3:33" ht="18">
      <c r="C5" t="s">
        <v>90</v>
      </c>
      <c r="N5" s="14" t="s">
        <v>92</v>
      </c>
      <c r="O5" s="14"/>
      <c r="P5" s="14"/>
      <c r="Q5" s="14"/>
      <c r="AG5" t="s">
        <v>0</v>
      </c>
    </row>
    <row r="6" spans="14:33" ht="18">
      <c r="N6" s="14" t="s">
        <v>93</v>
      </c>
      <c r="O6" s="14"/>
      <c r="P6" s="14"/>
      <c r="Q6" s="14"/>
      <c r="AG6" s="13">
        <v>36527</v>
      </c>
    </row>
    <row r="7" spans="8:19" ht="12.75">
      <c r="H7" s="40"/>
      <c r="S7" s="22" t="s">
        <v>94</v>
      </c>
    </row>
    <row r="8" spans="5:25" ht="12.75">
      <c r="E8" t="s">
        <v>210</v>
      </c>
      <c r="G8" t="s">
        <v>60</v>
      </c>
      <c r="H8" s="70">
        <f>'Cryo Power'!F22</f>
        <v>2.2</v>
      </c>
      <c r="I8" t="s">
        <v>202</v>
      </c>
      <c r="K8" s="3"/>
      <c r="N8" s="22"/>
      <c r="O8" s="22"/>
      <c r="P8" s="22"/>
      <c r="Q8" s="22"/>
      <c r="R8" s="22"/>
      <c r="T8" s="22"/>
      <c r="U8" s="22"/>
      <c r="V8" s="22"/>
      <c r="W8" s="22"/>
      <c r="X8" s="22"/>
      <c r="Y8" s="22"/>
    </row>
    <row r="9" spans="5:33" ht="12.75">
      <c r="E9" t="s">
        <v>84</v>
      </c>
      <c r="G9" t="s">
        <v>85</v>
      </c>
      <c r="H9" s="17">
        <v>26.62</v>
      </c>
      <c r="I9" t="s">
        <v>86</v>
      </c>
      <c r="P9" t="s">
        <v>236</v>
      </c>
      <c r="Q9" s="73" t="s">
        <v>236</v>
      </c>
      <c r="R9" t="s">
        <v>241</v>
      </c>
      <c r="AG9" t="s">
        <v>27</v>
      </c>
    </row>
    <row r="10" spans="5:36" ht="12.75">
      <c r="E10" t="s">
        <v>209</v>
      </c>
      <c r="G10" t="s">
        <v>62</v>
      </c>
      <c r="H10" s="40">
        <f>'Cryo Power'!F25</f>
        <v>9700</v>
      </c>
      <c r="I10" t="s">
        <v>63</v>
      </c>
      <c r="O10" s="73" t="s">
        <v>206</v>
      </c>
      <c r="P10" s="73" t="s">
        <v>237</v>
      </c>
      <c r="Q10" t="s">
        <v>238</v>
      </c>
      <c r="R10" t="s">
        <v>240</v>
      </c>
      <c r="S10" t="s">
        <v>222</v>
      </c>
      <c r="Y10" s="16" t="s">
        <v>96</v>
      </c>
      <c r="Z10" s="16"/>
      <c r="AA10" s="16"/>
      <c r="AB10" s="16" t="s">
        <v>96</v>
      </c>
      <c r="AD10" s="16" t="s">
        <v>54</v>
      </c>
      <c r="AE10" s="19" t="s">
        <v>79</v>
      </c>
      <c r="AG10" t="s">
        <v>58</v>
      </c>
      <c r="AI10" s="5"/>
      <c r="AJ10" s="5"/>
    </row>
    <row r="11" spans="2:37" s="2" customFormat="1" ht="12.75">
      <c r="B11"/>
      <c r="C11" s="2" t="s">
        <v>24</v>
      </c>
      <c r="G11"/>
      <c r="H11"/>
      <c r="I11"/>
      <c r="J11"/>
      <c r="L11" t="s">
        <v>30</v>
      </c>
      <c r="M11"/>
      <c r="N11" s="2" t="s">
        <v>95</v>
      </c>
      <c r="O11" s="73" t="s">
        <v>234</v>
      </c>
      <c r="P11" s="73" t="s">
        <v>235</v>
      </c>
      <c r="Q11" s="73" t="s">
        <v>239</v>
      </c>
      <c r="R11" t="s">
        <v>98</v>
      </c>
      <c r="S11" t="s">
        <v>98</v>
      </c>
      <c r="U11" s="2" t="s">
        <v>4</v>
      </c>
      <c r="V11"/>
      <c r="W11" t="s">
        <v>145</v>
      </c>
      <c r="X11"/>
      <c r="Y11" s="16" t="s">
        <v>73</v>
      </c>
      <c r="Z11"/>
      <c r="AA11"/>
      <c r="AB11" s="2" t="s">
        <v>100</v>
      </c>
      <c r="AC11" s="2" t="s">
        <v>7</v>
      </c>
      <c r="AD11" s="16" t="s">
        <v>55</v>
      </c>
      <c r="AE11" s="19" t="s">
        <v>80</v>
      </c>
      <c r="AF11" s="2" t="s">
        <v>8</v>
      </c>
      <c r="AG11" s="2" t="s">
        <v>9</v>
      </c>
      <c r="AH11" s="2" t="s">
        <v>10</v>
      </c>
      <c r="AI11" s="7" t="s">
        <v>11</v>
      </c>
      <c r="AJ11" s="7" t="s">
        <v>71</v>
      </c>
      <c r="AK11" s="7"/>
    </row>
    <row r="12" spans="2:37" s="2" customFormat="1" ht="12.75">
      <c r="B12"/>
      <c r="C12" s="2" t="s">
        <v>25</v>
      </c>
      <c r="D12"/>
      <c r="E12" s="2" t="s">
        <v>48</v>
      </c>
      <c r="F12" s="16" t="s">
        <v>48</v>
      </c>
      <c r="H12" s="2" t="s">
        <v>34</v>
      </c>
      <c r="I12" s="2" t="s">
        <v>36</v>
      </c>
      <c r="J12"/>
      <c r="K12" t="s">
        <v>30</v>
      </c>
      <c r="L12" t="s">
        <v>31</v>
      </c>
      <c r="M12"/>
      <c r="N12" s="2" t="s">
        <v>123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U12" s="2" t="s">
        <v>15</v>
      </c>
      <c r="V12"/>
      <c r="W12" s="2" t="s">
        <v>14</v>
      </c>
      <c r="X12"/>
      <c r="Y12" s="2" t="s">
        <v>16</v>
      </c>
      <c r="Z12"/>
      <c r="AA12"/>
      <c r="AB12" s="2" t="s">
        <v>17</v>
      </c>
      <c r="AC12" s="2" t="s">
        <v>18</v>
      </c>
      <c r="AD12" s="16" t="s">
        <v>56</v>
      </c>
      <c r="AE12" s="7" t="s">
        <v>19</v>
      </c>
      <c r="AH12" s="2" t="s">
        <v>18</v>
      </c>
      <c r="AI12" s="7" t="s">
        <v>20</v>
      </c>
      <c r="AJ12" s="7" t="s">
        <v>72</v>
      </c>
      <c r="AK12" s="7"/>
    </row>
    <row r="13" spans="2:37" s="2" customFormat="1" ht="13.5" thickBot="1">
      <c r="B13"/>
      <c r="C13" t="s">
        <v>26</v>
      </c>
      <c r="D13" s="2" t="s">
        <v>23</v>
      </c>
      <c r="E13" s="2" t="s">
        <v>33</v>
      </c>
      <c r="F13" s="16" t="s">
        <v>32</v>
      </c>
      <c r="H13" s="2" t="s">
        <v>33</v>
      </c>
      <c r="I13" s="2" t="s">
        <v>37</v>
      </c>
      <c r="J13"/>
      <c r="K13" t="s">
        <v>33</v>
      </c>
      <c r="L13" s="2" t="s">
        <v>37</v>
      </c>
      <c r="M13"/>
      <c r="R13"/>
      <c r="T13"/>
      <c r="V13"/>
      <c r="W13"/>
      <c r="X13"/>
      <c r="Z13"/>
      <c r="AA13"/>
      <c r="AE13" s="7"/>
      <c r="AI13" s="7"/>
      <c r="AJ13" s="7"/>
      <c r="AK13" s="7"/>
    </row>
    <row r="14" spans="1:36" ht="13.5" thickBot="1">
      <c r="A14" s="20" t="s">
        <v>150</v>
      </c>
      <c r="C14">
        <v>0</v>
      </c>
      <c r="D14" s="4">
        <v>0</v>
      </c>
      <c r="E14" s="15">
        <v>0</v>
      </c>
      <c r="F14" s="15">
        <v>0</v>
      </c>
      <c r="H14" s="15"/>
      <c r="K14">
        <v>0</v>
      </c>
      <c r="L14" s="15">
        <v>0</v>
      </c>
      <c r="N14">
        <v>5.19</v>
      </c>
      <c r="O14" s="15">
        <f>'Supply helium'!AM14</f>
        <v>76.60445426989031</v>
      </c>
      <c r="P14" s="15">
        <f>'Trace Tube Helium'!AH80</f>
        <v>29.819999999999993</v>
      </c>
      <c r="Q14" s="15">
        <f>O14+P14</f>
        <v>106.4244542698903</v>
      </c>
      <c r="R14" s="15">
        <f>O14</f>
        <v>76.60445426989031</v>
      </c>
      <c r="S14" s="15">
        <f>O14</f>
        <v>76.60445426989031</v>
      </c>
      <c r="U14" s="4">
        <f>'Supply helium'!R88</f>
        <v>-750.7202495641809</v>
      </c>
      <c r="W14" s="15">
        <f>'Trace Tube Helium'!T14</f>
        <v>6.193228736581338</v>
      </c>
      <c r="Y14" s="3" t="e">
        <f>0.00096*(100/S14)*(AJ14/2)</f>
        <v>#NUM!</v>
      </c>
      <c r="AB14" s="1">
        <f>(3.5155+0.059464*S14)*10^-6</f>
        <v>8.070707268704756E-06</v>
      </c>
      <c r="AC14" s="27">
        <f>H9</f>
        <v>26.62</v>
      </c>
      <c r="AD14" s="9">
        <v>1</v>
      </c>
      <c r="AE14" s="8" t="e">
        <f aca="true" t="shared" si="0" ref="AE14:AE45">4*U14/(Y14*3.14159*AC14^2*AD14)</f>
        <v>#NUM!</v>
      </c>
      <c r="AF14" s="4" t="e">
        <f aca="true" t="shared" si="1" ref="AF14:AF45">Y14*AE14*AC14/AB14/10</f>
        <v>#NUM!</v>
      </c>
      <c r="AG14" s="5" t="e">
        <f aca="true" t="shared" si="2" ref="AG14:AG45">4*(0.0791/AF14^0.25)</f>
        <v>#NUM!</v>
      </c>
      <c r="AH14" s="4">
        <v>0</v>
      </c>
      <c r="AI14" s="10" t="e">
        <f>AG14*AH14/(AC14)*(W14*AE14^2/2)*0.1</f>
        <v>#NUM!</v>
      </c>
      <c r="AJ14" s="10" t="e">
        <f>H4</f>
        <v>#NUM!</v>
      </c>
    </row>
    <row r="15" spans="1:36" ht="12.75">
      <c r="A15" s="108"/>
      <c r="C15">
        <v>270</v>
      </c>
      <c r="D15" s="4">
        <f aca="true" t="shared" si="3" ref="D15:D46">D14+C15</f>
        <v>270</v>
      </c>
      <c r="E15" s="15">
        <f>H8</f>
        <v>2.2</v>
      </c>
      <c r="F15" s="15">
        <f aca="true" t="shared" si="4" ref="F15:F46">E15*C15</f>
        <v>594</v>
      </c>
      <c r="H15" s="15">
        <v>0</v>
      </c>
      <c r="I15" s="15">
        <f aca="true" t="shared" si="5" ref="I15:I46">H15*C15</f>
        <v>0</v>
      </c>
      <c r="J15" s="15"/>
      <c r="K15" s="15">
        <f aca="true" t="shared" si="6" ref="K15:K46">H15+E15</f>
        <v>2.2</v>
      </c>
      <c r="L15" s="15">
        <f aca="true" t="shared" si="7" ref="L15:L46">K15*C15</f>
        <v>594</v>
      </c>
      <c r="N15">
        <f aca="true" t="shared" si="8" ref="N15:N46">N14</f>
        <v>5.19</v>
      </c>
      <c r="O15" s="15">
        <f>'Supply helium'!AM15</f>
        <v>76.59953576782142</v>
      </c>
      <c r="P15" s="15">
        <f>P14</f>
        <v>29.819999999999993</v>
      </c>
      <c r="Q15" s="15">
        <f aca="true" t="shared" si="9" ref="Q15:Q78">O15+P15</f>
        <v>106.41953576782142</v>
      </c>
      <c r="R15" s="15">
        <f>S14+L15/(U14*N14)</f>
        <v>76.45199952110944</v>
      </c>
      <c r="S15" s="15">
        <f>(4*W14*Q15+U14*R15)/U15</f>
        <v>75.429358909058</v>
      </c>
      <c r="U15" s="4">
        <f>U14+4*W14</f>
        <v>-725.9473346178555</v>
      </c>
      <c r="W15" s="15">
        <f>'Trace Tube Helium'!T14</f>
        <v>6.193228736581338</v>
      </c>
      <c r="Y15" s="3" t="e">
        <f>0.00096*(100/S14)*(AJ14/2)</f>
        <v>#NUM!</v>
      </c>
      <c r="AB15" s="1">
        <f aca="true" t="shared" si="10" ref="AB15:AB78">(3.5155+0.059464*S15)*10^-6</f>
        <v>8.000831398168224E-06</v>
      </c>
      <c r="AC15">
        <f aca="true" t="shared" si="11" ref="AC15:AC46">AC14</f>
        <v>26.62</v>
      </c>
      <c r="AD15">
        <f aca="true" t="shared" si="12" ref="AD15:AD46">AD14</f>
        <v>1</v>
      </c>
      <c r="AE15" s="8" t="e">
        <f t="shared" si="0"/>
        <v>#NUM!</v>
      </c>
      <c r="AF15" s="4" t="e">
        <f t="shared" si="1"/>
        <v>#NUM!</v>
      </c>
      <c r="AG15" s="5" t="e">
        <f t="shared" si="2"/>
        <v>#NUM!</v>
      </c>
      <c r="AH15" s="4">
        <f aca="true" t="shared" si="13" ref="AH15:AH46">100*(D15-D14)</f>
        <v>27000</v>
      </c>
      <c r="AI15" s="8" t="e">
        <f aca="true" t="shared" si="14" ref="AI15:AI46">AG15*AH15/(AC15)*(Y15*AE15^2/2)*0.1</f>
        <v>#NUM!</v>
      </c>
      <c r="AJ15" s="10" t="e">
        <f aca="true" t="shared" si="15" ref="AJ15:AJ46">AJ14-AI15/100000</f>
        <v>#NUM!</v>
      </c>
    </row>
    <row r="16" spans="1:36" ht="12.75">
      <c r="A16" s="109"/>
      <c r="C16">
        <f aca="true" t="shared" si="16" ref="C16:C47">C15</f>
        <v>270</v>
      </c>
      <c r="D16" s="4">
        <f t="shared" si="3"/>
        <v>540</v>
      </c>
      <c r="E16" s="15">
        <f aca="true" t="shared" si="17" ref="E16:E47">E15</f>
        <v>2.2</v>
      </c>
      <c r="F16" s="15">
        <f t="shared" si="4"/>
        <v>594</v>
      </c>
      <c r="H16" s="15">
        <f aca="true" t="shared" si="18" ref="H16:H47">H15</f>
        <v>0</v>
      </c>
      <c r="I16" s="15">
        <f t="shared" si="5"/>
        <v>0</v>
      </c>
      <c r="J16" s="15"/>
      <c r="K16" s="15">
        <f t="shared" si="6"/>
        <v>2.2</v>
      </c>
      <c r="L16" s="15">
        <f t="shared" si="7"/>
        <v>594</v>
      </c>
      <c r="N16">
        <f t="shared" si="8"/>
        <v>5.19</v>
      </c>
      <c r="O16" s="15">
        <f>'Supply helium'!AM16</f>
        <v>76.59449930453786</v>
      </c>
      <c r="P16" s="15">
        <f aca="true" t="shared" si="19" ref="P16:P79">P15</f>
        <v>29.819999999999993</v>
      </c>
      <c r="Q16" s="15">
        <f t="shared" si="9"/>
        <v>106.41449930453786</v>
      </c>
      <c r="R16" s="15">
        <f aca="true" t="shared" si="20" ref="R16:R79">S15+L16/(U15*N15)</f>
        <v>75.27170164992326</v>
      </c>
      <c r="S16" s="15">
        <f aca="true" t="shared" si="21" ref="S16:S79">(4*W15*Q16+U15*R16)/U16</f>
        <v>74.1714078345131</v>
      </c>
      <c r="U16" s="4">
        <f aca="true" t="shared" si="22" ref="U16:U79">U15+4*W15</f>
        <v>-701.1744196715301</v>
      </c>
      <c r="W16" s="15">
        <f aca="true" t="shared" si="23" ref="W16:W47">W15</f>
        <v>6.193228736581338</v>
      </c>
      <c r="Y16" s="3" t="e">
        <f aca="true" t="shared" si="24" ref="Y16:Y79">0.00096*(100/S15)*(AJ15/2)</f>
        <v>#NUM!</v>
      </c>
      <c r="AB16" s="1">
        <f t="shared" si="10"/>
        <v>7.926028595471487E-06</v>
      </c>
      <c r="AC16">
        <f t="shared" si="11"/>
        <v>26.62</v>
      </c>
      <c r="AD16">
        <f t="shared" si="12"/>
        <v>1</v>
      </c>
      <c r="AE16" s="8" t="e">
        <f t="shared" si="0"/>
        <v>#NUM!</v>
      </c>
      <c r="AF16" s="4" t="e">
        <f t="shared" si="1"/>
        <v>#NUM!</v>
      </c>
      <c r="AG16" s="5" t="e">
        <f t="shared" si="2"/>
        <v>#NUM!</v>
      </c>
      <c r="AH16" s="4">
        <f t="shared" si="13"/>
        <v>27000</v>
      </c>
      <c r="AI16" s="8" t="e">
        <f t="shared" si="14"/>
        <v>#NUM!</v>
      </c>
      <c r="AJ16" s="10" t="e">
        <f t="shared" si="15"/>
        <v>#NUM!</v>
      </c>
    </row>
    <row r="17" spans="1:36" ht="12.75">
      <c r="A17" s="109"/>
      <c r="C17">
        <f t="shared" si="16"/>
        <v>270</v>
      </c>
      <c r="D17" s="4">
        <f t="shared" si="3"/>
        <v>810</v>
      </c>
      <c r="E17" s="15">
        <f t="shared" si="17"/>
        <v>2.2</v>
      </c>
      <c r="F17" s="15">
        <f t="shared" si="4"/>
        <v>594</v>
      </c>
      <c r="H17" s="15">
        <f t="shared" si="18"/>
        <v>0</v>
      </c>
      <c r="I17" s="15">
        <f t="shared" si="5"/>
        <v>0</v>
      </c>
      <c r="J17" s="15"/>
      <c r="K17" s="15">
        <f t="shared" si="6"/>
        <v>2.2</v>
      </c>
      <c r="L17" s="15">
        <f t="shared" si="7"/>
        <v>594</v>
      </c>
      <c r="N17">
        <f t="shared" si="8"/>
        <v>5.19</v>
      </c>
      <c r="O17" s="15">
        <f>'Supply helium'!AM17</f>
        <v>76.58933908283944</v>
      </c>
      <c r="P17" s="15">
        <f t="shared" si="19"/>
        <v>29.819999999999993</v>
      </c>
      <c r="Q17" s="15">
        <f t="shared" si="9"/>
        <v>106.40933908283944</v>
      </c>
      <c r="R17" s="15">
        <f t="shared" si="20"/>
        <v>74.00818044937027</v>
      </c>
      <c r="S17" s="15">
        <f t="shared" si="21"/>
        <v>72.8215019139412</v>
      </c>
      <c r="U17" s="4">
        <f t="shared" si="22"/>
        <v>-676.4015047252047</v>
      </c>
      <c r="W17" s="15">
        <f t="shared" si="23"/>
        <v>6.193228736581338</v>
      </c>
      <c r="Y17" s="3" t="e">
        <f t="shared" si="24"/>
        <v>#NUM!</v>
      </c>
      <c r="AB17" s="1">
        <f t="shared" si="10"/>
        <v>7.845757789810599E-06</v>
      </c>
      <c r="AC17">
        <f t="shared" si="11"/>
        <v>26.62</v>
      </c>
      <c r="AD17">
        <f t="shared" si="12"/>
        <v>1</v>
      </c>
      <c r="AE17" s="8" t="e">
        <f t="shared" si="0"/>
        <v>#NUM!</v>
      </c>
      <c r="AF17" s="4" t="e">
        <f t="shared" si="1"/>
        <v>#NUM!</v>
      </c>
      <c r="AG17" s="5" t="e">
        <f t="shared" si="2"/>
        <v>#NUM!</v>
      </c>
      <c r="AH17" s="4">
        <f t="shared" si="13"/>
        <v>27000</v>
      </c>
      <c r="AI17" s="8" t="e">
        <f t="shared" si="14"/>
        <v>#NUM!</v>
      </c>
      <c r="AJ17" s="10" t="e">
        <f t="shared" si="15"/>
        <v>#NUM!</v>
      </c>
    </row>
    <row r="18" spans="1:36" ht="12.75">
      <c r="A18" s="109"/>
      <c r="C18">
        <f t="shared" si="16"/>
        <v>270</v>
      </c>
      <c r="D18" s="4">
        <f t="shared" si="3"/>
        <v>1080</v>
      </c>
      <c r="E18" s="15">
        <f t="shared" si="17"/>
        <v>2.2</v>
      </c>
      <c r="F18" s="15">
        <f t="shared" si="4"/>
        <v>594</v>
      </c>
      <c r="H18" s="15">
        <f t="shared" si="18"/>
        <v>0</v>
      </c>
      <c r="I18" s="15">
        <f t="shared" si="5"/>
        <v>0</v>
      </c>
      <c r="J18" s="15"/>
      <c r="K18" s="15">
        <f t="shared" si="6"/>
        <v>2.2</v>
      </c>
      <c r="L18" s="15">
        <f t="shared" si="7"/>
        <v>594</v>
      </c>
      <c r="N18">
        <f t="shared" si="8"/>
        <v>5.19</v>
      </c>
      <c r="O18" s="15">
        <f>'Supply helium'!AM18</f>
        <v>76.58404886740546</v>
      </c>
      <c r="P18" s="15">
        <f t="shared" si="19"/>
        <v>29.819999999999993</v>
      </c>
      <c r="Q18" s="15">
        <f t="shared" si="9"/>
        <v>106.40404886740545</v>
      </c>
      <c r="R18" s="15">
        <f t="shared" si="20"/>
        <v>72.65229639583917</v>
      </c>
      <c r="S18" s="15">
        <f t="shared" si="21"/>
        <v>71.36915856796814</v>
      </c>
      <c r="U18" s="4">
        <f t="shared" si="22"/>
        <v>-651.6285897788794</v>
      </c>
      <c r="W18" s="15">
        <f t="shared" si="23"/>
        <v>6.193228736581338</v>
      </c>
      <c r="Y18" s="3" t="e">
        <f t="shared" si="24"/>
        <v>#NUM!</v>
      </c>
      <c r="AB18" s="1">
        <f t="shared" si="10"/>
        <v>7.759395645085658E-06</v>
      </c>
      <c r="AC18">
        <f t="shared" si="11"/>
        <v>26.62</v>
      </c>
      <c r="AD18">
        <f t="shared" si="12"/>
        <v>1</v>
      </c>
      <c r="AE18" s="8" t="e">
        <f t="shared" si="0"/>
        <v>#NUM!</v>
      </c>
      <c r="AF18" s="4" t="e">
        <f t="shared" si="1"/>
        <v>#NUM!</v>
      </c>
      <c r="AG18" s="5" t="e">
        <f t="shared" si="2"/>
        <v>#NUM!</v>
      </c>
      <c r="AH18" s="4">
        <f t="shared" si="13"/>
        <v>27000</v>
      </c>
      <c r="AI18" s="8" t="e">
        <f t="shared" si="14"/>
        <v>#NUM!</v>
      </c>
      <c r="AJ18" s="10" t="e">
        <f t="shared" si="15"/>
        <v>#NUM!</v>
      </c>
    </row>
    <row r="19" spans="1:36" ht="12.75">
      <c r="A19" s="109"/>
      <c r="C19">
        <f t="shared" si="16"/>
        <v>270</v>
      </c>
      <c r="D19" s="4">
        <f t="shared" si="3"/>
        <v>1350</v>
      </c>
      <c r="E19" s="15">
        <f t="shared" si="17"/>
        <v>2.2</v>
      </c>
      <c r="F19" s="15">
        <f t="shared" si="4"/>
        <v>594</v>
      </c>
      <c r="H19" s="15">
        <f t="shared" si="18"/>
        <v>0</v>
      </c>
      <c r="I19" s="15">
        <f t="shared" si="5"/>
        <v>0</v>
      </c>
      <c r="J19" s="15"/>
      <c r="K19" s="15">
        <f t="shared" si="6"/>
        <v>2.2</v>
      </c>
      <c r="L19" s="15">
        <f t="shared" si="7"/>
        <v>594</v>
      </c>
      <c r="N19">
        <f t="shared" si="8"/>
        <v>5.19</v>
      </c>
      <c r="O19" s="15">
        <f>'Supply helium'!AM19</f>
        <v>76.57862193950606</v>
      </c>
      <c r="P19" s="15">
        <f t="shared" si="19"/>
        <v>29.819999999999993</v>
      </c>
      <c r="Q19" s="15">
        <f t="shared" si="9"/>
        <v>106.39862193950606</v>
      </c>
      <c r="R19" s="15">
        <f t="shared" si="20"/>
        <v>71.19352037644732</v>
      </c>
      <c r="S19" s="15">
        <f t="shared" si="21"/>
        <v>69.80223842477422</v>
      </c>
      <c r="U19" s="4">
        <f t="shared" si="22"/>
        <v>-626.855674832554</v>
      </c>
      <c r="W19" s="15">
        <f t="shared" si="23"/>
        <v>6.193228736581338</v>
      </c>
      <c r="Y19" s="3" t="e">
        <f t="shared" si="24"/>
        <v>#NUM!</v>
      </c>
      <c r="AB19" s="1">
        <f t="shared" si="10"/>
        <v>7.666220305690775E-06</v>
      </c>
      <c r="AC19">
        <f t="shared" si="11"/>
        <v>26.62</v>
      </c>
      <c r="AD19">
        <f t="shared" si="12"/>
        <v>1</v>
      </c>
      <c r="AE19" s="8" t="e">
        <f t="shared" si="0"/>
        <v>#NUM!</v>
      </c>
      <c r="AF19" s="4" t="e">
        <f t="shared" si="1"/>
        <v>#NUM!</v>
      </c>
      <c r="AG19" s="5" t="e">
        <f t="shared" si="2"/>
        <v>#NUM!</v>
      </c>
      <c r="AH19" s="4">
        <f t="shared" si="13"/>
        <v>27000</v>
      </c>
      <c r="AI19" s="8" t="e">
        <f t="shared" si="14"/>
        <v>#NUM!</v>
      </c>
      <c r="AJ19" s="10" t="e">
        <f t="shared" si="15"/>
        <v>#NUM!</v>
      </c>
    </row>
    <row r="20" spans="1:36" ht="12.75">
      <c r="A20" s="109"/>
      <c r="C20">
        <f t="shared" si="16"/>
        <v>270</v>
      </c>
      <c r="D20" s="4">
        <f t="shared" si="3"/>
        <v>1620</v>
      </c>
      <c r="E20" s="15">
        <f t="shared" si="17"/>
        <v>2.2</v>
      </c>
      <c r="F20" s="15">
        <f t="shared" si="4"/>
        <v>594</v>
      </c>
      <c r="H20" s="15">
        <f t="shared" si="18"/>
        <v>0</v>
      </c>
      <c r="I20" s="15">
        <f t="shared" si="5"/>
        <v>0</v>
      </c>
      <c r="J20" s="15"/>
      <c r="K20" s="15">
        <f t="shared" si="6"/>
        <v>2.2</v>
      </c>
      <c r="L20" s="15">
        <f t="shared" si="7"/>
        <v>594</v>
      </c>
      <c r="N20">
        <f t="shared" si="8"/>
        <v>5.19</v>
      </c>
      <c r="O20" s="15">
        <f>'Supply helium'!AM20</f>
        <v>76.57305104570675</v>
      </c>
      <c r="P20" s="15">
        <f t="shared" si="19"/>
        <v>29.819999999999993</v>
      </c>
      <c r="Q20" s="15">
        <f t="shared" si="9"/>
        <v>106.39305104570674</v>
      </c>
      <c r="R20" s="15">
        <f t="shared" si="20"/>
        <v>69.61965912997466</v>
      </c>
      <c r="S20" s="15">
        <f t="shared" si="21"/>
        <v>68.10660449544493</v>
      </c>
      <c r="U20" s="4">
        <f t="shared" si="22"/>
        <v>-602.0827598862286</v>
      </c>
      <c r="W20" s="15">
        <f t="shared" si="23"/>
        <v>6.193228736581338</v>
      </c>
      <c r="Y20" s="3" t="e">
        <f t="shared" si="24"/>
        <v>#NUM!</v>
      </c>
      <c r="AB20" s="1">
        <f t="shared" si="10"/>
        <v>7.565391129717136E-06</v>
      </c>
      <c r="AC20">
        <f t="shared" si="11"/>
        <v>26.62</v>
      </c>
      <c r="AD20">
        <f t="shared" si="12"/>
        <v>1</v>
      </c>
      <c r="AE20" s="8" t="e">
        <f t="shared" si="0"/>
        <v>#NUM!</v>
      </c>
      <c r="AF20" s="4" t="e">
        <f t="shared" si="1"/>
        <v>#NUM!</v>
      </c>
      <c r="AG20" s="5" t="e">
        <f t="shared" si="2"/>
        <v>#NUM!</v>
      </c>
      <c r="AH20" s="4">
        <f t="shared" si="13"/>
        <v>27000</v>
      </c>
      <c r="AI20" s="8" t="e">
        <f t="shared" si="14"/>
        <v>#NUM!</v>
      </c>
      <c r="AJ20" s="10" t="e">
        <f t="shared" si="15"/>
        <v>#NUM!</v>
      </c>
    </row>
    <row r="21" spans="1:36" ht="12.75">
      <c r="A21" s="109"/>
      <c r="C21">
        <f t="shared" si="16"/>
        <v>270</v>
      </c>
      <c r="D21" s="4">
        <f t="shared" si="3"/>
        <v>1890</v>
      </c>
      <c r="E21" s="15">
        <f t="shared" si="17"/>
        <v>2.2</v>
      </c>
      <c r="F21" s="15">
        <f t="shared" si="4"/>
        <v>594</v>
      </c>
      <c r="H21" s="15">
        <f t="shared" si="18"/>
        <v>0</v>
      </c>
      <c r="I21" s="15">
        <f t="shared" si="5"/>
        <v>0</v>
      </c>
      <c r="J21" s="15"/>
      <c r="K21" s="15">
        <f t="shared" si="6"/>
        <v>2.2</v>
      </c>
      <c r="L21" s="15">
        <f t="shared" si="7"/>
        <v>594</v>
      </c>
      <c r="N21">
        <f t="shared" si="8"/>
        <v>5.19</v>
      </c>
      <c r="O21" s="15">
        <f>'Supply helium'!AM21</f>
        <v>76.56732833958336</v>
      </c>
      <c r="P21" s="15">
        <f t="shared" si="19"/>
        <v>29.819999999999993</v>
      </c>
      <c r="Q21" s="15">
        <f t="shared" si="9"/>
        <v>106.38732833958335</v>
      </c>
      <c r="R21" s="15">
        <f t="shared" si="20"/>
        <v>67.91651290891014</v>
      </c>
      <c r="S21" s="15">
        <f t="shared" si="21"/>
        <v>66.26569360116206</v>
      </c>
      <c r="U21" s="4">
        <f t="shared" si="22"/>
        <v>-577.3098449399032</v>
      </c>
      <c r="W21" s="15">
        <f t="shared" si="23"/>
        <v>6.193228736581338</v>
      </c>
      <c r="Y21" s="3" t="e">
        <f t="shared" si="24"/>
        <v>#NUM!</v>
      </c>
      <c r="AB21" s="1">
        <f t="shared" si="10"/>
        <v>7.4559232042995E-06</v>
      </c>
      <c r="AC21">
        <f t="shared" si="11"/>
        <v>26.62</v>
      </c>
      <c r="AD21">
        <f t="shared" si="12"/>
        <v>1</v>
      </c>
      <c r="AE21" s="8" t="e">
        <f t="shared" si="0"/>
        <v>#NUM!</v>
      </c>
      <c r="AF21" s="4" t="e">
        <f t="shared" si="1"/>
        <v>#NUM!</v>
      </c>
      <c r="AG21" s="5" t="e">
        <f t="shared" si="2"/>
        <v>#NUM!</v>
      </c>
      <c r="AH21" s="4">
        <f t="shared" si="13"/>
        <v>27000</v>
      </c>
      <c r="AI21" s="8" t="e">
        <f t="shared" si="14"/>
        <v>#NUM!</v>
      </c>
      <c r="AJ21" s="10" t="e">
        <f t="shared" si="15"/>
        <v>#NUM!</v>
      </c>
    </row>
    <row r="22" spans="1:36" ht="12.75">
      <c r="A22" s="109"/>
      <c r="C22">
        <f t="shared" si="16"/>
        <v>270</v>
      </c>
      <c r="D22" s="4">
        <f t="shared" si="3"/>
        <v>2160</v>
      </c>
      <c r="E22" s="15">
        <f t="shared" si="17"/>
        <v>2.2</v>
      </c>
      <c r="F22" s="15">
        <f t="shared" si="4"/>
        <v>594</v>
      </c>
      <c r="H22" s="15">
        <f t="shared" si="18"/>
        <v>0</v>
      </c>
      <c r="I22" s="15">
        <f t="shared" si="5"/>
        <v>0</v>
      </c>
      <c r="J22" s="15"/>
      <c r="K22" s="15">
        <f t="shared" si="6"/>
        <v>2.2</v>
      </c>
      <c r="L22" s="15">
        <f t="shared" si="7"/>
        <v>594</v>
      </c>
      <c r="N22">
        <f t="shared" si="8"/>
        <v>5.19</v>
      </c>
      <c r="O22" s="15">
        <f>'Supply helium'!AM22</f>
        <v>76.56144531527308</v>
      </c>
      <c r="P22" s="15">
        <f t="shared" si="19"/>
        <v>29.819999999999993</v>
      </c>
      <c r="Q22" s="15">
        <f t="shared" si="9"/>
        <v>106.38144531527307</v>
      </c>
      <c r="R22" s="15">
        <f t="shared" si="20"/>
        <v>66.06744500371447</v>
      </c>
      <c r="S22" s="15">
        <f t="shared" si="21"/>
        <v>64.25997251336712</v>
      </c>
      <c r="U22" s="4">
        <f t="shared" si="22"/>
        <v>-552.5369299935778</v>
      </c>
      <c r="W22" s="15">
        <f t="shared" si="23"/>
        <v>6.193228736581338</v>
      </c>
      <c r="Y22" s="3" t="e">
        <f t="shared" si="24"/>
        <v>#NUM!</v>
      </c>
      <c r="AB22" s="1">
        <f t="shared" si="10"/>
        <v>7.336655005534861E-06</v>
      </c>
      <c r="AC22">
        <f t="shared" si="11"/>
        <v>26.62</v>
      </c>
      <c r="AD22">
        <f t="shared" si="12"/>
        <v>1</v>
      </c>
      <c r="AE22" s="8" t="e">
        <f t="shared" si="0"/>
        <v>#NUM!</v>
      </c>
      <c r="AF22" s="4" t="e">
        <f t="shared" si="1"/>
        <v>#NUM!</v>
      </c>
      <c r="AG22" s="5" t="e">
        <f t="shared" si="2"/>
        <v>#NUM!</v>
      </c>
      <c r="AH22" s="4">
        <f t="shared" si="13"/>
        <v>27000</v>
      </c>
      <c r="AI22" s="8" t="e">
        <f t="shared" si="14"/>
        <v>#NUM!</v>
      </c>
      <c r="AJ22" s="10" t="e">
        <f t="shared" si="15"/>
        <v>#NUM!</v>
      </c>
    </row>
    <row r="23" spans="1:36" ht="12.75">
      <c r="A23" s="109"/>
      <c r="C23">
        <f t="shared" si="16"/>
        <v>270</v>
      </c>
      <c r="D23" s="4">
        <f t="shared" si="3"/>
        <v>2430</v>
      </c>
      <c r="E23" s="15">
        <f t="shared" si="17"/>
        <v>2.2</v>
      </c>
      <c r="F23" s="15">
        <f t="shared" si="4"/>
        <v>594</v>
      </c>
      <c r="H23" s="15">
        <f t="shared" si="18"/>
        <v>0</v>
      </c>
      <c r="I23" s="15">
        <f t="shared" si="5"/>
        <v>0</v>
      </c>
      <c r="J23" s="15"/>
      <c r="K23" s="15">
        <f t="shared" si="6"/>
        <v>2.2</v>
      </c>
      <c r="L23" s="15">
        <f t="shared" si="7"/>
        <v>594</v>
      </c>
      <c r="N23">
        <f t="shared" si="8"/>
        <v>5.19</v>
      </c>
      <c r="O23" s="15">
        <f>'Supply helium'!AM23</f>
        <v>76.5553927314496</v>
      </c>
      <c r="P23" s="15">
        <f t="shared" si="19"/>
        <v>29.819999999999993</v>
      </c>
      <c r="Q23" s="15">
        <f t="shared" si="9"/>
        <v>106.3753927314496</v>
      </c>
      <c r="R23" s="15">
        <f t="shared" si="20"/>
        <v>64.05283546815033</v>
      </c>
      <c r="S23" s="15">
        <f t="shared" si="21"/>
        <v>62.06624092683659</v>
      </c>
      <c r="U23" s="4">
        <f t="shared" si="22"/>
        <v>-527.7640150472524</v>
      </c>
      <c r="W23" s="15">
        <f t="shared" si="23"/>
        <v>6.193228736581338</v>
      </c>
      <c r="Y23" s="3" t="e">
        <f t="shared" si="24"/>
        <v>#NUM!</v>
      </c>
      <c r="AB23" s="1">
        <f t="shared" si="10"/>
        <v>7.206206950473411E-06</v>
      </c>
      <c r="AC23">
        <f t="shared" si="11"/>
        <v>26.62</v>
      </c>
      <c r="AD23">
        <f t="shared" si="12"/>
        <v>1</v>
      </c>
      <c r="AE23" s="8" t="e">
        <f t="shared" si="0"/>
        <v>#NUM!</v>
      </c>
      <c r="AF23" s="4" t="e">
        <f t="shared" si="1"/>
        <v>#NUM!</v>
      </c>
      <c r="AG23" s="5" t="e">
        <f t="shared" si="2"/>
        <v>#NUM!</v>
      </c>
      <c r="AH23" s="4">
        <f t="shared" si="13"/>
        <v>27000</v>
      </c>
      <c r="AI23" s="8" t="e">
        <f t="shared" si="14"/>
        <v>#NUM!</v>
      </c>
      <c r="AJ23" s="10" t="e">
        <f t="shared" si="15"/>
        <v>#NUM!</v>
      </c>
    </row>
    <row r="24" spans="1:36" ht="13.5" thickBot="1">
      <c r="A24" s="110"/>
      <c r="C24">
        <f t="shared" si="16"/>
        <v>270</v>
      </c>
      <c r="D24" s="4">
        <f t="shared" si="3"/>
        <v>2700</v>
      </c>
      <c r="E24" s="15">
        <f t="shared" si="17"/>
        <v>2.2</v>
      </c>
      <c r="F24" s="15">
        <f t="shared" si="4"/>
        <v>594</v>
      </c>
      <c r="H24" s="15">
        <f t="shared" si="18"/>
        <v>0</v>
      </c>
      <c r="I24" s="15">
        <f t="shared" si="5"/>
        <v>0</v>
      </c>
      <c r="J24" s="15"/>
      <c r="K24" s="15">
        <f t="shared" si="6"/>
        <v>2.2</v>
      </c>
      <c r="L24" s="15">
        <f t="shared" si="7"/>
        <v>594</v>
      </c>
      <c r="N24">
        <f t="shared" si="8"/>
        <v>5.19</v>
      </c>
      <c r="O24" s="15">
        <f>'Supply helium'!AM24</f>
        <v>76.54916052401711</v>
      </c>
      <c r="P24" s="15">
        <f t="shared" si="19"/>
        <v>29.819999999999993</v>
      </c>
      <c r="Q24" s="15">
        <f t="shared" si="9"/>
        <v>106.3691605240171</v>
      </c>
      <c r="R24" s="15">
        <f t="shared" si="20"/>
        <v>61.84938099741951</v>
      </c>
      <c r="S24" s="15">
        <f t="shared" si="21"/>
        <v>59.65672846058483</v>
      </c>
      <c r="U24" s="4">
        <f t="shared" si="22"/>
        <v>-502.9911001009271</v>
      </c>
      <c r="W24" s="15">
        <f t="shared" si="23"/>
        <v>6.193228736581338</v>
      </c>
      <c r="Y24" s="3" t="e">
        <f t="shared" si="24"/>
        <v>#NUM!</v>
      </c>
      <c r="AB24" s="1">
        <f t="shared" si="10"/>
        <v>7.062927701180216E-06</v>
      </c>
      <c r="AC24">
        <f t="shared" si="11"/>
        <v>26.62</v>
      </c>
      <c r="AD24">
        <f t="shared" si="12"/>
        <v>1</v>
      </c>
      <c r="AE24" s="8" t="e">
        <f t="shared" si="0"/>
        <v>#NUM!</v>
      </c>
      <c r="AF24" s="4" t="e">
        <f t="shared" si="1"/>
        <v>#NUM!</v>
      </c>
      <c r="AG24" s="5" t="e">
        <f t="shared" si="2"/>
        <v>#NUM!</v>
      </c>
      <c r="AH24" s="4">
        <f t="shared" si="13"/>
        <v>27000</v>
      </c>
      <c r="AI24" s="8" t="e">
        <f t="shared" si="14"/>
        <v>#NUM!</v>
      </c>
      <c r="AJ24" s="10" t="e">
        <f t="shared" si="15"/>
        <v>#NUM!</v>
      </c>
    </row>
    <row r="25" spans="1:36" ht="12.75">
      <c r="A25" s="108"/>
      <c r="C25">
        <f t="shared" si="16"/>
        <v>270</v>
      </c>
      <c r="D25" s="4">
        <f t="shared" si="3"/>
        <v>2970</v>
      </c>
      <c r="E25" s="15">
        <f t="shared" si="17"/>
        <v>2.2</v>
      </c>
      <c r="F25" s="15">
        <f t="shared" si="4"/>
        <v>594</v>
      </c>
      <c r="H25" s="15">
        <f t="shared" si="18"/>
        <v>0</v>
      </c>
      <c r="I25" s="15">
        <f t="shared" si="5"/>
        <v>0</v>
      </c>
      <c r="J25" s="15"/>
      <c r="K25" s="15">
        <f t="shared" si="6"/>
        <v>2.2</v>
      </c>
      <c r="L25" s="15">
        <f t="shared" si="7"/>
        <v>594</v>
      </c>
      <c r="N25">
        <f t="shared" si="8"/>
        <v>5.19</v>
      </c>
      <c r="O25" s="15">
        <f>'Supply helium'!AM25</f>
        <v>76.54273770545323</v>
      </c>
      <c r="P25" s="15">
        <f t="shared" si="19"/>
        <v>29.819999999999993</v>
      </c>
      <c r="Q25" s="15">
        <f t="shared" si="9"/>
        <v>106.36273770545323</v>
      </c>
      <c r="R25" s="15">
        <f t="shared" si="20"/>
        <v>59.42918791955128</v>
      </c>
      <c r="S25" s="15">
        <f t="shared" si="21"/>
        <v>56.99791099811971</v>
      </c>
      <c r="U25" s="4">
        <f t="shared" si="22"/>
        <v>-478.21818515460177</v>
      </c>
      <c r="W25" s="15">
        <f t="shared" si="23"/>
        <v>6.193228736581338</v>
      </c>
      <c r="Y25" s="3" t="e">
        <f t="shared" si="24"/>
        <v>#NUM!</v>
      </c>
      <c r="AB25" s="1">
        <f t="shared" si="10"/>
        <v>6.90482377959219E-06</v>
      </c>
      <c r="AC25">
        <f t="shared" si="11"/>
        <v>26.62</v>
      </c>
      <c r="AD25">
        <f t="shared" si="12"/>
        <v>1</v>
      </c>
      <c r="AE25" s="8" t="e">
        <f t="shared" si="0"/>
        <v>#NUM!</v>
      </c>
      <c r="AF25" s="4" t="e">
        <f t="shared" si="1"/>
        <v>#NUM!</v>
      </c>
      <c r="AG25" s="5" t="e">
        <f t="shared" si="2"/>
        <v>#NUM!</v>
      </c>
      <c r="AH25" s="4">
        <f t="shared" si="13"/>
        <v>27000</v>
      </c>
      <c r="AI25" s="8" t="e">
        <f t="shared" si="14"/>
        <v>#NUM!</v>
      </c>
      <c r="AJ25" s="10" t="e">
        <f t="shared" si="15"/>
        <v>#NUM!</v>
      </c>
    </row>
    <row r="26" spans="1:36" ht="12.75">
      <c r="A26" s="109"/>
      <c r="C26">
        <f t="shared" si="16"/>
        <v>270</v>
      </c>
      <c r="D26" s="4">
        <f t="shared" si="3"/>
        <v>3240</v>
      </c>
      <c r="E26" s="15">
        <f t="shared" si="17"/>
        <v>2.2</v>
      </c>
      <c r="F26" s="15">
        <f t="shared" si="4"/>
        <v>594</v>
      </c>
      <c r="H26" s="15">
        <f t="shared" si="18"/>
        <v>0</v>
      </c>
      <c r="I26" s="15">
        <f t="shared" si="5"/>
        <v>0</v>
      </c>
      <c r="J26" s="15"/>
      <c r="K26" s="15">
        <f t="shared" si="6"/>
        <v>2.2</v>
      </c>
      <c r="L26" s="15">
        <f t="shared" si="7"/>
        <v>594</v>
      </c>
      <c r="N26">
        <f t="shared" si="8"/>
        <v>5.19</v>
      </c>
      <c r="O26" s="15">
        <f>'Supply helium'!AM26</f>
        <v>76.53611224827331</v>
      </c>
      <c r="P26" s="15">
        <f t="shared" si="19"/>
        <v>29.819999999999993</v>
      </c>
      <c r="Q26" s="15">
        <f t="shared" si="9"/>
        <v>106.3561122482733</v>
      </c>
      <c r="R26" s="15">
        <f t="shared" si="20"/>
        <v>56.7585832799255</v>
      </c>
      <c r="S26" s="15">
        <f t="shared" si="21"/>
        <v>54.04893903528175</v>
      </c>
      <c r="U26" s="4">
        <f t="shared" si="22"/>
        <v>-453.44527020827644</v>
      </c>
      <c r="W26" s="15">
        <f t="shared" si="23"/>
        <v>6.193228736581338</v>
      </c>
      <c r="Y26" s="3" t="e">
        <f t="shared" si="24"/>
        <v>#NUM!</v>
      </c>
      <c r="AB26" s="1">
        <f t="shared" si="10"/>
        <v>6.729466110793993E-06</v>
      </c>
      <c r="AC26">
        <f t="shared" si="11"/>
        <v>26.62</v>
      </c>
      <c r="AD26">
        <f t="shared" si="12"/>
        <v>1</v>
      </c>
      <c r="AE26" s="8" t="e">
        <f t="shared" si="0"/>
        <v>#NUM!</v>
      </c>
      <c r="AF26" s="4" t="e">
        <f t="shared" si="1"/>
        <v>#NUM!</v>
      </c>
      <c r="AG26" s="5" t="e">
        <f t="shared" si="2"/>
        <v>#NUM!</v>
      </c>
      <c r="AH26" s="4">
        <f t="shared" si="13"/>
        <v>27000</v>
      </c>
      <c r="AI26" s="8" t="e">
        <f t="shared" si="14"/>
        <v>#NUM!</v>
      </c>
      <c r="AJ26" s="10" t="e">
        <f t="shared" si="15"/>
        <v>#NUM!</v>
      </c>
    </row>
    <row r="27" spans="1:36" ht="12.75">
      <c r="A27" s="109"/>
      <c r="C27">
        <f t="shared" si="16"/>
        <v>270</v>
      </c>
      <c r="D27" s="4">
        <f t="shared" si="3"/>
        <v>3510</v>
      </c>
      <c r="E27" s="15">
        <f t="shared" si="17"/>
        <v>2.2</v>
      </c>
      <c r="F27" s="15">
        <f t="shared" si="4"/>
        <v>594</v>
      </c>
      <c r="H27" s="15">
        <f t="shared" si="18"/>
        <v>0</v>
      </c>
      <c r="I27" s="15">
        <f t="shared" si="5"/>
        <v>0</v>
      </c>
      <c r="J27" s="15"/>
      <c r="K27" s="15">
        <f t="shared" si="6"/>
        <v>2.2</v>
      </c>
      <c r="L27" s="15">
        <f t="shared" si="7"/>
        <v>594</v>
      </c>
      <c r="N27">
        <f t="shared" si="8"/>
        <v>5.19</v>
      </c>
      <c r="O27" s="15">
        <f>'Supply helium'!AM27</f>
        <v>76.52927094951247</v>
      </c>
      <c r="P27" s="15">
        <f t="shared" si="19"/>
        <v>29.819999999999993</v>
      </c>
      <c r="Q27" s="15">
        <f t="shared" si="9"/>
        <v>106.34927094951246</v>
      </c>
      <c r="R27" s="15">
        <f t="shared" si="20"/>
        <v>53.7965362105716</v>
      </c>
      <c r="S27" s="15">
        <f t="shared" si="21"/>
        <v>50.75952108257477</v>
      </c>
      <c r="U27" s="4">
        <f t="shared" si="22"/>
        <v>-428.6723552619511</v>
      </c>
      <c r="W27" s="15">
        <f t="shared" si="23"/>
        <v>6.193228736581338</v>
      </c>
      <c r="Y27" s="3" t="e">
        <f t="shared" si="24"/>
        <v>#NUM!</v>
      </c>
      <c r="AB27" s="1">
        <f t="shared" si="10"/>
        <v>6.533864161654226E-06</v>
      </c>
      <c r="AC27">
        <f t="shared" si="11"/>
        <v>26.62</v>
      </c>
      <c r="AD27">
        <f t="shared" si="12"/>
        <v>1</v>
      </c>
      <c r="AE27" s="8" t="e">
        <f t="shared" si="0"/>
        <v>#NUM!</v>
      </c>
      <c r="AF27" s="4" t="e">
        <f t="shared" si="1"/>
        <v>#NUM!</v>
      </c>
      <c r="AG27" s="5" t="e">
        <f t="shared" si="2"/>
        <v>#NUM!</v>
      </c>
      <c r="AH27" s="4">
        <f t="shared" si="13"/>
        <v>27000</v>
      </c>
      <c r="AI27" s="8" t="e">
        <f t="shared" si="14"/>
        <v>#NUM!</v>
      </c>
      <c r="AJ27" s="10" t="e">
        <f t="shared" si="15"/>
        <v>#NUM!</v>
      </c>
    </row>
    <row r="28" spans="1:36" ht="12.75">
      <c r="A28" s="109"/>
      <c r="C28">
        <f t="shared" si="16"/>
        <v>270</v>
      </c>
      <c r="D28" s="4">
        <f t="shared" si="3"/>
        <v>3780</v>
      </c>
      <c r="E28" s="15">
        <f t="shared" si="17"/>
        <v>2.2</v>
      </c>
      <c r="F28" s="15">
        <f t="shared" si="4"/>
        <v>594</v>
      </c>
      <c r="H28" s="15">
        <f t="shared" si="18"/>
        <v>0</v>
      </c>
      <c r="I28" s="15">
        <f t="shared" si="5"/>
        <v>0</v>
      </c>
      <c r="J28" s="15"/>
      <c r="K28" s="15">
        <f t="shared" si="6"/>
        <v>2.2</v>
      </c>
      <c r="L28" s="15">
        <f t="shared" si="7"/>
        <v>594</v>
      </c>
      <c r="N28">
        <f t="shared" si="8"/>
        <v>5.19</v>
      </c>
      <c r="O28" s="15">
        <f>'Supply helium'!AM28</f>
        <v>76.52219927239003</v>
      </c>
      <c r="P28" s="15">
        <f t="shared" si="19"/>
        <v>29.819999999999993</v>
      </c>
      <c r="Q28" s="15">
        <f t="shared" si="9"/>
        <v>106.34219927239002</v>
      </c>
      <c r="R28" s="15">
        <f t="shared" si="20"/>
        <v>50.492531934226065</v>
      </c>
      <c r="S28" s="15">
        <f t="shared" si="21"/>
        <v>47.06702815618734</v>
      </c>
      <c r="U28" s="4">
        <f t="shared" si="22"/>
        <v>-403.8994403156258</v>
      </c>
      <c r="W28" s="15">
        <f t="shared" si="23"/>
        <v>6.193228736581338</v>
      </c>
      <c r="Y28" s="3" t="e">
        <f t="shared" si="24"/>
        <v>#NUM!</v>
      </c>
      <c r="AB28" s="1">
        <f t="shared" si="10"/>
        <v>6.314293762279524E-06</v>
      </c>
      <c r="AC28">
        <f t="shared" si="11"/>
        <v>26.62</v>
      </c>
      <c r="AD28">
        <f t="shared" si="12"/>
        <v>1</v>
      </c>
      <c r="AE28" s="8" t="e">
        <f t="shared" si="0"/>
        <v>#NUM!</v>
      </c>
      <c r="AF28" s="4" t="e">
        <f t="shared" si="1"/>
        <v>#NUM!</v>
      </c>
      <c r="AG28" s="5" t="e">
        <f t="shared" si="2"/>
        <v>#NUM!</v>
      </c>
      <c r="AH28" s="4">
        <f t="shared" si="13"/>
        <v>27000</v>
      </c>
      <c r="AI28" s="8" t="e">
        <f t="shared" si="14"/>
        <v>#NUM!</v>
      </c>
      <c r="AJ28" s="10" t="e">
        <f t="shared" si="15"/>
        <v>#NUM!</v>
      </c>
    </row>
    <row r="29" spans="1:36" ht="12.75">
      <c r="A29" s="109"/>
      <c r="C29">
        <f t="shared" si="16"/>
        <v>270</v>
      </c>
      <c r="D29" s="4">
        <f t="shared" si="3"/>
        <v>4050</v>
      </c>
      <c r="E29" s="15">
        <f t="shared" si="17"/>
        <v>2.2</v>
      </c>
      <c r="F29" s="15">
        <f t="shared" si="4"/>
        <v>594</v>
      </c>
      <c r="H29" s="15">
        <f t="shared" si="18"/>
        <v>0</v>
      </c>
      <c r="I29" s="15">
        <f t="shared" si="5"/>
        <v>0</v>
      </c>
      <c r="J29" s="15"/>
      <c r="K29" s="15">
        <f t="shared" si="6"/>
        <v>2.2</v>
      </c>
      <c r="L29" s="15">
        <f t="shared" si="7"/>
        <v>594</v>
      </c>
      <c r="N29">
        <f t="shared" si="8"/>
        <v>5.19</v>
      </c>
      <c r="O29" s="15">
        <f>'Supply helium'!AM29</f>
        <v>76.51488116038549</v>
      </c>
      <c r="P29" s="15">
        <f t="shared" si="19"/>
        <v>29.819999999999993</v>
      </c>
      <c r="Q29" s="15">
        <f t="shared" si="9"/>
        <v>106.33488116038548</v>
      </c>
      <c r="R29" s="15">
        <f t="shared" si="20"/>
        <v>46.783663398458074</v>
      </c>
      <c r="S29" s="15">
        <f t="shared" si="21"/>
        <v>42.89246308972392</v>
      </c>
      <c r="U29" s="4">
        <f t="shared" si="22"/>
        <v>-379.12652536930045</v>
      </c>
      <c r="W29" s="15">
        <f t="shared" si="23"/>
        <v>6.193228736581338</v>
      </c>
      <c r="Y29" s="3" t="e">
        <f t="shared" si="24"/>
        <v>#NUM!</v>
      </c>
      <c r="AB29" s="1">
        <f t="shared" si="10"/>
        <v>6.066057425167343E-06</v>
      </c>
      <c r="AC29">
        <f t="shared" si="11"/>
        <v>26.62</v>
      </c>
      <c r="AD29">
        <f t="shared" si="12"/>
        <v>1</v>
      </c>
      <c r="AE29" s="8" t="e">
        <f t="shared" si="0"/>
        <v>#NUM!</v>
      </c>
      <c r="AF29" s="4" t="e">
        <f t="shared" si="1"/>
        <v>#NUM!</v>
      </c>
      <c r="AG29" s="5" t="e">
        <f t="shared" si="2"/>
        <v>#NUM!</v>
      </c>
      <c r="AH29" s="4">
        <f t="shared" si="13"/>
        <v>27000</v>
      </c>
      <c r="AI29" s="8" t="e">
        <f t="shared" si="14"/>
        <v>#NUM!</v>
      </c>
      <c r="AJ29" s="10" t="e">
        <f t="shared" si="15"/>
        <v>#NUM!</v>
      </c>
    </row>
    <row r="30" spans="1:36" ht="12.75">
      <c r="A30" s="109"/>
      <c r="C30">
        <f t="shared" si="16"/>
        <v>270</v>
      </c>
      <c r="D30" s="4">
        <f t="shared" si="3"/>
        <v>4320</v>
      </c>
      <c r="E30" s="15">
        <f t="shared" si="17"/>
        <v>2.2</v>
      </c>
      <c r="F30" s="15">
        <f t="shared" si="4"/>
        <v>594</v>
      </c>
      <c r="H30" s="15">
        <f t="shared" si="18"/>
        <v>0</v>
      </c>
      <c r="I30" s="15">
        <f t="shared" si="5"/>
        <v>0</v>
      </c>
      <c r="J30" s="15"/>
      <c r="K30" s="15">
        <f t="shared" si="6"/>
        <v>2.2</v>
      </c>
      <c r="L30" s="15">
        <f t="shared" si="7"/>
        <v>594</v>
      </c>
      <c r="N30">
        <f t="shared" si="8"/>
        <v>5.19</v>
      </c>
      <c r="O30" s="15">
        <f>'Supply helium'!AM30</f>
        <v>76.50729881774919</v>
      </c>
      <c r="P30" s="15">
        <f t="shared" si="19"/>
        <v>29.819999999999993</v>
      </c>
      <c r="Q30" s="15">
        <f t="shared" si="9"/>
        <v>106.32729881774918</v>
      </c>
      <c r="R30" s="15">
        <f t="shared" si="20"/>
        <v>42.5905826899272</v>
      </c>
      <c r="S30" s="15">
        <f t="shared" si="21"/>
        <v>38.134739145091</v>
      </c>
      <c r="U30" s="4">
        <f t="shared" si="22"/>
        <v>-354.3536104229751</v>
      </c>
      <c r="W30" s="15">
        <f t="shared" si="23"/>
        <v>6.193228736581338</v>
      </c>
      <c r="Y30" s="3" t="e">
        <f t="shared" si="24"/>
        <v>#NUM!</v>
      </c>
      <c r="AB30" s="1">
        <f t="shared" si="10"/>
        <v>5.783144128523691E-06</v>
      </c>
      <c r="AC30">
        <f t="shared" si="11"/>
        <v>26.62</v>
      </c>
      <c r="AD30">
        <f t="shared" si="12"/>
        <v>1</v>
      </c>
      <c r="AE30" s="8" t="e">
        <f t="shared" si="0"/>
        <v>#NUM!</v>
      </c>
      <c r="AF30" s="4" t="e">
        <f t="shared" si="1"/>
        <v>#NUM!</v>
      </c>
      <c r="AG30" s="5" t="e">
        <f t="shared" si="2"/>
        <v>#NUM!</v>
      </c>
      <c r="AH30" s="4">
        <f t="shared" si="13"/>
        <v>27000</v>
      </c>
      <c r="AI30" s="8" t="e">
        <f t="shared" si="14"/>
        <v>#NUM!</v>
      </c>
      <c r="AJ30" s="10" t="e">
        <f t="shared" si="15"/>
        <v>#NUM!</v>
      </c>
    </row>
    <row r="31" spans="1:36" ht="12.75">
      <c r="A31" s="109"/>
      <c r="C31">
        <f t="shared" si="16"/>
        <v>270</v>
      </c>
      <c r="D31" s="4">
        <f t="shared" si="3"/>
        <v>4590</v>
      </c>
      <c r="E31" s="15">
        <f t="shared" si="17"/>
        <v>2.2</v>
      </c>
      <c r="F31" s="15">
        <f t="shared" si="4"/>
        <v>594</v>
      </c>
      <c r="H31" s="15">
        <f t="shared" si="18"/>
        <v>0</v>
      </c>
      <c r="I31" s="15">
        <f t="shared" si="5"/>
        <v>0</v>
      </c>
      <c r="J31" s="15"/>
      <c r="K31" s="15">
        <f t="shared" si="6"/>
        <v>2.2</v>
      </c>
      <c r="L31" s="15">
        <f t="shared" si="7"/>
        <v>594</v>
      </c>
      <c r="N31">
        <f t="shared" si="8"/>
        <v>5.19</v>
      </c>
      <c r="O31" s="15">
        <f>'Supply helium'!AM31</f>
        <v>76.49943244890389</v>
      </c>
      <c r="P31" s="15">
        <f t="shared" si="19"/>
        <v>29.819999999999993</v>
      </c>
      <c r="Q31" s="15">
        <f t="shared" si="9"/>
        <v>106.31943244890388</v>
      </c>
      <c r="R31" s="15">
        <f t="shared" si="20"/>
        <v>37.81175424050541</v>
      </c>
      <c r="S31" s="15">
        <f t="shared" si="21"/>
        <v>32.662378355572486</v>
      </c>
      <c r="U31" s="4">
        <f t="shared" si="22"/>
        <v>-329.5806954766498</v>
      </c>
      <c r="W31" s="15">
        <f t="shared" si="23"/>
        <v>6.193228736581338</v>
      </c>
      <c r="Y31" s="3" t="e">
        <f t="shared" si="24"/>
        <v>#NUM!</v>
      </c>
      <c r="AB31" s="1">
        <f t="shared" si="10"/>
        <v>5.457735666535762E-06</v>
      </c>
      <c r="AC31">
        <f t="shared" si="11"/>
        <v>26.62</v>
      </c>
      <c r="AD31">
        <f t="shared" si="12"/>
        <v>1</v>
      </c>
      <c r="AE31" s="8" t="e">
        <f t="shared" si="0"/>
        <v>#NUM!</v>
      </c>
      <c r="AF31" s="4" t="e">
        <f t="shared" si="1"/>
        <v>#NUM!</v>
      </c>
      <c r="AG31" s="5" t="e">
        <f t="shared" si="2"/>
        <v>#NUM!</v>
      </c>
      <c r="AH31" s="4">
        <f t="shared" si="13"/>
        <v>27000</v>
      </c>
      <c r="AI31" s="8" t="e">
        <f t="shared" si="14"/>
        <v>#NUM!</v>
      </c>
      <c r="AJ31" s="10" t="e">
        <f t="shared" si="15"/>
        <v>#NUM!</v>
      </c>
    </row>
    <row r="32" spans="1:36" ht="12.75">
      <c r="A32" s="109"/>
      <c r="C32">
        <f t="shared" si="16"/>
        <v>270</v>
      </c>
      <c r="D32" s="4">
        <f t="shared" si="3"/>
        <v>4860</v>
      </c>
      <c r="E32" s="15">
        <f t="shared" si="17"/>
        <v>2.2</v>
      </c>
      <c r="F32" s="15">
        <f t="shared" si="4"/>
        <v>594</v>
      </c>
      <c r="H32" s="15">
        <f t="shared" si="18"/>
        <v>0</v>
      </c>
      <c r="I32" s="15">
        <f t="shared" si="5"/>
        <v>0</v>
      </c>
      <c r="J32" s="15"/>
      <c r="K32" s="15">
        <f t="shared" si="6"/>
        <v>2.2</v>
      </c>
      <c r="L32" s="15">
        <f t="shared" si="7"/>
        <v>594</v>
      </c>
      <c r="N32">
        <f t="shared" si="8"/>
        <v>5.19</v>
      </c>
      <c r="O32" s="15">
        <f>'Supply helium'!AM32</f>
        <v>76.49125994713822</v>
      </c>
      <c r="P32" s="15">
        <f t="shared" si="19"/>
        <v>29.819999999999993</v>
      </c>
      <c r="Q32" s="15">
        <f t="shared" si="9"/>
        <v>106.31125994713821</v>
      </c>
      <c r="R32" s="15">
        <f t="shared" si="20"/>
        <v>32.31511630830209</v>
      </c>
      <c r="S32" s="15">
        <f t="shared" si="21"/>
        <v>26.301161646345577</v>
      </c>
      <c r="U32" s="4">
        <f t="shared" si="22"/>
        <v>-304.80778053032446</v>
      </c>
      <c r="W32" s="15">
        <f t="shared" si="23"/>
        <v>6.193228736581338</v>
      </c>
      <c r="Y32" s="3" t="e">
        <f t="shared" si="24"/>
        <v>#NUM!</v>
      </c>
      <c r="AB32" s="1">
        <f t="shared" si="10"/>
        <v>5.079472276138293E-06</v>
      </c>
      <c r="AC32">
        <f t="shared" si="11"/>
        <v>26.62</v>
      </c>
      <c r="AD32">
        <f t="shared" si="12"/>
        <v>1</v>
      </c>
      <c r="AE32" s="8" t="e">
        <f t="shared" si="0"/>
        <v>#NUM!</v>
      </c>
      <c r="AF32" s="4" t="e">
        <f t="shared" si="1"/>
        <v>#NUM!</v>
      </c>
      <c r="AG32" s="5" t="e">
        <f t="shared" si="2"/>
        <v>#NUM!</v>
      </c>
      <c r="AH32" s="4">
        <f t="shared" si="13"/>
        <v>27000</v>
      </c>
      <c r="AI32" s="8" t="e">
        <f t="shared" si="14"/>
        <v>#NUM!</v>
      </c>
      <c r="AJ32" s="10" t="e">
        <f t="shared" si="15"/>
        <v>#NUM!</v>
      </c>
    </row>
    <row r="33" spans="1:36" ht="12.75">
      <c r="A33" s="109"/>
      <c r="C33">
        <f t="shared" si="16"/>
        <v>270</v>
      </c>
      <c r="D33" s="4">
        <f t="shared" si="3"/>
        <v>5130</v>
      </c>
      <c r="E33" s="15">
        <f t="shared" si="17"/>
        <v>2.2</v>
      </c>
      <c r="F33" s="15">
        <f t="shared" si="4"/>
        <v>594</v>
      </c>
      <c r="H33" s="15">
        <f t="shared" si="18"/>
        <v>0</v>
      </c>
      <c r="I33" s="15">
        <f t="shared" si="5"/>
        <v>0</v>
      </c>
      <c r="J33" s="15"/>
      <c r="K33" s="15">
        <f t="shared" si="6"/>
        <v>2.2</v>
      </c>
      <c r="L33" s="15">
        <f t="shared" si="7"/>
        <v>594</v>
      </c>
      <c r="N33">
        <f t="shared" si="8"/>
        <v>5.19</v>
      </c>
      <c r="O33" s="15">
        <f>'Supply helium'!AM33</f>
        <v>76.48275652027219</v>
      </c>
      <c r="P33" s="15">
        <f t="shared" si="19"/>
        <v>29.819999999999993</v>
      </c>
      <c r="Q33" s="15">
        <f t="shared" si="9"/>
        <v>106.30275652027218</v>
      </c>
      <c r="R33" s="15">
        <f t="shared" si="20"/>
        <v>25.9256762605956</v>
      </c>
      <c r="S33" s="15">
        <f t="shared" si="21"/>
        <v>18.815223893336128</v>
      </c>
      <c r="U33" s="4">
        <f t="shared" si="22"/>
        <v>-280.03486558399914</v>
      </c>
      <c r="W33" s="15">
        <f t="shared" si="23"/>
        <v>6.193228736581338</v>
      </c>
      <c r="Y33" s="3" t="e">
        <f t="shared" si="24"/>
        <v>#NUM!</v>
      </c>
      <c r="AB33" s="1">
        <f t="shared" si="10"/>
        <v>4.634328473593339E-06</v>
      </c>
      <c r="AC33">
        <f t="shared" si="11"/>
        <v>26.62</v>
      </c>
      <c r="AD33">
        <f t="shared" si="12"/>
        <v>1</v>
      </c>
      <c r="AE33" s="8" t="e">
        <f t="shared" si="0"/>
        <v>#NUM!</v>
      </c>
      <c r="AF33" s="4" t="e">
        <f t="shared" si="1"/>
        <v>#NUM!</v>
      </c>
      <c r="AG33" s="5" t="e">
        <f t="shared" si="2"/>
        <v>#NUM!</v>
      </c>
      <c r="AH33" s="4">
        <f t="shared" si="13"/>
        <v>27000</v>
      </c>
      <c r="AI33" s="8" t="e">
        <f t="shared" si="14"/>
        <v>#NUM!</v>
      </c>
      <c r="AJ33" s="10" t="e">
        <f t="shared" si="15"/>
        <v>#NUM!</v>
      </c>
    </row>
    <row r="34" spans="1:36" ht="13.5" thickBot="1">
      <c r="A34" s="110"/>
      <c r="C34">
        <f t="shared" si="16"/>
        <v>270</v>
      </c>
      <c r="D34" s="4">
        <f t="shared" si="3"/>
        <v>5400</v>
      </c>
      <c r="E34" s="15">
        <f t="shared" si="17"/>
        <v>2.2</v>
      </c>
      <c r="F34" s="15">
        <f t="shared" si="4"/>
        <v>594</v>
      </c>
      <c r="H34" s="15">
        <f t="shared" si="18"/>
        <v>0</v>
      </c>
      <c r="I34" s="15">
        <f t="shared" si="5"/>
        <v>0</v>
      </c>
      <c r="J34" s="15"/>
      <c r="K34" s="15">
        <f t="shared" si="6"/>
        <v>2.2</v>
      </c>
      <c r="L34" s="15">
        <f t="shared" si="7"/>
        <v>594</v>
      </c>
      <c r="N34">
        <f t="shared" si="8"/>
        <v>5.19</v>
      </c>
      <c r="O34" s="15">
        <f>'Supply helium'!AM34</f>
        <v>76.4738942373356</v>
      </c>
      <c r="P34" s="15">
        <f t="shared" si="19"/>
        <v>29.819999999999993</v>
      </c>
      <c r="Q34" s="15">
        <f t="shared" si="9"/>
        <v>106.29389423733559</v>
      </c>
      <c r="R34" s="15">
        <f t="shared" si="20"/>
        <v>18.406521688296976</v>
      </c>
      <c r="S34" s="15">
        <f t="shared" si="21"/>
        <v>9.87714079320321</v>
      </c>
      <c r="U34" s="4">
        <f t="shared" si="22"/>
        <v>-255.26195063767378</v>
      </c>
      <c r="W34" s="15">
        <f t="shared" si="23"/>
        <v>6.193228736581338</v>
      </c>
      <c r="Y34" s="3" t="e">
        <f t="shared" si="24"/>
        <v>#NUM!</v>
      </c>
      <c r="AB34" s="1">
        <f t="shared" si="10"/>
        <v>4.102834300127036E-06</v>
      </c>
      <c r="AC34">
        <f t="shared" si="11"/>
        <v>26.62</v>
      </c>
      <c r="AD34">
        <f t="shared" si="12"/>
        <v>1</v>
      </c>
      <c r="AE34" s="8" t="e">
        <f t="shared" si="0"/>
        <v>#NUM!</v>
      </c>
      <c r="AF34" s="4" t="e">
        <f t="shared" si="1"/>
        <v>#NUM!</v>
      </c>
      <c r="AG34" s="5" t="e">
        <f t="shared" si="2"/>
        <v>#NUM!</v>
      </c>
      <c r="AH34" s="4">
        <f t="shared" si="13"/>
        <v>27000</v>
      </c>
      <c r="AI34" s="8" t="e">
        <f t="shared" si="14"/>
        <v>#NUM!</v>
      </c>
      <c r="AJ34" s="10" t="e">
        <f t="shared" si="15"/>
        <v>#NUM!</v>
      </c>
    </row>
    <row r="35" spans="1:36" ht="12.75">
      <c r="A35" s="108"/>
      <c r="C35">
        <f t="shared" si="16"/>
        <v>270</v>
      </c>
      <c r="D35" s="4">
        <f t="shared" si="3"/>
        <v>5670</v>
      </c>
      <c r="E35" s="15">
        <f t="shared" si="17"/>
        <v>2.2</v>
      </c>
      <c r="F35" s="15">
        <f t="shared" si="4"/>
        <v>594</v>
      </c>
      <c r="H35" s="15">
        <f t="shared" si="18"/>
        <v>0</v>
      </c>
      <c r="I35" s="15">
        <f t="shared" si="5"/>
        <v>0</v>
      </c>
      <c r="J35" s="15"/>
      <c r="K35" s="15">
        <f t="shared" si="6"/>
        <v>2.2</v>
      </c>
      <c r="L35" s="15">
        <f t="shared" si="7"/>
        <v>594</v>
      </c>
      <c r="N35">
        <f t="shared" si="8"/>
        <v>5.19</v>
      </c>
      <c r="O35" s="15">
        <f>'Supply helium'!AM35</f>
        <v>76.464641475378</v>
      </c>
      <c r="P35" s="15">
        <f t="shared" si="19"/>
        <v>29.819999999999993</v>
      </c>
      <c r="Q35" s="15">
        <f t="shared" si="9"/>
        <v>106.284641475378</v>
      </c>
      <c r="R35" s="15">
        <f t="shared" si="20"/>
        <v>9.42877445123132</v>
      </c>
      <c r="S35" s="15">
        <f t="shared" si="21"/>
        <v>-0.9812745502095196</v>
      </c>
      <c r="U35" s="4">
        <f t="shared" si="22"/>
        <v>-230.48903569134842</v>
      </c>
      <c r="W35" s="15">
        <f t="shared" si="23"/>
        <v>6.193228736581338</v>
      </c>
      <c r="Y35" s="3" t="e">
        <f t="shared" si="24"/>
        <v>#NUM!</v>
      </c>
      <c r="AB35" s="1">
        <f t="shared" si="10"/>
        <v>3.457149490146341E-06</v>
      </c>
      <c r="AC35">
        <f t="shared" si="11"/>
        <v>26.62</v>
      </c>
      <c r="AD35">
        <f t="shared" si="12"/>
        <v>1</v>
      </c>
      <c r="AE35" s="8" t="e">
        <f t="shared" si="0"/>
        <v>#NUM!</v>
      </c>
      <c r="AF35" s="4" t="e">
        <f t="shared" si="1"/>
        <v>#NUM!</v>
      </c>
      <c r="AG35" s="5" t="e">
        <f t="shared" si="2"/>
        <v>#NUM!</v>
      </c>
      <c r="AH35" s="4">
        <f t="shared" si="13"/>
        <v>27000</v>
      </c>
      <c r="AI35" s="8" t="e">
        <f t="shared" si="14"/>
        <v>#NUM!</v>
      </c>
      <c r="AJ35" s="10" t="e">
        <f t="shared" si="15"/>
        <v>#NUM!</v>
      </c>
    </row>
    <row r="36" spans="1:36" ht="12.75">
      <c r="A36" s="109"/>
      <c r="C36">
        <f t="shared" si="16"/>
        <v>270</v>
      </c>
      <c r="D36" s="4">
        <f t="shared" si="3"/>
        <v>5940</v>
      </c>
      <c r="E36" s="15">
        <f t="shared" si="17"/>
        <v>2.2</v>
      </c>
      <c r="F36" s="15">
        <f t="shared" si="4"/>
        <v>594</v>
      </c>
      <c r="H36" s="15">
        <f t="shared" si="18"/>
        <v>0</v>
      </c>
      <c r="I36" s="15">
        <f t="shared" si="5"/>
        <v>0</v>
      </c>
      <c r="J36" s="15"/>
      <c r="K36" s="15">
        <f t="shared" si="6"/>
        <v>2.2</v>
      </c>
      <c r="L36" s="15">
        <f t="shared" si="7"/>
        <v>594</v>
      </c>
      <c r="N36">
        <f t="shared" si="8"/>
        <v>5.19</v>
      </c>
      <c r="O36" s="15">
        <f>'Supply helium'!AM36</f>
        <v>76.45496223879151</v>
      </c>
      <c r="P36" s="15">
        <f t="shared" si="19"/>
        <v>29.819999999999993</v>
      </c>
      <c r="Q36" s="15">
        <f t="shared" si="9"/>
        <v>106.2749622387915</v>
      </c>
      <c r="R36" s="15">
        <f t="shared" si="20"/>
        <v>-1.4778312159473472</v>
      </c>
      <c r="S36" s="15">
        <f t="shared" si="21"/>
        <v>-14.45372623971052</v>
      </c>
      <c r="U36" s="4">
        <f t="shared" si="22"/>
        <v>-205.71612074502306</v>
      </c>
      <c r="W36" s="15">
        <f t="shared" si="23"/>
        <v>6.193228736581338</v>
      </c>
      <c r="Y36" s="3" t="e">
        <f t="shared" si="24"/>
        <v>#NUM!</v>
      </c>
      <c r="AB36" s="1">
        <f t="shared" si="10"/>
        <v>2.656023622881853E-06</v>
      </c>
      <c r="AC36">
        <f t="shared" si="11"/>
        <v>26.62</v>
      </c>
      <c r="AD36">
        <f t="shared" si="12"/>
        <v>1</v>
      </c>
      <c r="AE36" s="8" t="e">
        <f t="shared" si="0"/>
        <v>#NUM!</v>
      </c>
      <c r="AF36" s="4" t="e">
        <f t="shared" si="1"/>
        <v>#NUM!</v>
      </c>
      <c r="AG36" s="5" t="e">
        <f t="shared" si="2"/>
        <v>#NUM!</v>
      </c>
      <c r="AH36" s="4">
        <f t="shared" si="13"/>
        <v>27000</v>
      </c>
      <c r="AI36" s="8" t="e">
        <f t="shared" si="14"/>
        <v>#NUM!</v>
      </c>
      <c r="AJ36" s="10" t="e">
        <f t="shared" si="15"/>
        <v>#NUM!</v>
      </c>
    </row>
    <row r="37" spans="1:36" ht="12.75">
      <c r="A37" s="109"/>
      <c r="C37">
        <f t="shared" si="16"/>
        <v>270</v>
      </c>
      <c r="D37" s="4">
        <f t="shared" si="3"/>
        <v>6210</v>
      </c>
      <c r="E37" s="15">
        <f t="shared" si="17"/>
        <v>2.2</v>
      </c>
      <c r="F37" s="15">
        <f t="shared" si="4"/>
        <v>594</v>
      </c>
      <c r="H37" s="15">
        <f t="shared" si="18"/>
        <v>0</v>
      </c>
      <c r="I37" s="15">
        <f t="shared" si="5"/>
        <v>0</v>
      </c>
      <c r="J37" s="15"/>
      <c r="K37" s="15">
        <f t="shared" si="6"/>
        <v>2.2</v>
      </c>
      <c r="L37" s="15">
        <f t="shared" si="7"/>
        <v>594</v>
      </c>
      <c r="N37">
        <f t="shared" si="8"/>
        <v>5.19</v>
      </c>
      <c r="O37" s="15">
        <f>'Supply helium'!AM37</f>
        <v>76.44481531418656</v>
      </c>
      <c r="P37" s="15">
        <f t="shared" si="19"/>
        <v>29.819999999999993</v>
      </c>
      <c r="Q37" s="15">
        <f t="shared" si="9"/>
        <v>106.26481531418655</v>
      </c>
      <c r="R37" s="15">
        <f t="shared" si="20"/>
        <v>-15.010079658380516</v>
      </c>
      <c r="S37" s="15">
        <f t="shared" si="21"/>
        <v>-31.613812553564838</v>
      </c>
      <c r="U37" s="4">
        <f t="shared" si="22"/>
        <v>-180.9432057986977</v>
      </c>
      <c r="W37" s="15">
        <f t="shared" si="23"/>
        <v>6.193228736581338</v>
      </c>
      <c r="Y37" s="3" t="e">
        <f t="shared" si="24"/>
        <v>#NUM!</v>
      </c>
      <c r="AB37" s="1">
        <f t="shared" si="10"/>
        <v>1.63561625031482E-06</v>
      </c>
      <c r="AC37">
        <f t="shared" si="11"/>
        <v>26.62</v>
      </c>
      <c r="AD37">
        <f t="shared" si="12"/>
        <v>1</v>
      </c>
      <c r="AE37" s="8" t="e">
        <f t="shared" si="0"/>
        <v>#NUM!</v>
      </c>
      <c r="AF37" s="4" t="e">
        <f t="shared" si="1"/>
        <v>#NUM!</v>
      </c>
      <c r="AG37" s="5" t="e">
        <f t="shared" si="2"/>
        <v>#NUM!</v>
      </c>
      <c r="AH37" s="4">
        <f t="shared" si="13"/>
        <v>27000</v>
      </c>
      <c r="AI37" s="8" t="e">
        <f t="shared" si="14"/>
        <v>#NUM!</v>
      </c>
      <c r="AJ37" s="10" t="e">
        <f t="shared" si="15"/>
        <v>#NUM!</v>
      </c>
    </row>
    <row r="38" spans="1:36" ht="12.75">
      <c r="A38" s="109"/>
      <c r="C38">
        <f t="shared" si="16"/>
        <v>270</v>
      </c>
      <c r="D38" s="4">
        <f t="shared" si="3"/>
        <v>6480</v>
      </c>
      <c r="E38" s="15">
        <f t="shared" si="17"/>
        <v>2.2</v>
      </c>
      <c r="F38" s="15">
        <f t="shared" si="4"/>
        <v>594</v>
      </c>
      <c r="H38" s="15">
        <f t="shared" si="18"/>
        <v>0</v>
      </c>
      <c r="I38" s="15">
        <f t="shared" si="5"/>
        <v>0</v>
      </c>
      <c r="J38" s="15"/>
      <c r="K38" s="15">
        <f t="shared" si="6"/>
        <v>2.2</v>
      </c>
      <c r="L38" s="15">
        <f t="shared" si="7"/>
        <v>594</v>
      </c>
      <c r="N38">
        <f t="shared" si="8"/>
        <v>5.19</v>
      </c>
      <c r="O38" s="15">
        <f>'Supply helium'!AM38</f>
        <v>76.43415321072466</v>
      </c>
      <c r="P38" s="15">
        <f t="shared" si="19"/>
        <v>29.819999999999993</v>
      </c>
      <c r="Q38" s="15">
        <f t="shared" si="9"/>
        <v>106.25415321072465</v>
      </c>
      <c r="R38" s="15">
        <f t="shared" si="20"/>
        <v>-32.24633625925927</v>
      </c>
      <c r="S38" s="15">
        <f t="shared" si="21"/>
        <v>-54.21633341388915</v>
      </c>
      <c r="U38" s="4">
        <f t="shared" si="22"/>
        <v>-156.17029085237235</v>
      </c>
      <c r="W38" s="15">
        <f t="shared" si="23"/>
        <v>6.193228736581338</v>
      </c>
      <c r="Y38" s="3" t="e">
        <f t="shared" si="24"/>
        <v>#NUM!</v>
      </c>
      <c r="AB38" s="1">
        <f t="shared" si="10"/>
        <v>2.9157994987649524E-07</v>
      </c>
      <c r="AC38">
        <f t="shared" si="11"/>
        <v>26.62</v>
      </c>
      <c r="AD38">
        <f t="shared" si="12"/>
        <v>1</v>
      </c>
      <c r="AE38" s="8" t="e">
        <f t="shared" si="0"/>
        <v>#NUM!</v>
      </c>
      <c r="AF38" s="4" t="e">
        <f t="shared" si="1"/>
        <v>#NUM!</v>
      </c>
      <c r="AG38" s="5" t="e">
        <f t="shared" si="2"/>
        <v>#NUM!</v>
      </c>
      <c r="AH38" s="4">
        <f t="shared" si="13"/>
        <v>27000</v>
      </c>
      <c r="AI38" s="8" t="e">
        <f t="shared" si="14"/>
        <v>#NUM!</v>
      </c>
      <c r="AJ38" s="10" t="e">
        <f t="shared" si="15"/>
        <v>#NUM!</v>
      </c>
    </row>
    <row r="39" spans="1:36" ht="12.75">
      <c r="A39" s="109"/>
      <c r="C39">
        <f t="shared" si="16"/>
        <v>270</v>
      </c>
      <c r="D39" s="4">
        <f t="shared" si="3"/>
        <v>6750</v>
      </c>
      <c r="E39" s="15">
        <f t="shared" si="17"/>
        <v>2.2</v>
      </c>
      <c r="F39" s="15">
        <f t="shared" si="4"/>
        <v>594</v>
      </c>
      <c r="H39" s="15">
        <f t="shared" si="18"/>
        <v>0</v>
      </c>
      <c r="I39" s="15">
        <f t="shared" si="5"/>
        <v>0</v>
      </c>
      <c r="J39" s="15"/>
      <c r="K39" s="15">
        <f t="shared" si="6"/>
        <v>2.2</v>
      </c>
      <c r="L39" s="15">
        <f t="shared" si="7"/>
        <v>594</v>
      </c>
      <c r="N39">
        <f t="shared" si="8"/>
        <v>5.19</v>
      </c>
      <c r="O39" s="15">
        <f>'Supply helium'!AM39</f>
        <v>76.42292081705601</v>
      </c>
      <c r="P39" s="15">
        <f t="shared" si="19"/>
        <v>29.819999999999993</v>
      </c>
      <c r="Q39" s="15">
        <f t="shared" si="9"/>
        <v>106.242920817056</v>
      </c>
      <c r="R39" s="15">
        <f t="shared" si="20"/>
        <v>-54.94919282285455</v>
      </c>
      <c r="S39" s="15">
        <f t="shared" si="21"/>
        <v>-85.3394383942362</v>
      </c>
      <c r="U39" s="4">
        <f t="shared" si="22"/>
        <v>-131.397375906047</v>
      </c>
      <c r="W39" s="15">
        <f t="shared" si="23"/>
        <v>6.193228736581338</v>
      </c>
      <c r="Y39" s="3" t="e">
        <f t="shared" si="24"/>
        <v>#NUM!</v>
      </c>
      <c r="AB39" s="1">
        <f t="shared" si="10"/>
        <v>-1.559124364674862E-06</v>
      </c>
      <c r="AC39">
        <f t="shared" si="11"/>
        <v>26.62</v>
      </c>
      <c r="AD39">
        <f t="shared" si="12"/>
        <v>1</v>
      </c>
      <c r="AE39" s="8" t="e">
        <f t="shared" si="0"/>
        <v>#NUM!</v>
      </c>
      <c r="AF39" s="4" t="e">
        <f t="shared" si="1"/>
        <v>#NUM!</v>
      </c>
      <c r="AG39" s="5" t="e">
        <f t="shared" si="2"/>
        <v>#NUM!</v>
      </c>
      <c r="AH39" s="4">
        <f t="shared" si="13"/>
        <v>27000</v>
      </c>
      <c r="AI39" s="8" t="e">
        <f t="shared" si="14"/>
        <v>#NUM!</v>
      </c>
      <c r="AJ39" s="10" t="e">
        <f t="shared" si="15"/>
        <v>#NUM!</v>
      </c>
    </row>
    <row r="40" spans="1:36" ht="12.75">
      <c r="A40" s="109"/>
      <c r="C40">
        <f t="shared" si="16"/>
        <v>270</v>
      </c>
      <c r="D40" s="4">
        <f t="shared" si="3"/>
        <v>7020</v>
      </c>
      <c r="E40" s="15">
        <f t="shared" si="17"/>
        <v>2.2</v>
      </c>
      <c r="F40" s="15">
        <f t="shared" si="4"/>
        <v>594</v>
      </c>
      <c r="H40" s="15">
        <f t="shared" si="18"/>
        <v>0</v>
      </c>
      <c r="I40" s="15">
        <f t="shared" si="5"/>
        <v>0</v>
      </c>
      <c r="J40" s="15"/>
      <c r="K40" s="15">
        <f t="shared" si="6"/>
        <v>2.2</v>
      </c>
      <c r="L40" s="15">
        <f t="shared" si="7"/>
        <v>594</v>
      </c>
      <c r="N40">
        <f t="shared" si="8"/>
        <v>5.19</v>
      </c>
      <c r="O40" s="15">
        <f>'Supply helium'!AM40</f>
        <v>76.4110536787735</v>
      </c>
      <c r="P40" s="15">
        <f t="shared" si="19"/>
        <v>29.819999999999993</v>
      </c>
      <c r="Q40" s="15">
        <f t="shared" si="9"/>
        <v>106.23105367877349</v>
      </c>
      <c r="R40" s="15">
        <f t="shared" si="20"/>
        <v>-86.21046695369434</v>
      </c>
      <c r="S40" s="15">
        <f t="shared" si="21"/>
        <v>-130.92194666350076</v>
      </c>
      <c r="U40" s="4">
        <f t="shared" si="22"/>
        <v>-106.62446095972163</v>
      </c>
      <c r="W40" s="15">
        <f t="shared" si="23"/>
        <v>6.193228736581338</v>
      </c>
      <c r="Y40" s="3" t="e">
        <f t="shared" si="24"/>
        <v>#NUM!</v>
      </c>
      <c r="AB40" s="1">
        <f t="shared" si="10"/>
        <v>-4.26964263639841E-06</v>
      </c>
      <c r="AC40">
        <f t="shared" si="11"/>
        <v>26.62</v>
      </c>
      <c r="AD40">
        <f t="shared" si="12"/>
        <v>1</v>
      </c>
      <c r="AE40" s="8" t="e">
        <f t="shared" si="0"/>
        <v>#NUM!</v>
      </c>
      <c r="AF40" s="4" t="e">
        <f t="shared" si="1"/>
        <v>#NUM!</v>
      </c>
      <c r="AG40" s="5" t="e">
        <f t="shared" si="2"/>
        <v>#NUM!</v>
      </c>
      <c r="AH40" s="4">
        <f t="shared" si="13"/>
        <v>27000</v>
      </c>
      <c r="AI40" s="8" t="e">
        <f t="shared" si="14"/>
        <v>#NUM!</v>
      </c>
      <c r="AJ40" s="10" t="e">
        <f t="shared" si="15"/>
        <v>#NUM!</v>
      </c>
    </row>
    <row r="41" spans="1:36" ht="12.75">
      <c r="A41" s="109"/>
      <c r="C41">
        <f t="shared" si="16"/>
        <v>270</v>
      </c>
      <c r="D41" s="4">
        <f t="shared" si="3"/>
        <v>7290</v>
      </c>
      <c r="E41" s="15">
        <f t="shared" si="17"/>
        <v>2.2</v>
      </c>
      <c r="F41" s="15">
        <f t="shared" si="4"/>
        <v>594</v>
      </c>
      <c r="H41" s="15">
        <f t="shared" si="18"/>
        <v>0</v>
      </c>
      <c r="I41" s="15">
        <f t="shared" si="5"/>
        <v>0</v>
      </c>
      <c r="J41" s="15"/>
      <c r="K41" s="15">
        <f t="shared" si="6"/>
        <v>2.2</v>
      </c>
      <c r="L41" s="15">
        <f t="shared" si="7"/>
        <v>594</v>
      </c>
      <c r="N41">
        <f t="shared" si="8"/>
        <v>5.19</v>
      </c>
      <c r="O41" s="15">
        <f>'Supply helium'!AM41</f>
        <v>76.39847576000867</v>
      </c>
      <c r="P41" s="15">
        <f t="shared" si="19"/>
        <v>29.819999999999993</v>
      </c>
      <c r="Q41" s="15">
        <f t="shared" si="9"/>
        <v>106.21847576000866</v>
      </c>
      <c r="R41" s="15">
        <f t="shared" si="20"/>
        <v>-131.99534826405147</v>
      </c>
      <c r="S41" s="15">
        <f t="shared" si="21"/>
        <v>-204.0923469037733</v>
      </c>
      <c r="U41" s="4">
        <f t="shared" si="22"/>
        <v>-81.85154601339627</v>
      </c>
      <c r="W41" s="15">
        <f t="shared" si="23"/>
        <v>6.193228736581338</v>
      </c>
      <c r="Y41" s="3" t="e">
        <f t="shared" si="24"/>
        <v>#NUM!</v>
      </c>
      <c r="AB41" s="1">
        <f t="shared" si="10"/>
        <v>-8.620647316285977E-06</v>
      </c>
      <c r="AC41">
        <f t="shared" si="11"/>
        <v>26.62</v>
      </c>
      <c r="AD41">
        <f t="shared" si="12"/>
        <v>1</v>
      </c>
      <c r="AE41" s="8" t="e">
        <f t="shared" si="0"/>
        <v>#NUM!</v>
      </c>
      <c r="AF41" s="4" t="e">
        <f t="shared" si="1"/>
        <v>#NUM!</v>
      </c>
      <c r="AG41" s="5" t="e">
        <f t="shared" si="2"/>
        <v>#NUM!</v>
      </c>
      <c r="AH41" s="4">
        <f t="shared" si="13"/>
        <v>27000</v>
      </c>
      <c r="AI41" s="8" t="e">
        <f t="shared" si="14"/>
        <v>#NUM!</v>
      </c>
      <c r="AJ41" s="10" t="e">
        <f t="shared" si="15"/>
        <v>#NUM!</v>
      </c>
    </row>
    <row r="42" spans="1:36" ht="12.75">
      <c r="A42" s="109"/>
      <c r="C42">
        <f t="shared" si="16"/>
        <v>270</v>
      </c>
      <c r="D42" s="4">
        <f t="shared" si="3"/>
        <v>7560</v>
      </c>
      <c r="E42" s="15">
        <f t="shared" si="17"/>
        <v>2.2</v>
      </c>
      <c r="F42" s="15">
        <f t="shared" si="4"/>
        <v>594</v>
      </c>
      <c r="H42" s="15">
        <f t="shared" si="18"/>
        <v>0</v>
      </c>
      <c r="I42" s="15">
        <f t="shared" si="5"/>
        <v>0</v>
      </c>
      <c r="J42" s="15"/>
      <c r="K42" s="15">
        <f t="shared" si="6"/>
        <v>2.2</v>
      </c>
      <c r="L42" s="15">
        <f t="shared" si="7"/>
        <v>594</v>
      </c>
      <c r="N42">
        <f t="shared" si="8"/>
        <v>5.19</v>
      </c>
      <c r="O42" s="15">
        <f>'Supply helium'!AM42</f>
        <v>76.38509649197496</v>
      </c>
      <c r="P42" s="15">
        <f t="shared" si="19"/>
        <v>29.819999999999993</v>
      </c>
      <c r="Q42" s="15">
        <f t="shared" si="9"/>
        <v>106.20509649197496</v>
      </c>
      <c r="R42" s="15">
        <f t="shared" si="20"/>
        <v>-205.49062063990152</v>
      </c>
      <c r="S42" s="15">
        <f t="shared" si="21"/>
        <v>-340.77087080162124</v>
      </c>
      <c r="U42" s="4">
        <f t="shared" si="22"/>
        <v>-57.07863106707092</v>
      </c>
      <c r="W42" s="15">
        <f t="shared" si="23"/>
        <v>6.193228736581338</v>
      </c>
      <c r="Y42" s="3" t="e">
        <f t="shared" si="24"/>
        <v>#NUM!</v>
      </c>
      <c r="AB42" s="1">
        <f t="shared" si="10"/>
        <v>-1.6748099061347605E-05</v>
      </c>
      <c r="AC42">
        <f t="shared" si="11"/>
        <v>26.62</v>
      </c>
      <c r="AD42">
        <f t="shared" si="12"/>
        <v>1</v>
      </c>
      <c r="AE42" s="8" t="e">
        <f t="shared" si="0"/>
        <v>#NUM!</v>
      </c>
      <c r="AF42" s="4" t="e">
        <f t="shared" si="1"/>
        <v>#NUM!</v>
      </c>
      <c r="AG42" s="5" t="e">
        <f t="shared" si="2"/>
        <v>#NUM!</v>
      </c>
      <c r="AH42" s="4">
        <f t="shared" si="13"/>
        <v>27000</v>
      </c>
      <c r="AI42" s="8" t="e">
        <f t="shared" si="14"/>
        <v>#NUM!</v>
      </c>
      <c r="AJ42" s="10" t="e">
        <f t="shared" si="15"/>
        <v>#NUM!</v>
      </c>
    </row>
    <row r="43" spans="1:36" ht="12.75">
      <c r="A43" s="109"/>
      <c r="C43">
        <f t="shared" si="16"/>
        <v>270</v>
      </c>
      <c r="D43" s="4">
        <f t="shared" si="3"/>
        <v>7830</v>
      </c>
      <c r="E43" s="15">
        <f t="shared" si="17"/>
        <v>2.2</v>
      </c>
      <c r="F43" s="15">
        <f t="shared" si="4"/>
        <v>594</v>
      </c>
      <c r="H43" s="15">
        <f t="shared" si="18"/>
        <v>0</v>
      </c>
      <c r="I43" s="15">
        <f t="shared" si="5"/>
        <v>0</v>
      </c>
      <c r="J43" s="15"/>
      <c r="K43" s="15">
        <f t="shared" si="6"/>
        <v>2.2</v>
      </c>
      <c r="L43" s="15">
        <f t="shared" si="7"/>
        <v>594</v>
      </c>
      <c r="N43">
        <f t="shared" si="8"/>
        <v>5.19</v>
      </c>
      <c r="O43" s="15">
        <f>'Supply helium'!AM43</f>
        <v>76.37080681733599</v>
      </c>
      <c r="P43" s="15">
        <f t="shared" si="19"/>
        <v>29.819999999999993</v>
      </c>
      <c r="Q43" s="15">
        <f t="shared" si="9"/>
        <v>106.19080681733598</v>
      </c>
      <c r="R43" s="15">
        <f t="shared" si="20"/>
        <v>-342.7760146691666</v>
      </c>
      <c r="S43" s="15">
        <f t="shared" si="21"/>
        <v>-687.0561674705119</v>
      </c>
      <c r="U43" s="4">
        <f t="shared" si="22"/>
        <v>-32.30571612074557</v>
      </c>
      <c r="W43" s="15">
        <f t="shared" si="23"/>
        <v>6.193228736581338</v>
      </c>
      <c r="Y43" s="3" t="e">
        <f t="shared" si="24"/>
        <v>#NUM!</v>
      </c>
      <c r="AB43" s="1">
        <f t="shared" si="10"/>
        <v>-3.733960794246652E-05</v>
      </c>
      <c r="AC43">
        <f t="shared" si="11"/>
        <v>26.62</v>
      </c>
      <c r="AD43">
        <f t="shared" si="12"/>
        <v>1</v>
      </c>
      <c r="AE43" s="8" t="e">
        <f t="shared" si="0"/>
        <v>#NUM!</v>
      </c>
      <c r="AF43" s="4" t="e">
        <f t="shared" si="1"/>
        <v>#NUM!</v>
      </c>
      <c r="AG43" s="5" t="e">
        <f t="shared" si="2"/>
        <v>#NUM!</v>
      </c>
      <c r="AH43" s="4">
        <f t="shared" si="13"/>
        <v>27000</v>
      </c>
      <c r="AI43" s="8" t="e">
        <f t="shared" si="14"/>
        <v>#NUM!</v>
      </c>
      <c r="AJ43" s="10" t="e">
        <f t="shared" si="15"/>
        <v>#NUM!</v>
      </c>
    </row>
    <row r="44" spans="1:36" ht="13.5" thickBot="1">
      <c r="A44" s="110"/>
      <c r="C44">
        <f t="shared" si="16"/>
        <v>270</v>
      </c>
      <c r="D44" s="4">
        <f t="shared" si="3"/>
        <v>8100</v>
      </c>
      <c r="E44" s="15">
        <f t="shared" si="17"/>
        <v>2.2</v>
      </c>
      <c r="F44" s="15">
        <f t="shared" si="4"/>
        <v>594</v>
      </c>
      <c r="H44" s="15">
        <f t="shared" si="18"/>
        <v>0</v>
      </c>
      <c r="I44" s="15">
        <f t="shared" si="5"/>
        <v>0</v>
      </c>
      <c r="J44" s="15"/>
      <c r="K44" s="15">
        <f t="shared" si="6"/>
        <v>2.2</v>
      </c>
      <c r="L44" s="15">
        <f t="shared" si="7"/>
        <v>594</v>
      </c>
      <c r="N44">
        <f t="shared" si="8"/>
        <v>5.19</v>
      </c>
      <c r="O44" s="15">
        <f>'Supply helium'!AM44</f>
        <v>76.3554737904829</v>
      </c>
      <c r="P44" s="15">
        <f t="shared" si="19"/>
        <v>29.819999999999993</v>
      </c>
      <c r="Q44" s="15">
        <f t="shared" si="9"/>
        <v>106.1754737904829</v>
      </c>
      <c r="R44" s="15">
        <f t="shared" si="20"/>
        <v>-690.5989110092793</v>
      </c>
      <c r="S44" s="15">
        <f t="shared" si="21"/>
        <v>-3310.928800119146</v>
      </c>
      <c r="U44" s="4">
        <f t="shared" si="22"/>
        <v>-7.5328011744202215</v>
      </c>
      <c r="W44" s="15">
        <f t="shared" si="23"/>
        <v>6.193228736581338</v>
      </c>
      <c r="Y44" s="3" t="e">
        <f t="shared" si="24"/>
        <v>#NUM!</v>
      </c>
      <c r="AB44" s="1">
        <f t="shared" si="10"/>
        <v>-0.0001933655701702849</v>
      </c>
      <c r="AC44">
        <f t="shared" si="11"/>
        <v>26.62</v>
      </c>
      <c r="AD44">
        <f t="shared" si="12"/>
        <v>1</v>
      </c>
      <c r="AE44" s="8" t="e">
        <f t="shared" si="0"/>
        <v>#NUM!</v>
      </c>
      <c r="AF44" s="4" t="e">
        <f t="shared" si="1"/>
        <v>#NUM!</v>
      </c>
      <c r="AG44" s="5" t="e">
        <f t="shared" si="2"/>
        <v>#NUM!</v>
      </c>
      <c r="AH44" s="4">
        <f t="shared" si="13"/>
        <v>27000</v>
      </c>
      <c r="AI44" s="8" t="e">
        <f t="shared" si="14"/>
        <v>#NUM!</v>
      </c>
      <c r="AJ44" s="10" t="e">
        <f t="shared" si="15"/>
        <v>#NUM!</v>
      </c>
    </row>
    <row r="45" spans="1:36" ht="12.75">
      <c r="A45" s="108"/>
      <c r="C45">
        <f t="shared" si="16"/>
        <v>270</v>
      </c>
      <c r="D45" s="4">
        <f t="shared" si="3"/>
        <v>8370</v>
      </c>
      <c r="E45" s="15">
        <f t="shared" si="17"/>
        <v>2.2</v>
      </c>
      <c r="F45" s="15">
        <f t="shared" si="4"/>
        <v>594</v>
      </c>
      <c r="H45" s="15">
        <f t="shared" si="18"/>
        <v>0</v>
      </c>
      <c r="I45" s="15">
        <f t="shared" si="5"/>
        <v>0</v>
      </c>
      <c r="J45" s="15"/>
      <c r="K45" s="15">
        <f t="shared" si="6"/>
        <v>2.2</v>
      </c>
      <c r="L45" s="15">
        <f t="shared" si="7"/>
        <v>594</v>
      </c>
      <c r="N45">
        <f t="shared" si="8"/>
        <v>5.19</v>
      </c>
      <c r="O45" s="15">
        <f>'Supply helium'!AM45</f>
        <v>76.3389330512548</v>
      </c>
      <c r="P45" s="15">
        <f t="shared" si="19"/>
        <v>29.819999999999993</v>
      </c>
      <c r="Q45" s="15">
        <f t="shared" si="9"/>
        <v>106.15893305125479</v>
      </c>
      <c r="R45" s="15">
        <f t="shared" si="20"/>
        <v>-3326.122466379803</v>
      </c>
      <c r="S45" s="15">
        <f t="shared" si="21"/>
        <v>1605.8412262567863</v>
      </c>
      <c r="U45" s="4">
        <f t="shared" si="22"/>
        <v>17.24011377190513</v>
      </c>
      <c r="W45" s="15">
        <f t="shared" si="23"/>
        <v>6.193228736581338</v>
      </c>
      <c r="Y45" s="3" t="e">
        <f t="shared" si="24"/>
        <v>#NUM!</v>
      </c>
      <c r="AB45" s="1">
        <f t="shared" si="10"/>
        <v>9.900524267813353E-05</v>
      </c>
      <c r="AC45">
        <f t="shared" si="11"/>
        <v>26.62</v>
      </c>
      <c r="AD45">
        <f t="shared" si="12"/>
        <v>1</v>
      </c>
      <c r="AE45" s="8" t="e">
        <f t="shared" si="0"/>
        <v>#NUM!</v>
      </c>
      <c r="AF45" s="4" t="e">
        <f t="shared" si="1"/>
        <v>#NUM!</v>
      </c>
      <c r="AG45" s="5" t="e">
        <f t="shared" si="2"/>
        <v>#NUM!</v>
      </c>
      <c r="AH45" s="4">
        <f t="shared" si="13"/>
        <v>27000</v>
      </c>
      <c r="AI45" s="8" t="e">
        <f t="shared" si="14"/>
        <v>#NUM!</v>
      </c>
      <c r="AJ45" s="10" t="e">
        <f t="shared" si="15"/>
        <v>#NUM!</v>
      </c>
    </row>
    <row r="46" spans="1:36" ht="12.75">
      <c r="A46" s="109"/>
      <c r="C46">
        <f t="shared" si="16"/>
        <v>270</v>
      </c>
      <c r="D46" s="4">
        <f t="shared" si="3"/>
        <v>8640</v>
      </c>
      <c r="E46" s="15">
        <f t="shared" si="17"/>
        <v>2.2</v>
      </c>
      <c r="F46" s="15">
        <f t="shared" si="4"/>
        <v>594</v>
      </c>
      <c r="H46" s="15">
        <f t="shared" si="18"/>
        <v>0</v>
      </c>
      <c r="I46" s="15">
        <f t="shared" si="5"/>
        <v>0</v>
      </c>
      <c r="J46" s="15"/>
      <c r="K46" s="15">
        <f t="shared" si="6"/>
        <v>2.2</v>
      </c>
      <c r="L46" s="15">
        <f t="shared" si="7"/>
        <v>594</v>
      </c>
      <c r="N46">
        <f t="shared" si="8"/>
        <v>5.19</v>
      </c>
      <c r="O46" s="15">
        <f>'Supply helium'!AM46</f>
        <v>76.32097808117975</v>
      </c>
      <c r="P46" s="15">
        <f t="shared" si="19"/>
        <v>29.819999999999993</v>
      </c>
      <c r="Q46" s="15">
        <f t="shared" si="9"/>
        <v>106.14097808117974</v>
      </c>
      <c r="R46" s="15">
        <f t="shared" si="20"/>
        <v>1612.4798638299637</v>
      </c>
      <c r="S46" s="15">
        <f t="shared" si="21"/>
        <v>724.2695577540148</v>
      </c>
      <c r="U46" s="4">
        <f t="shared" si="22"/>
        <v>42.01302871823048</v>
      </c>
      <c r="W46" s="15">
        <f t="shared" si="23"/>
        <v>6.193228736581338</v>
      </c>
      <c r="Y46" s="3" t="e">
        <f t="shared" si="24"/>
        <v>#NUM!</v>
      </c>
      <c r="AB46" s="1">
        <f t="shared" si="10"/>
        <v>4.658346498228474E-05</v>
      </c>
      <c r="AC46">
        <f t="shared" si="11"/>
        <v>26.62</v>
      </c>
      <c r="AD46">
        <f t="shared" si="12"/>
        <v>1</v>
      </c>
      <c r="AE46" s="8" t="e">
        <f aca="true" t="shared" si="25" ref="AE46:AE77">4*U46/(Y46*3.14159*AC46^2*AD46)</f>
        <v>#NUM!</v>
      </c>
      <c r="AF46" s="4" t="e">
        <f aca="true" t="shared" si="26" ref="AF46:AF77">Y46*AE46*AC46/AB46/10</f>
        <v>#NUM!</v>
      </c>
      <c r="AG46" s="5" t="e">
        <f aca="true" t="shared" si="27" ref="AG46:AG77">4*(0.0791/AF46^0.25)</f>
        <v>#NUM!</v>
      </c>
      <c r="AH46" s="4">
        <f t="shared" si="13"/>
        <v>27000</v>
      </c>
      <c r="AI46" s="8" t="e">
        <f t="shared" si="14"/>
        <v>#NUM!</v>
      </c>
      <c r="AJ46" s="10" t="e">
        <f t="shared" si="15"/>
        <v>#NUM!</v>
      </c>
    </row>
    <row r="47" spans="1:36" ht="12.75">
      <c r="A47" s="109"/>
      <c r="C47">
        <f t="shared" si="16"/>
        <v>270</v>
      </c>
      <c r="D47" s="4">
        <f aca="true" t="shared" si="28" ref="D47:D78">D46+C47</f>
        <v>8910</v>
      </c>
      <c r="E47" s="15">
        <f t="shared" si="17"/>
        <v>2.2</v>
      </c>
      <c r="F47" s="15">
        <f aca="true" t="shared" si="29" ref="F47:F78">E47*C47</f>
        <v>594</v>
      </c>
      <c r="H47" s="15">
        <f t="shared" si="18"/>
        <v>0</v>
      </c>
      <c r="I47" s="15">
        <f aca="true" t="shared" si="30" ref="I47:I78">H47*C47</f>
        <v>0</v>
      </c>
      <c r="J47" s="15"/>
      <c r="K47" s="15">
        <f aca="true" t="shared" si="31" ref="K47:K78">H47+E47</f>
        <v>2.2</v>
      </c>
      <c r="L47" s="15">
        <f aca="true" t="shared" si="32" ref="L47:L78">K47*C47</f>
        <v>594</v>
      </c>
      <c r="N47">
        <f aca="true" t="shared" si="33" ref="N47:N78">N46</f>
        <v>5.19</v>
      </c>
      <c r="O47" s="15">
        <f>'Supply helium'!AM47</f>
        <v>76.30134443735551</v>
      </c>
      <c r="P47" s="15">
        <f t="shared" si="19"/>
        <v>29.819999999999993</v>
      </c>
      <c r="Q47" s="15">
        <f t="shared" si="9"/>
        <v>106.1213444373555</v>
      </c>
      <c r="R47" s="15">
        <f t="shared" si="20"/>
        <v>726.9937333382036</v>
      </c>
      <c r="S47" s="15">
        <f t="shared" si="21"/>
        <v>496.6934929161259</v>
      </c>
      <c r="U47" s="4">
        <f t="shared" si="22"/>
        <v>66.78594366455583</v>
      </c>
      <c r="W47" s="15">
        <f t="shared" si="23"/>
        <v>6.193228736581338</v>
      </c>
      <c r="Y47" s="3" t="e">
        <f t="shared" si="24"/>
        <v>#NUM!</v>
      </c>
      <c r="AB47" s="1">
        <f t="shared" si="10"/>
        <v>3.305088186276451E-05</v>
      </c>
      <c r="AC47">
        <f aca="true" t="shared" si="34" ref="AC47:AC78">AC46</f>
        <v>26.62</v>
      </c>
      <c r="AD47">
        <f aca="true" t="shared" si="35" ref="AD47:AD78">AD46</f>
        <v>1</v>
      </c>
      <c r="AE47" s="8" t="e">
        <f t="shared" si="25"/>
        <v>#NUM!</v>
      </c>
      <c r="AF47" s="4" t="e">
        <f t="shared" si="26"/>
        <v>#NUM!</v>
      </c>
      <c r="AG47" s="5" t="e">
        <f t="shared" si="27"/>
        <v>#NUM!</v>
      </c>
      <c r="AH47" s="4">
        <f aca="true" t="shared" si="36" ref="AH47:AH78">100*(D47-D46)</f>
        <v>27000</v>
      </c>
      <c r="AI47" s="8" t="e">
        <f aca="true" t="shared" si="37" ref="AI47:AI78">AG47*AH47/(AC47)*(Y47*AE47^2/2)*0.1</f>
        <v>#NUM!</v>
      </c>
      <c r="AJ47" s="10" t="e">
        <f aca="true" t="shared" si="38" ref="AJ47:AJ78">AJ46-AI47/100000</f>
        <v>#NUM!</v>
      </c>
    </row>
    <row r="48" spans="1:36" ht="12.75">
      <c r="A48" s="109"/>
      <c r="C48">
        <f aca="true" t="shared" si="39" ref="C48:C79">C47</f>
        <v>270</v>
      </c>
      <c r="D48" s="4">
        <f t="shared" si="28"/>
        <v>9180</v>
      </c>
      <c r="E48" s="15">
        <f aca="true" t="shared" si="40" ref="E48:E79">E47</f>
        <v>2.2</v>
      </c>
      <c r="F48" s="15">
        <f t="shared" si="29"/>
        <v>594</v>
      </c>
      <c r="H48" s="15">
        <f aca="true" t="shared" si="41" ref="H48:H79">H47</f>
        <v>0</v>
      </c>
      <c r="I48" s="15">
        <f t="shared" si="30"/>
        <v>0</v>
      </c>
      <c r="J48" s="15"/>
      <c r="K48" s="15">
        <f t="shared" si="31"/>
        <v>2.2</v>
      </c>
      <c r="L48" s="15">
        <f t="shared" si="32"/>
        <v>594</v>
      </c>
      <c r="N48">
        <f t="shared" si="33"/>
        <v>5.19</v>
      </c>
      <c r="O48" s="15">
        <f>'Supply helium'!AM48</f>
        <v>76.27968585604988</v>
      </c>
      <c r="P48" s="15">
        <f t="shared" si="19"/>
        <v>29.819999999999993</v>
      </c>
      <c r="Q48" s="15">
        <f t="shared" si="9"/>
        <v>106.09968585604987</v>
      </c>
      <c r="R48" s="15">
        <f t="shared" si="20"/>
        <v>498.40718985251823</v>
      </c>
      <c r="S48" s="15">
        <f t="shared" si="21"/>
        <v>392.2612573151427</v>
      </c>
      <c r="U48" s="4">
        <f t="shared" si="22"/>
        <v>91.55885861088117</v>
      </c>
      <c r="W48" s="15">
        <f aca="true" t="shared" si="42" ref="W48:W79">W47</f>
        <v>6.193228736581338</v>
      </c>
      <c r="Y48" s="3" t="e">
        <f t="shared" si="24"/>
        <v>#NUM!</v>
      </c>
      <c r="AB48" s="1">
        <f t="shared" si="10"/>
        <v>2.6840923404987644E-05</v>
      </c>
      <c r="AC48">
        <f t="shared" si="34"/>
        <v>26.62</v>
      </c>
      <c r="AD48">
        <f t="shared" si="35"/>
        <v>1</v>
      </c>
      <c r="AE48" s="8" t="e">
        <f t="shared" si="25"/>
        <v>#NUM!</v>
      </c>
      <c r="AF48" s="4" t="e">
        <f t="shared" si="26"/>
        <v>#NUM!</v>
      </c>
      <c r="AG48" s="5" t="e">
        <f t="shared" si="27"/>
        <v>#NUM!</v>
      </c>
      <c r="AH48" s="4">
        <f t="shared" si="36"/>
        <v>27000</v>
      </c>
      <c r="AI48" s="8" t="e">
        <f t="shared" si="37"/>
        <v>#NUM!</v>
      </c>
      <c r="AJ48" s="10" t="e">
        <f t="shared" si="38"/>
        <v>#NUM!</v>
      </c>
    </row>
    <row r="49" spans="1:36" ht="12.75">
      <c r="A49" s="109"/>
      <c r="C49">
        <f t="shared" si="39"/>
        <v>270</v>
      </c>
      <c r="D49" s="4">
        <f t="shared" si="28"/>
        <v>9450</v>
      </c>
      <c r="E49" s="15">
        <f t="shared" si="40"/>
        <v>2.2</v>
      </c>
      <c r="F49" s="15">
        <f t="shared" si="29"/>
        <v>594</v>
      </c>
      <c r="H49" s="15">
        <f t="shared" si="41"/>
        <v>0</v>
      </c>
      <c r="I49" s="15">
        <f t="shared" si="30"/>
        <v>0</v>
      </c>
      <c r="J49" s="15"/>
      <c r="K49" s="15">
        <f t="shared" si="31"/>
        <v>2.2</v>
      </c>
      <c r="L49" s="15">
        <f t="shared" si="32"/>
        <v>594</v>
      </c>
      <c r="N49">
        <f t="shared" si="33"/>
        <v>5.19</v>
      </c>
      <c r="O49" s="15">
        <f>'Supply helium'!AM49</f>
        <v>76.25553661630373</v>
      </c>
      <c r="P49" s="15">
        <f t="shared" si="19"/>
        <v>29.819999999999993</v>
      </c>
      <c r="Q49" s="15">
        <f t="shared" si="9"/>
        <v>106.07553661630372</v>
      </c>
      <c r="R49" s="15">
        <f t="shared" si="20"/>
        <v>393.5112823677532</v>
      </c>
      <c r="S49" s="15">
        <f t="shared" si="21"/>
        <v>332.30168275193824</v>
      </c>
      <c r="U49" s="4">
        <f t="shared" si="22"/>
        <v>116.33177355720653</v>
      </c>
      <c r="W49" s="15">
        <f t="shared" si="42"/>
        <v>6.193228736581338</v>
      </c>
      <c r="Y49" s="3" t="e">
        <f t="shared" si="24"/>
        <v>#NUM!</v>
      </c>
      <c r="AB49" s="1">
        <f t="shared" si="10"/>
        <v>2.3275487263161257E-05</v>
      </c>
      <c r="AC49">
        <f t="shared" si="34"/>
        <v>26.62</v>
      </c>
      <c r="AD49">
        <f t="shared" si="35"/>
        <v>1</v>
      </c>
      <c r="AE49" s="8" t="e">
        <f t="shared" si="25"/>
        <v>#NUM!</v>
      </c>
      <c r="AF49" s="4" t="e">
        <f t="shared" si="26"/>
        <v>#NUM!</v>
      </c>
      <c r="AG49" s="5" t="e">
        <f t="shared" si="27"/>
        <v>#NUM!</v>
      </c>
      <c r="AH49" s="4">
        <f t="shared" si="36"/>
        <v>27000</v>
      </c>
      <c r="AI49" s="8" t="e">
        <f t="shared" si="37"/>
        <v>#NUM!</v>
      </c>
      <c r="AJ49" s="10" t="e">
        <f t="shared" si="38"/>
        <v>#NUM!</v>
      </c>
    </row>
    <row r="50" spans="1:36" ht="12.75">
      <c r="A50" s="109"/>
      <c r="C50">
        <f t="shared" si="39"/>
        <v>270</v>
      </c>
      <c r="D50" s="4">
        <f t="shared" si="28"/>
        <v>9720</v>
      </c>
      <c r="E50" s="15">
        <f t="shared" si="40"/>
        <v>2.2</v>
      </c>
      <c r="F50" s="15">
        <f t="shared" si="29"/>
        <v>594</v>
      </c>
      <c r="H50" s="15">
        <f t="shared" si="41"/>
        <v>0</v>
      </c>
      <c r="I50" s="15">
        <f t="shared" si="30"/>
        <v>0</v>
      </c>
      <c r="J50" s="15"/>
      <c r="K50" s="15">
        <f t="shared" si="31"/>
        <v>2.2</v>
      </c>
      <c r="L50" s="15">
        <f t="shared" si="32"/>
        <v>594</v>
      </c>
      <c r="N50">
        <f t="shared" si="33"/>
        <v>5.19</v>
      </c>
      <c r="O50" s="15">
        <f>'Supply helium'!AM50</f>
        <v>76.22824945137761</v>
      </c>
      <c r="P50" s="15">
        <f t="shared" si="19"/>
        <v>29.819999999999993</v>
      </c>
      <c r="Q50" s="15">
        <f t="shared" si="9"/>
        <v>106.0482494513776</v>
      </c>
      <c r="R50" s="15">
        <f t="shared" si="20"/>
        <v>333.2855142843935</v>
      </c>
      <c r="S50" s="15">
        <f t="shared" si="21"/>
        <v>293.39081274013535</v>
      </c>
      <c r="U50" s="4">
        <f t="shared" si="22"/>
        <v>141.1046885035319</v>
      </c>
      <c r="W50" s="15">
        <f t="shared" si="42"/>
        <v>6.193228736581338</v>
      </c>
      <c r="Y50" s="3" t="e">
        <f t="shared" si="24"/>
        <v>#NUM!</v>
      </c>
      <c r="AB50" s="1">
        <f t="shared" si="10"/>
        <v>2.096169128877941E-05</v>
      </c>
      <c r="AC50">
        <f t="shared" si="34"/>
        <v>26.62</v>
      </c>
      <c r="AD50">
        <f t="shared" si="35"/>
        <v>1</v>
      </c>
      <c r="AE50" s="8" t="e">
        <f t="shared" si="25"/>
        <v>#NUM!</v>
      </c>
      <c r="AF50" s="4" t="e">
        <f t="shared" si="26"/>
        <v>#NUM!</v>
      </c>
      <c r="AG50" s="5" t="e">
        <f t="shared" si="27"/>
        <v>#NUM!</v>
      </c>
      <c r="AH50" s="4">
        <f t="shared" si="36"/>
        <v>27000</v>
      </c>
      <c r="AI50" s="8" t="e">
        <f t="shared" si="37"/>
        <v>#NUM!</v>
      </c>
      <c r="AJ50" s="10" t="e">
        <f t="shared" si="38"/>
        <v>#NUM!</v>
      </c>
    </row>
    <row r="51" spans="1:36" ht="12.75">
      <c r="A51" s="109"/>
      <c r="C51">
        <f t="shared" si="39"/>
        <v>270</v>
      </c>
      <c r="D51" s="4">
        <f t="shared" si="28"/>
        <v>9990</v>
      </c>
      <c r="E51" s="15">
        <f t="shared" si="40"/>
        <v>2.2</v>
      </c>
      <c r="F51" s="15">
        <f t="shared" si="29"/>
        <v>594</v>
      </c>
      <c r="H51" s="15">
        <f t="shared" si="41"/>
        <v>0</v>
      </c>
      <c r="I51" s="15">
        <f t="shared" si="30"/>
        <v>0</v>
      </c>
      <c r="J51" s="15"/>
      <c r="K51" s="15">
        <f t="shared" si="31"/>
        <v>2.2</v>
      </c>
      <c r="L51" s="15">
        <f t="shared" si="32"/>
        <v>594</v>
      </c>
      <c r="N51">
        <f t="shared" si="33"/>
        <v>5.19</v>
      </c>
      <c r="O51" s="15">
        <f>'Supply helium'!AM51</f>
        <v>76.1968870972651</v>
      </c>
      <c r="P51" s="15">
        <f t="shared" si="19"/>
        <v>29.819999999999993</v>
      </c>
      <c r="Q51" s="15">
        <f t="shared" si="9"/>
        <v>106.0168870972651</v>
      </c>
      <c r="R51" s="15">
        <f t="shared" si="20"/>
        <v>294.2019187938449</v>
      </c>
      <c r="S51" s="15">
        <f t="shared" si="21"/>
        <v>266.09751116174317</v>
      </c>
      <c r="U51" s="4">
        <f t="shared" si="22"/>
        <v>165.87760344985725</v>
      </c>
      <c r="W51" s="15">
        <f t="shared" si="42"/>
        <v>6.193228736581338</v>
      </c>
      <c r="Y51" s="3" t="e">
        <f t="shared" si="24"/>
        <v>#NUM!</v>
      </c>
      <c r="AB51" s="1">
        <f t="shared" si="10"/>
        <v>1.9338722403721895E-05</v>
      </c>
      <c r="AC51">
        <f t="shared" si="34"/>
        <v>26.62</v>
      </c>
      <c r="AD51">
        <f t="shared" si="35"/>
        <v>1</v>
      </c>
      <c r="AE51" s="8" t="e">
        <f t="shared" si="25"/>
        <v>#NUM!</v>
      </c>
      <c r="AF51" s="4" t="e">
        <f t="shared" si="26"/>
        <v>#NUM!</v>
      </c>
      <c r="AG51" s="5" t="e">
        <f t="shared" si="27"/>
        <v>#NUM!</v>
      </c>
      <c r="AH51" s="4">
        <f t="shared" si="36"/>
        <v>27000</v>
      </c>
      <c r="AI51" s="8" t="e">
        <f t="shared" si="37"/>
        <v>#NUM!</v>
      </c>
      <c r="AJ51" s="10" t="e">
        <f t="shared" si="38"/>
        <v>#NUM!</v>
      </c>
    </row>
    <row r="52" spans="1:36" ht="12.75">
      <c r="A52" s="109"/>
      <c r="C52">
        <f t="shared" si="39"/>
        <v>270</v>
      </c>
      <c r="D52" s="4">
        <f t="shared" si="28"/>
        <v>10260</v>
      </c>
      <c r="E52" s="15">
        <f t="shared" si="40"/>
        <v>2.2</v>
      </c>
      <c r="F52" s="15">
        <f t="shared" si="29"/>
        <v>594</v>
      </c>
      <c r="H52" s="15">
        <f t="shared" si="41"/>
        <v>0</v>
      </c>
      <c r="I52" s="15">
        <f t="shared" si="30"/>
        <v>0</v>
      </c>
      <c r="J52" s="15"/>
      <c r="K52" s="15">
        <f t="shared" si="31"/>
        <v>2.2</v>
      </c>
      <c r="L52" s="15">
        <f t="shared" si="32"/>
        <v>594</v>
      </c>
      <c r="N52">
        <f t="shared" si="33"/>
        <v>5.19</v>
      </c>
      <c r="O52" s="15">
        <f>'Supply helium'!AM52</f>
        <v>76.16001864027831</v>
      </c>
      <c r="P52" s="15">
        <f t="shared" si="19"/>
        <v>29.819999999999993</v>
      </c>
      <c r="Q52" s="15">
        <f t="shared" si="9"/>
        <v>105.9800186402783</v>
      </c>
      <c r="R52" s="15">
        <f t="shared" si="20"/>
        <v>266.7874829522183</v>
      </c>
      <c r="S52" s="15">
        <f t="shared" si="21"/>
        <v>245.89234104730278</v>
      </c>
      <c r="U52" s="4">
        <f t="shared" si="22"/>
        <v>190.6505183961826</v>
      </c>
      <c r="W52" s="15">
        <f t="shared" si="42"/>
        <v>6.193228736581338</v>
      </c>
      <c r="Y52" s="3" t="e">
        <f t="shared" si="24"/>
        <v>#NUM!</v>
      </c>
      <c r="AB52" s="1">
        <f t="shared" si="10"/>
        <v>1.8137242168036813E-05</v>
      </c>
      <c r="AC52">
        <f t="shared" si="34"/>
        <v>26.62</v>
      </c>
      <c r="AD52">
        <f t="shared" si="35"/>
        <v>1</v>
      </c>
      <c r="AE52" s="8" t="e">
        <f t="shared" si="25"/>
        <v>#NUM!</v>
      </c>
      <c r="AF52" s="4" t="e">
        <f t="shared" si="26"/>
        <v>#NUM!</v>
      </c>
      <c r="AG52" s="5" t="e">
        <f t="shared" si="27"/>
        <v>#NUM!</v>
      </c>
      <c r="AH52" s="4">
        <f t="shared" si="36"/>
        <v>27000</v>
      </c>
      <c r="AI52" s="8" t="e">
        <f t="shared" si="37"/>
        <v>#NUM!</v>
      </c>
      <c r="AJ52" s="10" t="e">
        <f t="shared" si="38"/>
        <v>#NUM!</v>
      </c>
    </row>
    <row r="53" spans="1:36" ht="12.75">
      <c r="A53" s="109"/>
      <c r="C53">
        <f t="shared" si="39"/>
        <v>270</v>
      </c>
      <c r="D53" s="4">
        <f t="shared" si="28"/>
        <v>10530</v>
      </c>
      <c r="E53" s="15">
        <f t="shared" si="40"/>
        <v>2.2</v>
      </c>
      <c r="F53" s="15">
        <f t="shared" si="29"/>
        <v>594</v>
      </c>
      <c r="H53" s="15">
        <f t="shared" si="41"/>
        <v>0</v>
      </c>
      <c r="I53" s="15">
        <f t="shared" si="30"/>
        <v>0</v>
      </c>
      <c r="J53" s="15"/>
      <c r="K53" s="15">
        <f t="shared" si="31"/>
        <v>2.2</v>
      </c>
      <c r="L53" s="15">
        <f t="shared" si="32"/>
        <v>594</v>
      </c>
      <c r="N53">
        <f t="shared" si="33"/>
        <v>5.19</v>
      </c>
      <c r="O53" s="15">
        <f>'Supply helium'!AM53</f>
        <v>76.1152990251667</v>
      </c>
      <c r="P53" s="15">
        <f t="shared" si="19"/>
        <v>29.819999999999993</v>
      </c>
      <c r="Q53" s="15">
        <f t="shared" si="9"/>
        <v>105.9352990251667</v>
      </c>
      <c r="R53" s="15">
        <f t="shared" si="20"/>
        <v>246.49265867567757</v>
      </c>
      <c r="S53" s="15">
        <f t="shared" si="21"/>
        <v>230.32907116954954</v>
      </c>
      <c r="U53" s="4">
        <f t="shared" si="22"/>
        <v>215.42343334250796</v>
      </c>
      <c r="W53" s="15">
        <f t="shared" si="42"/>
        <v>6.193228736581338</v>
      </c>
      <c r="Y53" s="3" t="e">
        <f t="shared" si="24"/>
        <v>#NUM!</v>
      </c>
      <c r="AB53" s="1">
        <f t="shared" si="10"/>
        <v>1.7211787888026094E-05</v>
      </c>
      <c r="AC53">
        <f t="shared" si="34"/>
        <v>26.62</v>
      </c>
      <c r="AD53">
        <f t="shared" si="35"/>
        <v>1</v>
      </c>
      <c r="AE53" s="8" t="e">
        <f t="shared" si="25"/>
        <v>#NUM!</v>
      </c>
      <c r="AF53" s="4" t="e">
        <f t="shared" si="26"/>
        <v>#NUM!</v>
      </c>
      <c r="AG53" s="5" t="e">
        <f t="shared" si="27"/>
        <v>#NUM!</v>
      </c>
      <c r="AH53" s="4">
        <f t="shared" si="36"/>
        <v>27000</v>
      </c>
      <c r="AI53" s="8" t="e">
        <f t="shared" si="37"/>
        <v>#NUM!</v>
      </c>
      <c r="AJ53" s="10" t="e">
        <f t="shared" si="38"/>
        <v>#NUM!</v>
      </c>
    </row>
    <row r="54" spans="1:36" ht="13.5" thickBot="1">
      <c r="A54" s="110"/>
      <c r="C54">
        <f t="shared" si="39"/>
        <v>270</v>
      </c>
      <c r="D54" s="4">
        <f t="shared" si="28"/>
        <v>10800</v>
      </c>
      <c r="E54" s="15">
        <f t="shared" si="40"/>
        <v>2.2</v>
      </c>
      <c r="F54" s="15">
        <f t="shared" si="29"/>
        <v>594</v>
      </c>
      <c r="H54" s="15">
        <f t="shared" si="41"/>
        <v>0</v>
      </c>
      <c r="I54" s="15">
        <f t="shared" si="30"/>
        <v>0</v>
      </c>
      <c r="J54" s="15"/>
      <c r="K54" s="15">
        <f t="shared" si="31"/>
        <v>2.2</v>
      </c>
      <c r="L54" s="15">
        <f t="shared" si="32"/>
        <v>594</v>
      </c>
      <c r="N54">
        <f t="shared" si="33"/>
        <v>5.19</v>
      </c>
      <c r="O54" s="15">
        <f>'Supply helium'!AM54</f>
        <v>76.05847970459351</v>
      </c>
      <c r="P54" s="15">
        <f t="shared" si="19"/>
        <v>29.819999999999993</v>
      </c>
      <c r="Q54" s="15">
        <f t="shared" si="9"/>
        <v>105.8784797045935</v>
      </c>
      <c r="R54" s="15">
        <f t="shared" si="20"/>
        <v>230.86035444396498</v>
      </c>
      <c r="S54" s="15">
        <f t="shared" si="21"/>
        <v>217.9702111307634</v>
      </c>
      <c r="U54" s="4">
        <f t="shared" si="22"/>
        <v>240.19634828883332</v>
      </c>
      <c r="W54" s="15">
        <f t="shared" si="42"/>
        <v>6.193228736581338</v>
      </c>
      <c r="Y54" s="3" t="e">
        <f t="shared" si="24"/>
        <v>#NUM!</v>
      </c>
      <c r="AB54" s="1">
        <f t="shared" si="10"/>
        <v>1.6476880634679714E-05</v>
      </c>
      <c r="AC54">
        <f t="shared" si="34"/>
        <v>26.62</v>
      </c>
      <c r="AD54">
        <f t="shared" si="35"/>
        <v>1</v>
      </c>
      <c r="AE54" s="8" t="e">
        <f t="shared" si="25"/>
        <v>#NUM!</v>
      </c>
      <c r="AF54" s="4" t="e">
        <f t="shared" si="26"/>
        <v>#NUM!</v>
      </c>
      <c r="AG54" s="5" t="e">
        <f t="shared" si="27"/>
        <v>#NUM!</v>
      </c>
      <c r="AH54" s="4">
        <f t="shared" si="36"/>
        <v>27000</v>
      </c>
      <c r="AI54" s="8" t="e">
        <f t="shared" si="37"/>
        <v>#NUM!</v>
      </c>
      <c r="AJ54" s="10" t="e">
        <f t="shared" si="38"/>
        <v>#NUM!</v>
      </c>
    </row>
    <row r="55" spans="1:36" ht="12.75">
      <c r="A55" s="108"/>
      <c r="C55">
        <f t="shared" si="39"/>
        <v>270</v>
      </c>
      <c r="D55" s="4">
        <f t="shared" si="28"/>
        <v>11070</v>
      </c>
      <c r="E55" s="15">
        <f t="shared" si="40"/>
        <v>2.2</v>
      </c>
      <c r="F55" s="15">
        <f t="shared" si="29"/>
        <v>594</v>
      </c>
      <c r="H55" s="15">
        <f t="shared" si="41"/>
        <v>0</v>
      </c>
      <c r="I55" s="15">
        <f t="shared" si="30"/>
        <v>0</v>
      </c>
      <c r="J55" s="15"/>
      <c r="K55" s="15">
        <f t="shared" si="31"/>
        <v>2.2</v>
      </c>
      <c r="L55" s="15">
        <f t="shared" si="32"/>
        <v>594</v>
      </c>
      <c r="N55">
        <f t="shared" si="33"/>
        <v>5.19</v>
      </c>
      <c r="O55" s="15">
        <f>'Supply helium'!AM55</f>
        <v>75.98058438930295</v>
      </c>
      <c r="P55" s="15">
        <f t="shared" si="19"/>
        <v>29.819999999999993</v>
      </c>
      <c r="Q55" s="15">
        <f t="shared" si="9"/>
        <v>105.80058438930294</v>
      </c>
      <c r="R55" s="15">
        <f t="shared" si="20"/>
        <v>218.4466999194872</v>
      </c>
      <c r="S55" s="15">
        <f t="shared" si="21"/>
        <v>207.91501558375887</v>
      </c>
      <c r="U55" s="4">
        <f t="shared" si="22"/>
        <v>264.9692632351587</v>
      </c>
      <c r="W55" s="15">
        <f t="shared" si="42"/>
        <v>6.193228736581338</v>
      </c>
      <c r="Y55" s="3" t="e">
        <f t="shared" si="24"/>
        <v>#NUM!</v>
      </c>
      <c r="AB55" s="1">
        <f t="shared" si="10"/>
        <v>1.5878958486672636E-05</v>
      </c>
      <c r="AC55">
        <f t="shared" si="34"/>
        <v>26.62</v>
      </c>
      <c r="AD55">
        <f t="shared" si="35"/>
        <v>1</v>
      </c>
      <c r="AE55" s="8" t="e">
        <f t="shared" si="25"/>
        <v>#NUM!</v>
      </c>
      <c r="AF55" s="4" t="e">
        <f t="shared" si="26"/>
        <v>#NUM!</v>
      </c>
      <c r="AG55" s="5" t="e">
        <f t="shared" si="27"/>
        <v>#NUM!</v>
      </c>
      <c r="AH55" s="4">
        <f t="shared" si="36"/>
        <v>27000</v>
      </c>
      <c r="AI55" s="8" t="e">
        <f t="shared" si="37"/>
        <v>#NUM!</v>
      </c>
      <c r="AJ55" s="10" t="e">
        <f t="shared" si="38"/>
        <v>#NUM!</v>
      </c>
    </row>
    <row r="56" spans="1:36" ht="12.75">
      <c r="A56" s="109"/>
      <c r="C56">
        <f t="shared" si="39"/>
        <v>270</v>
      </c>
      <c r="D56" s="4">
        <f t="shared" si="28"/>
        <v>11340</v>
      </c>
      <c r="E56" s="15">
        <f t="shared" si="40"/>
        <v>2.2</v>
      </c>
      <c r="F56" s="15">
        <f t="shared" si="29"/>
        <v>594</v>
      </c>
      <c r="H56" s="15">
        <f t="shared" si="41"/>
        <v>0</v>
      </c>
      <c r="I56" s="15">
        <f t="shared" si="30"/>
        <v>0</v>
      </c>
      <c r="J56" s="15"/>
      <c r="K56" s="15">
        <f t="shared" si="31"/>
        <v>2.2</v>
      </c>
      <c r="L56" s="15">
        <f t="shared" si="32"/>
        <v>594</v>
      </c>
      <c r="N56">
        <f t="shared" si="33"/>
        <v>5.19</v>
      </c>
      <c r="O56" s="15">
        <f>'Supply helium'!AM56</f>
        <v>75.85675822638528</v>
      </c>
      <c r="P56" s="15">
        <f t="shared" si="19"/>
        <v>29.819999999999993</v>
      </c>
      <c r="Q56" s="15">
        <f t="shared" si="9"/>
        <v>105.67675822638527</v>
      </c>
      <c r="R56" s="15">
        <f t="shared" si="20"/>
        <v>208.34695574789197</v>
      </c>
      <c r="S56" s="15">
        <f t="shared" si="21"/>
        <v>199.56866849028194</v>
      </c>
      <c r="U56" s="4">
        <f t="shared" si="22"/>
        <v>289.742178181484</v>
      </c>
      <c r="W56" s="15">
        <f t="shared" si="42"/>
        <v>6.193228736581338</v>
      </c>
      <c r="Y56" s="3" t="e">
        <f t="shared" si="24"/>
        <v>#NUM!</v>
      </c>
      <c r="AB56" s="1">
        <f t="shared" si="10"/>
        <v>1.5382651303106122E-05</v>
      </c>
      <c r="AC56">
        <f t="shared" si="34"/>
        <v>26.62</v>
      </c>
      <c r="AD56">
        <f t="shared" si="35"/>
        <v>1</v>
      </c>
      <c r="AE56" s="8" t="e">
        <f t="shared" si="25"/>
        <v>#NUM!</v>
      </c>
      <c r="AF56" s="4" t="e">
        <f t="shared" si="26"/>
        <v>#NUM!</v>
      </c>
      <c r="AG56" s="5" t="e">
        <f t="shared" si="27"/>
        <v>#NUM!</v>
      </c>
      <c r="AH56" s="4">
        <f t="shared" si="36"/>
        <v>27000</v>
      </c>
      <c r="AI56" s="8" t="e">
        <f t="shared" si="37"/>
        <v>#NUM!</v>
      </c>
      <c r="AJ56" s="10" t="e">
        <f t="shared" si="38"/>
        <v>#NUM!</v>
      </c>
    </row>
    <row r="57" spans="1:36" ht="12.75">
      <c r="A57" s="109"/>
      <c r="C57">
        <f t="shared" si="39"/>
        <v>270</v>
      </c>
      <c r="D57" s="4">
        <f t="shared" si="28"/>
        <v>11610</v>
      </c>
      <c r="E57" s="15">
        <f t="shared" si="40"/>
        <v>2.2</v>
      </c>
      <c r="F57" s="15">
        <f t="shared" si="29"/>
        <v>594</v>
      </c>
      <c r="H57" s="15">
        <f t="shared" si="41"/>
        <v>0</v>
      </c>
      <c r="I57" s="15">
        <f t="shared" si="30"/>
        <v>0</v>
      </c>
      <c r="J57" s="15"/>
      <c r="K57" s="15">
        <f t="shared" si="31"/>
        <v>2.2</v>
      </c>
      <c r="L57" s="15">
        <f t="shared" si="32"/>
        <v>594</v>
      </c>
      <c r="N57">
        <f t="shared" si="33"/>
        <v>5.19</v>
      </c>
      <c r="O57" s="15">
        <f>'Supply helium'!AM57</f>
        <v>75.55500197305903</v>
      </c>
      <c r="P57" s="15">
        <f t="shared" si="19"/>
        <v>29.819999999999993</v>
      </c>
      <c r="Q57" s="15">
        <f t="shared" si="9"/>
        <v>105.37500197305903</v>
      </c>
      <c r="R57" s="15">
        <f t="shared" si="20"/>
        <v>199.96367783193304</v>
      </c>
      <c r="S57" s="15">
        <f t="shared" si="21"/>
        <v>192.51336058758636</v>
      </c>
      <c r="U57" s="4">
        <f t="shared" si="22"/>
        <v>314.51509312780934</v>
      </c>
      <c r="W57" s="15">
        <f t="shared" si="42"/>
        <v>6.193228736581338</v>
      </c>
      <c r="Y57" s="3" t="e">
        <f t="shared" si="24"/>
        <v>#NUM!</v>
      </c>
      <c r="AB57" s="1">
        <f t="shared" si="10"/>
        <v>1.4963114473980234E-05</v>
      </c>
      <c r="AC57">
        <f t="shared" si="34"/>
        <v>26.62</v>
      </c>
      <c r="AD57">
        <f t="shared" si="35"/>
        <v>1</v>
      </c>
      <c r="AE57" s="8" t="e">
        <f t="shared" si="25"/>
        <v>#NUM!</v>
      </c>
      <c r="AF57" s="4" t="e">
        <f t="shared" si="26"/>
        <v>#NUM!</v>
      </c>
      <c r="AG57" s="5" t="e">
        <f t="shared" si="27"/>
        <v>#NUM!</v>
      </c>
      <c r="AH57" s="4">
        <f t="shared" si="36"/>
        <v>27000</v>
      </c>
      <c r="AI57" s="8" t="e">
        <f t="shared" si="37"/>
        <v>#NUM!</v>
      </c>
      <c r="AJ57" s="10" t="e">
        <f t="shared" si="38"/>
        <v>#NUM!</v>
      </c>
    </row>
    <row r="58" spans="1:36" ht="12.75">
      <c r="A58" s="109"/>
      <c r="C58">
        <f t="shared" si="39"/>
        <v>270</v>
      </c>
      <c r="D58" s="4">
        <f t="shared" si="28"/>
        <v>11880</v>
      </c>
      <c r="E58" s="15">
        <f t="shared" si="40"/>
        <v>2.2</v>
      </c>
      <c r="F58" s="15">
        <f t="shared" si="29"/>
        <v>594</v>
      </c>
      <c r="H58" s="15">
        <f t="shared" si="41"/>
        <v>0</v>
      </c>
      <c r="I58" s="15">
        <f t="shared" si="30"/>
        <v>0</v>
      </c>
      <c r="J58" s="15"/>
      <c r="K58" s="15">
        <f t="shared" si="31"/>
        <v>2.2</v>
      </c>
      <c r="L58" s="15">
        <f t="shared" si="32"/>
        <v>594</v>
      </c>
      <c r="N58">
        <f t="shared" si="33"/>
        <v>5.19</v>
      </c>
      <c r="O58" s="15">
        <f>'Supply helium'!AM58</f>
        <v>76.24562316672524</v>
      </c>
      <c r="P58" s="15">
        <f t="shared" si="19"/>
        <v>29.819999999999993</v>
      </c>
      <c r="Q58" s="15">
        <f t="shared" si="9"/>
        <v>106.06562316672523</v>
      </c>
      <c r="R58" s="15">
        <f t="shared" si="20"/>
        <v>192.87725685060454</v>
      </c>
      <c r="S58" s="15">
        <f t="shared" si="21"/>
        <v>186.53875632472565</v>
      </c>
      <c r="U58" s="4">
        <f t="shared" si="22"/>
        <v>339.28800807413467</v>
      </c>
      <c r="W58" s="15">
        <f t="shared" si="42"/>
        <v>6.193228736581338</v>
      </c>
      <c r="Y58" s="3" t="e">
        <f t="shared" si="24"/>
        <v>#NUM!</v>
      </c>
      <c r="AB58" s="1">
        <f t="shared" si="10"/>
        <v>1.4607840606093486E-05</v>
      </c>
      <c r="AC58">
        <f t="shared" si="34"/>
        <v>26.62</v>
      </c>
      <c r="AD58">
        <f t="shared" si="35"/>
        <v>1</v>
      </c>
      <c r="AE58" s="8" t="e">
        <f t="shared" si="25"/>
        <v>#NUM!</v>
      </c>
      <c r="AF58" s="4" t="e">
        <f t="shared" si="26"/>
        <v>#NUM!</v>
      </c>
      <c r="AG58" s="5" t="e">
        <f t="shared" si="27"/>
        <v>#NUM!</v>
      </c>
      <c r="AH58" s="4">
        <f t="shared" si="36"/>
        <v>27000</v>
      </c>
      <c r="AI58" s="8" t="e">
        <f t="shared" si="37"/>
        <v>#NUM!</v>
      </c>
      <c r="AJ58" s="10" t="e">
        <f t="shared" si="38"/>
        <v>#NUM!</v>
      </c>
    </row>
    <row r="59" spans="1:36" ht="12.75">
      <c r="A59" s="109"/>
      <c r="C59">
        <f t="shared" si="39"/>
        <v>270</v>
      </c>
      <c r="D59" s="4">
        <f t="shared" si="28"/>
        <v>12150</v>
      </c>
      <c r="E59" s="15">
        <f t="shared" si="40"/>
        <v>2.2</v>
      </c>
      <c r="F59" s="15">
        <f t="shared" si="29"/>
        <v>594</v>
      </c>
      <c r="H59" s="15">
        <f t="shared" si="41"/>
        <v>0</v>
      </c>
      <c r="I59" s="15">
        <f t="shared" si="30"/>
        <v>0</v>
      </c>
      <c r="J59" s="15"/>
      <c r="K59" s="15">
        <f t="shared" si="31"/>
        <v>2.2</v>
      </c>
      <c r="L59" s="15">
        <f t="shared" si="32"/>
        <v>594</v>
      </c>
      <c r="N59">
        <f t="shared" si="33"/>
        <v>5.19</v>
      </c>
      <c r="O59" s="15">
        <f>'Supply helium'!AM59</f>
        <v>76.40665696394194</v>
      </c>
      <c r="P59" s="15">
        <f t="shared" si="19"/>
        <v>29.819999999999993</v>
      </c>
      <c r="Q59" s="15">
        <f t="shared" si="9"/>
        <v>106.22665696394193</v>
      </c>
      <c r="R59" s="15">
        <f t="shared" si="20"/>
        <v>186.87608291549338</v>
      </c>
      <c r="S59" s="15">
        <f t="shared" si="21"/>
        <v>181.38820645516955</v>
      </c>
      <c r="U59" s="4">
        <f t="shared" si="22"/>
        <v>364.06092302046</v>
      </c>
      <c r="W59" s="15">
        <f t="shared" si="42"/>
        <v>6.193228736581338</v>
      </c>
      <c r="Y59" s="3" t="e">
        <f t="shared" si="24"/>
        <v>#NUM!</v>
      </c>
      <c r="AB59" s="1">
        <f t="shared" si="10"/>
        <v>1.4301568308650201E-05</v>
      </c>
      <c r="AC59">
        <f t="shared" si="34"/>
        <v>26.62</v>
      </c>
      <c r="AD59">
        <f t="shared" si="35"/>
        <v>1</v>
      </c>
      <c r="AE59" s="8" t="e">
        <f t="shared" si="25"/>
        <v>#NUM!</v>
      </c>
      <c r="AF59" s="4" t="e">
        <f t="shared" si="26"/>
        <v>#NUM!</v>
      </c>
      <c r="AG59" s="5" t="e">
        <f t="shared" si="27"/>
        <v>#NUM!</v>
      </c>
      <c r="AH59" s="4">
        <f t="shared" si="36"/>
        <v>27000</v>
      </c>
      <c r="AI59" s="8" t="e">
        <f t="shared" si="37"/>
        <v>#NUM!</v>
      </c>
      <c r="AJ59" s="10" t="e">
        <f t="shared" si="38"/>
        <v>#NUM!</v>
      </c>
    </row>
    <row r="60" spans="1:36" ht="12.75">
      <c r="A60" s="109"/>
      <c r="C60">
        <f t="shared" si="39"/>
        <v>270</v>
      </c>
      <c r="D60" s="4">
        <f t="shared" si="28"/>
        <v>12420</v>
      </c>
      <c r="E60" s="15">
        <f t="shared" si="40"/>
        <v>2.2</v>
      </c>
      <c r="F60" s="15">
        <f t="shared" si="29"/>
        <v>594</v>
      </c>
      <c r="H60" s="15">
        <f t="shared" si="41"/>
        <v>0</v>
      </c>
      <c r="I60" s="15">
        <f t="shared" si="30"/>
        <v>0</v>
      </c>
      <c r="J60" s="15"/>
      <c r="K60" s="15">
        <f t="shared" si="31"/>
        <v>2.2</v>
      </c>
      <c r="L60" s="15">
        <f t="shared" si="32"/>
        <v>594</v>
      </c>
      <c r="N60">
        <f t="shared" si="33"/>
        <v>5.19</v>
      </c>
      <c r="O60" s="15">
        <f>'Supply helium'!AM60</f>
        <v>76.49779986701219</v>
      </c>
      <c r="P60" s="15">
        <f t="shared" si="19"/>
        <v>29.819999999999993</v>
      </c>
      <c r="Q60" s="15">
        <f t="shared" si="9"/>
        <v>106.31779986701218</v>
      </c>
      <c r="R60" s="15">
        <f t="shared" si="20"/>
        <v>181.70257929722706</v>
      </c>
      <c r="S60" s="15">
        <f t="shared" si="21"/>
        <v>176.8997546798085</v>
      </c>
      <c r="U60" s="4">
        <f t="shared" si="22"/>
        <v>388.8338379667853</v>
      </c>
      <c r="W60" s="15">
        <f t="shared" si="42"/>
        <v>6.193228736581338</v>
      </c>
      <c r="Y60" s="3" t="e">
        <f t="shared" si="24"/>
        <v>#NUM!</v>
      </c>
      <c r="AB60" s="1">
        <f t="shared" si="10"/>
        <v>1.4034667012280132E-05</v>
      </c>
      <c r="AC60">
        <f t="shared" si="34"/>
        <v>26.62</v>
      </c>
      <c r="AD60">
        <f t="shared" si="35"/>
        <v>1</v>
      </c>
      <c r="AE60" s="8" t="e">
        <f t="shared" si="25"/>
        <v>#NUM!</v>
      </c>
      <c r="AF60" s="4" t="e">
        <f t="shared" si="26"/>
        <v>#NUM!</v>
      </c>
      <c r="AG60" s="5" t="e">
        <f t="shared" si="27"/>
        <v>#NUM!</v>
      </c>
      <c r="AH60" s="4">
        <f t="shared" si="36"/>
        <v>27000</v>
      </c>
      <c r="AI60" s="8" t="e">
        <f t="shared" si="37"/>
        <v>#NUM!</v>
      </c>
      <c r="AJ60" s="10" t="e">
        <f t="shared" si="38"/>
        <v>#NUM!</v>
      </c>
    </row>
    <row r="61" spans="1:36" ht="12.75">
      <c r="A61" s="109"/>
      <c r="C61">
        <f t="shared" si="39"/>
        <v>270</v>
      </c>
      <c r="D61" s="4">
        <f t="shared" si="28"/>
        <v>12690</v>
      </c>
      <c r="E61" s="15">
        <f t="shared" si="40"/>
        <v>2.2</v>
      </c>
      <c r="F61" s="15">
        <f t="shared" si="29"/>
        <v>594</v>
      </c>
      <c r="H61" s="15">
        <f t="shared" si="41"/>
        <v>0</v>
      </c>
      <c r="I61" s="15">
        <f t="shared" si="30"/>
        <v>0</v>
      </c>
      <c r="J61" s="15"/>
      <c r="K61" s="15">
        <f t="shared" si="31"/>
        <v>2.2</v>
      </c>
      <c r="L61" s="15">
        <f t="shared" si="32"/>
        <v>594</v>
      </c>
      <c r="N61">
        <f t="shared" si="33"/>
        <v>5.19</v>
      </c>
      <c r="O61" s="15">
        <f>'Supply helium'!AM61</f>
        <v>76.56135776410893</v>
      </c>
      <c r="P61" s="15">
        <f t="shared" si="19"/>
        <v>29.819999999999993</v>
      </c>
      <c r="Q61" s="15">
        <f t="shared" si="9"/>
        <v>106.38135776410893</v>
      </c>
      <c r="R61" s="15">
        <f t="shared" si="20"/>
        <v>177.1940985765498</v>
      </c>
      <c r="S61" s="15">
        <f t="shared" si="21"/>
        <v>172.95277999819646</v>
      </c>
      <c r="U61" s="4">
        <f t="shared" si="22"/>
        <v>413.60675291311065</v>
      </c>
      <c r="W61" s="15">
        <f t="shared" si="42"/>
        <v>6.193228736581338</v>
      </c>
      <c r="Y61" s="3" t="e">
        <f t="shared" si="24"/>
        <v>#NUM!</v>
      </c>
      <c r="AB61" s="1">
        <f t="shared" si="10"/>
        <v>1.3799964109812753E-05</v>
      </c>
      <c r="AC61">
        <f t="shared" si="34"/>
        <v>26.62</v>
      </c>
      <c r="AD61">
        <f t="shared" si="35"/>
        <v>1</v>
      </c>
      <c r="AE61" s="8" t="e">
        <f t="shared" si="25"/>
        <v>#NUM!</v>
      </c>
      <c r="AF61" s="4" t="e">
        <f t="shared" si="26"/>
        <v>#NUM!</v>
      </c>
      <c r="AG61" s="5" t="e">
        <f t="shared" si="27"/>
        <v>#NUM!</v>
      </c>
      <c r="AH61" s="4">
        <f t="shared" si="36"/>
        <v>27000</v>
      </c>
      <c r="AI61" s="8" t="e">
        <f t="shared" si="37"/>
        <v>#NUM!</v>
      </c>
      <c r="AJ61" s="10" t="e">
        <f t="shared" si="38"/>
        <v>#NUM!</v>
      </c>
    </row>
    <row r="62" spans="1:36" ht="12.75">
      <c r="A62" s="109"/>
      <c r="C62">
        <f t="shared" si="39"/>
        <v>270</v>
      </c>
      <c r="D62" s="4">
        <f t="shared" si="28"/>
        <v>12960</v>
      </c>
      <c r="E62" s="15">
        <f t="shared" si="40"/>
        <v>2.2</v>
      </c>
      <c r="F62" s="15">
        <f t="shared" si="29"/>
        <v>594</v>
      </c>
      <c r="H62" s="15">
        <f t="shared" si="41"/>
        <v>0</v>
      </c>
      <c r="I62" s="15">
        <f t="shared" si="30"/>
        <v>0</v>
      </c>
      <c r="J62" s="15"/>
      <c r="K62" s="15">
        <f t="shared" si="31"/>
        <v>2.2</v>
      </c>
      <c r="L62" s="15">
        <f t="shared" si="32"/>
        <v>594</v>
      </c>
      <c r="N62">
        <f t="shared" si="33"/>
        <v>5.19</v>
      </c>
      <c r="O62" s="15">
        <f>'Supply helium'!AM62</f>
        <v>76.61014874595215</v>
      </c>
      <c r="P62" s="15">
        <f t="shared" si="19"/>
        <v>29.819999999999993</v>
      </c>
      <c r="Q62" s="15">
        <f t="shared" si="9"/>
        <v>106.43014874595214</v>
      </c>
      <c r="R62" s="15">
        <f t="shared" si="20"/>
        <v>173.22949421102282</v>
      </c>
      <c r="S62" s="15">
        <f t="shared" si="21"/>
        <v>169.45465102142717</v>
      </c>
      <c r="U62" s="4">
        <f t="shared" si="22"/>
        <v>438.379667859436</v>
      </c>
      <c r="W62" s="15">
        <f t="shared" si="42"/>
        <v>6.193228736581338</v>
      </c>
      <c r="Y62" s="3" t="e">
        <f t="shared" si="24"/>
        <v>#NUM!</v>
      </c>
      <c r="AB62" s="1">
        <f t="shared" si="10"/>
        <v>1.3591951368338144E-05</v>
      </c>
      <c r="AC62">
        <f t="shared" si="34"/>
        <v>26.62</v>
      </c>
      <c r="AD62">
        <f t="shared" si="35"/>
        <v>1</v>
      </c>
      <c r="AE62" s="8" t="e">
        <f t="shared" si="25"/>
        <v>#NUM!</v>
      </c>
      <c r="AF62" s="4" t="e">
        <f t="shared" si="26"/>
        <v>#NUM!</v>
      </c>
      <c r="AG62" s="5" t="e">
        <f t="shared" si="27"/>
        <v>#NUM!</v>
      </c>
      <c r="AH62" s="4">
        <f t="shared" si="36"/>
        <v>27000</v>
      </c>
      <c r="AI62" s="8" t="e">
        <f t="shared" si="37"/>
        <v>#NUM!</v>
      </c>
      <c r="AJ62" s="10" t="e">
        <f t="shared" si="38"/>
        <v>#NUM!</v>
      </c>
    </row>
    <row r="63" spans="1:36" ht="12.75">
      <c r="A63" s="109"/>
      <c r="C63">
        <f t="shared" si="39"/>
        <v>270</v>
      </c>
      <c r="D63" s="4">
        <f t="shared" si="28"/>
        <v>13230</v>
      </c>
      <c r="E63" s="15">
        <f t="shared" si="40"/>
        <v>2.2</v>
      </c>
      <c r="F63" s="15">
        <f t="shared" si="29"/>
        <v>594</v>
      </c>
      <c r="H63" s="15">
        <f t="shared" si="41"/>
        <v>0</v>
      </c>
      <c r="I63" s="15">
        <f t="shared" si="30"/>
        <v>0</v>
      </c>
      <c r="J63" s="15"/>
      <c r="K63" s="15">
        <f t="shared" si="31"/>
        <v>2.2</v>
      </c>
      <c r="L63" s="15">
        <f t="shared" si="32"/>
        <v>594</v>
      </c>
      <c r="N63">
        <f t="shared" si="33"/>
        <v>5.19</v>
      </c>
      <c r="O63" s="15">
        <f>'Supply helium'!AM63</f>
        <v>76.64974095320024</v>
      </c>
      <c r="P63" s="15">
        <f t="shared" si="19"/>
        <v>29.819999999999993</v>
      </c>
      <c r="Q63" s="15">
        <f t="shared" si="9"/>
        <v>106.46974095320023</v>
      </c>
      <c r="R63" s="15">
        <f t="shared" si="20"/>
        <v>169.71572806364236</v>
      </c>
      <c r="S63" s="15">
        <f t="shared" si="21"/>
        <v>166.33285270560845</v>
      </c>
      <c r="U63" s="4">
        <f t="shared" si="22"/>
        <v>463.1525828057613</v>
      </c>
      <c r="W63" s="15">
        <f t="shared" si="42"/>
        <v>6.193228736581338</v>
      </c>
      <c r="Y63" s="3" t="e">
        <f t="shared" si="24"/>
        <v>#NUM!</v>
      </c>
      <c r="AB63" s="1">
        <f t="shared" si="10"/>
        <v>1.3406316753286301E-05</v>
      </c>
      <c r="AC63">
        <f t="shared" si="34"/>
        <v>26.62</v>
      </c>
      <c r="AD63">
        <f t="shared" si="35"/>
        <v>1</v>
      </c>
      <c r="AE63" s="8" t="e">
        <f t="shared" si="25"/>
        <v>#NUM!</v>
      </c>
      <c r="AF63" s="4" t="e">
        <f t="shared" si="26"/>
        <v>#NUM!</v>
      </c>
      <c r="AG63" s="5" t="e">
        <f t="shared" si="27"/>
        <v>#NUM!</v>
      </c>
      <c r="AH63" s="4">
        <f t="shared" si="36"/>
        <v>27000</v>
      </c>
      <c r="AI63" s="8" t="e">
        <f t="shared" si="37"/>
        <v>#NUM!</v>
      </c>
      <c r="AJ63" s="10" t="e">
        <f t="shared" si="38"/>
        <v>#NUM!</v>
      </c>
    </row>
    <row r="64" spans="1:36" ht="13.5" thickBot="1">
      <c r="A64" s="110"/>
      <c r="C64">
        <f t="shared" si="39"/>
        <v>270</v>
      </c>
      <c r="D64" s="4">
        <f t="shared" si="28"/>
        <v>13500</v>
      </c>
      <c r="E64" s="15">
        <f t="shared" si="40"/>
        <v>2.2</v>
      </c>
      <c r="F64" s="15">
        <f t="shared" si="29"/>
        <v>594</v>
      </c>
      <c r="H64" s="15">
        <f t="shared" si="41"/>
        <v>0</v>
      </c>
      <c r="I64" s="15">
        <f t="shared" si="30"/>
        <v>0</v>
      </c>
      <c r="J64" s="15"/>
      <c r="K64" s="15">
        <f t="shared" si="31"/>
        <v>2.2</v>
      </c>
      <c r="L64" s="15">
        <f t="shared" si="32"/>
        <v>594</v>
      </c>
      <c r="N64">
        <f t="shared" si="33"/>
        <v>5.19</v>
      </c>
      <c r="O64" s="15">
        <f>'Supply helium'!AM64</f>
        <v>76.68305274451684</v>
      </c>
      <c r="P64" s="15">
        <f t="shared" si="19"/>
        <v>29.819999999999993</v>
      </c>
      <c r="Q64" s="15">
        <f t="shared" si="9"/>
        <v>106.50305274451684</v>
      </c>
      <c r="R64" s="15">
        <f t="shared" si="20"/>
        <v>166.57996536631885</v>
      </c>
      <c r="S64" s="15">
        <f t="shared" si="21"/>
        <v>163.52974508991528</v>
      </c>
      <c r="U64" s="4">
        <f t="shared" si="22"/>
        <v>487.92549775208664</v>
      </c>
      <c r="W64" s="15">
        <f t="shared" si="42"/>
        <v>6.193228736581338</v>
      </c>
      <c r="Y64" s="3" t="e">
        <f t="shared" si="24"/>
        <v>#NUM!</v>
      </c>
      <c r="AB64" s="1">
        <f t="shared" si="10"/>
        <v>1.3239632762026722E-05</v>
      </c>
      <c r="AC64">
        <f t="shared" si="34"/>
        <v>26.62</v>
      </c>
      <c r="AD64">
        <f t="shared" si="35"/>
        <v>1</v>
      </c>
      <c r="AE64" s="8" t="e">
        <f t="shared" si="25"/>
        <v>#NUM!</v>
      </c>
      <c r="AF64" s="4" t="e">
        <f t="shared" si="26"/>
        <v>#NUM!</v>
      </c>
      <c r="AG64" s="5" t="e">
        <f t="shared" si="27"/>
        <v>#NUM!</v>
      </c>
      <c r="AH64" s="4">
        <f t="shared" si="36"/>
        <v>27000</v>
      </c>
      <c r="AI64" s="8" t="e">
        <f t="shared" si="37"/>
        <v>#NUM!</v>
      </c>
      <c r="AJ64" s="10" t="e">
        <f t="shared" si="38"/>
        <v>#NUM!</v>
      </c>
    </row>
    <row r="65" spans="1:36" ht="12.75">
      <c r="A65" s="108"/>
      <c r="C65">
        <f t="shared" si="39"/>
        <v>270</v>
      </c>
      <c r="D65" s="4">
        <f t="shared" si="28"/>
        <v>13770</v>
      </c>
      <c r="E65" s="15">
        <f t="shared" si="40"/>
        <v>2.2</v>
      </c>
      <c r="F65" s="15">
        <f t="shared" si="29"/>
        <v>594</v>
      </c>
      <c r="H65" s="15">
        <f t="shared" si="41"/>
        <v>0</v>
      </c>
      <c r="I65" s="15">
        <f t="shared" si="30"/>
        <v>0</v>
      </c>
      <c r="J65" s="15"/>
      <c r="K65" s="15">
        <f t="shared" si="31"/>
        <v>2.2</v>
      </c>
      <c r="L65" s="15">
        <f t="shared" si="32"/>
        <v>594</v>
      </c>
      <c r="N65">
        <f t="shared" si="33"/>
        <v>5.19</v>
      </c>
      <c r="O65" s="15">
        <f>'Supply helium'!AM65</f>
        <v>76.71180382204841</v>
      </c>
      <c r="P65" s="15">
        <f t="shared" si="19"/>
        <v>29.819999999999993</v>
      </c>
      <c r="Q65" s="15">
        <f t="shared" si="9"/>
        <v>106.5318038220484</v>
      </c>
      <c r="R65" s="15">
        <f t="shared" si="20"/>
        <v>163.76431136607692</v>
      </c>
      <c r="S65" s="15">
        <f t="shared" si="21"/>
        <v>160.99891165654606</v>
      </c>
      <c r="U65" s="4">
        <f t="shared" si="22"/>
        <v>512.698412698412</v>
      </c>
      <c r="W65" s="15">
        <f t="shared" si="42"/>
        <v>6.193228736581338</v>
      </c>
      <c r="Y65" s="3" t="e">
        <f t="shared" si="24"/>
        <v>#NUM!</v>
      </c>
      <c r="AB65" s="1">
        <f t="shared" si="10"/>
        <v>1.3089139282744854E-05</v>
      </c>
      <c r="AC65">
        <f t="shared" si="34"/>
        <v>26.62</v>
      </c>
      <c r="AD65">
        <f t="shared" si="35"/>
        <v>1</v>
      </c>
      <c r="AE65" s="8" t="e">
        <f t="shared" si="25"/>
        <v>#NUM!</v>
      </c>
      <c r="AF65" s="4" t="e">
        <f t="shared" si="26"/>
        <v>#NUM!</v>
      </c>
      <c r="AG65" s="5" t="e">
        <f t="shared" si="27"/>
        <v>#NUM!</v>
      </c>
      <c r="AH65" s="4">
        <f t="shared" si="36"/>
        <v>27000</v>
      </c>
      <c r="AI65" s="8" t="e">
        <f t="shared" si="37"/>
        <v>#NUM!</v>
      </c>
      <c r="AJ65" s="10" t="e">
        <f t="shared" si="38"/>
        <v>#NUM!</v>
      </c>
    </row>
    <row r="66" spans="1:36" ht="12.75">
      <c r="A66" s="109"/>
      <c r="C66">
        <f t="shared" si="39"/>
        <v>270</v>
      </c>
      <c r="D66" s="4">
        <f t="shared" si="28"/>
        <v>14040</v>
      </c>
      <c r="E66" s="15">
        <f t="shared" si="40"/>
        <v>2.2</v>
      </c>
      <c r="F66" s="15">
        <f t="shared" si="29"/>
        <v>594</v>
      </c>
      <c r="H66" s="15">
        <f t="shared" si="41"/>
        <v>0</v>
      </c>
      <c r="I66" s="15">
        <f t="shared" si="30"/>
        <v>0</v>
      </c>
      <c r="J66" s="15"/>
      <c r="K66" s="15">
        <f t="shared" si="31"/>
        <v>2.2</v>
      </c>
      <c r="L66" s="15">
        <f t="shared" si="32"/>
        <v>594</v>
      </c>
      <c r="N66">
        <f t="shared" si="33"/>
        <v>5.19</v>
      </c>
      <c r="O66" s="15">
        <f>'Supply helium'!AM66</f>
        <v>76.73709261380614</v>
      </c>
      <c r="P66" s="15">
        <f t="shared" si="19"/>
        <v>29.819999999999993</v>
      </c>
      <c r="Q66" s="15">
        <f t="shared" si="9"/>
        <v>106.55709261380613</v>
      </c>
      <c r="R66" s="15">
        <f t="shared" si="20"/>
        <v>161.22214399785494</v>
      </c>
      <c r="S66" s="15">
        <f t="shared" si="21"/>
        <v>158.7025441628128</v>
      </c>
      <c r="U66" s="4">
        <f t="shared" si="22"/>
        <v>537.4713276447374</v>
      </c>
      <c r="W66" s="15">
        <f t="shared" si="42"/>
        <v>6.193228736581338</v>
      </c>
      <c r="Y66" s="3" t="e">
        <f t="shared" si="24"/>
        <v>#NUM!</v>
      </c>
      <c r="AB66" s="1">
        <f t="shared" si="10"/>
        <v>1.29525880860975E-05</v>
      </c>
      <c r="AC66">
        <f t="shared" si="34"/>
        <v>26.62</v>
      </c>
      <c r="AD66">
        <f t="shared" si="35"/>
        <v>1</v>
      </c>
      <c r="AE66" s="8" t="e">
        <f t="shared" si="25"/>
        <v>#NUM!</v>
      </c>
      <c r="AF66" s="4" t="e">
        <f t="shared" si="26"/>
        <v>#NUM!</v>
      </c>
      <c r="AG66" s="5" t="e">
        <f t="shared" si="27"/>
        <v>#NUM!</v>
      </c>
      <c r="AH66" s="4">
        <f t="shared" si="36"/>
        <v>27000</v>
      </c>
      <c r="AI66" s="8" t="e">
        <f t="shared" si="37"/>
        <v>#NUM!</v>
      </c>
      <c r="AJ66" s="10" t="e">
        <f t="shared" si="38"/>
        <v>#NUM!</v>
      </c>
    </row>
    <row r="67" spans="1:36" ht="12.75">
      <c r="A67" s="109"/>
      <c r="C67">
        <f t="shared" si="39"/>
        <v>270</v>
      </c>
      <c r="D67" s="4">
        <f t="shared" si="28"/>
        <v>14310</v>
      </c>
      <c r="E67" s="15">
        <f t="shared" si="40"/>
        <v>2.2</v>
      </c>
      <c r="F67" s="15">
        <f t="shared" si="29"/>
        <v>594</v>
      </c>
      <c r="H67" s="15">
        <f t="shared" si="41"/>
        <v>0</v>
      </c>
      <c r="I67" s="15">
        <f t="shared" si="30"/>
        <v>0</v>
      </c>
      <c r="J67" s="15"/>
      <c r="K67" s="15">
        <f t="shared" si="31"/>
        <v>2.2</v>
      </c>
      <c r="L67" s="15">
        <f t="shared" si="32"/>
        <v>594</v>
      </c>
      <c r="N67">
        <f t="shared" si="33"/>
        <v>5.19</v>
      </c>
      <c r="O67" s="15">
        <f>'Supply helium'!AM67</f>
        <v>76.75966337133968</v>
      </c>
      <c r="P67" s="15">
        <f t="shared" si="19"/>
        <v>29.819999999999993</v>
      </c>
      <c r="Q67" s="15">
        <f t="shared" si="9"/>
        <v>106.57966337133968</v>
      </c>
      <c r="R67" s="15">
        <f t="shared" si="20"/>
        <v>158.9154873677156</v>
      </c>
      <c r="S67" s="15">
        <f t="shared" si="21"/>
        <v>156.60953059965124</v>
      </c>
      <c r="U67" s="4">
        <f t="shared" si="22"/>
        <v>562.2442425910627</v>
      </c>
      <c r="W67" s="15">
        <f t="shared" si="42"/>
        <v>6.193228736581338</v>
      </c>
      <c r="Y67" s="3" t="e">
        <f t="shared" si="24"/>
        <v>#NUM!</v>
      </c>
      <c r="AB67" s="1">
        <f t="shared" si="10"/>
        <v>1.282812912757766E-05</v>
      </c>
      <c r="AC67">
        <f t="shared" si="34"/>
        <v>26.62</v>
      </c>
      <c r="AD67">
        <f t="shared" si="35"/>
        <v>1</v>
      </c>
      <c r="AE67" s="8" t="e">
        <f t="shared" si="25"/>
        <v>#NUM!</v>
      </c>
      <c r="AF67" s="4" t="e">
        <f t="shared" si="26"/>
        <v>#NUM!</v>
      </c>
      <c r="AG67" s="5" t="e">
        <f t="shared" si="27"/>
        <v>#NUM!</v>
      </c>
      <c r="AH67" s="4">
        <f t="shared" si="36"/>
        <v>27000</v>
      </c>
      <c r="AI67" s="8" t="e">
        <f t="shared" si="37"/>
        <v>#NUM!</v>
      </c>
      <c r="AJ67" s="10" t="e">
        <f t="shared" si="38"/>
        <v>#NUM!</v>
      </c>
    </row>
    <row r="68" spans="1:36" ht="12.75">
      <c r="A68" s="109"/>
      <c r="C68">
        <f t="shared" si="39"/>
        <v>270</v>
      </c>
      <c r="D68" s="4">
        <f t="shared" si="28"/>
        <v>14580</v>
      </c>
      <c r="E68" s="15">
        <f t="shared" si="40"/>
        <v>2.2</v>
      </c>
      <c r="F68" s="15">
        <f t="shared" si="29"/>
        <v>594</v>
      </c>
      <c r="H68" s="15">
        <f t="shared" si="41"/>
        <v>0</v>
      </c>
      <c r="I68" s="15">
        <f t="shared" si="30"/>
        <v>0</v>
      </c>
      <c r="J68" s="15"/>
      <c r="K68" s="15">
        <f t="shared" si="31"/>
        <v>2.2</v>
      </c>
      <c r="L68" s="15">
        <f t="shared" si="32"/>
        <v>594</v>
      </c>
      <c r="N68">
        <f t="shared" si="33"/>
        <v>5.19</v>
      </c>
      <c r="O68" s="15">
        <f>'Supply helium'!AM68</f>
        <v>76.78004365961114</v>
      </c>
      <c r="P68" s="15">
        <f t="shared" si="19"/>
        <v>29.819999999999993</v>
      </c>
      <c r="Q68" s="15">
        <f t="shared" si="9"/>
        <v>106.60004365961113</v>
      </c>
      <c r="R68" s="15">
        <f t="shared" si="20"/>
        <v>156.81309136271852</v>
      </c>
      <c r="S68" s="15">
        <f t="shared" si="21"/>
        <v>154.69403309675016</v>
      </c>
      <c r="U68" s="4">
        <f t="shared" si="22"/>
        <v>587.0171575373881</v>
      </c>
      <c r="W68" s="15">
        <f t="shared" si="42"/>
        <v>6.193228736581338</v>
      </c>
      <c r="Y68" s="3" t="e">
        <f t="shared" si="24"/>
        <v>#NUM!</v>
      </c>
      <c r="AB68" s="1">
        <f t="shared" si="10"/>
        <v>1.271422598406515E-05</v>
      </c>
      <c r="AC68">
        <f t="shared" si="34"/>
        <v>26.62</v>
      </c>
      <c r="AD68">
        <f t="shared" si="35"/>
        <v>1</v>
      </c>
      <c r="AE68" s="8" t="e">
        <f t="shared" si="25"/>
        <v>#NUM!</v>
      </c>
      <c r="AF68" s="4" t="e">
        <f t="shared" si="26"/>
        <v>#NUM!</v>
      </c>
      <c r="AG68" s="5" t="e">
        <f t="shared" si="27"/>
        <v>#NUM!</v>
      </c>
      <c r="AH68" s="4">
        <f t="shared" si="36"/>
        <v>27000</v>
      </c>
      <c r="AI68" s="8" t="e">
        <f t="shared" si="37"/>
        <v>#NUM!</v>
      </c>
      <c r="AJ68" s="10" t="e">
        <f t="shared" si="38"/>
        <v>#NUM!</v>
      </c>
    </row>
    <row r="69" spans="1:36" ht="12.75">
      <c r="A69" s="109"/>
      <c r="C69">
        <f t="shared" si="39"/>
        <v>270</v>
      </c>
      <c r="D69" s="4">
        <f t="shared" si="28"/>
        <v>14850</v>
      </c>
      <c r="E69" s="15">
        <f t="shared" si="40"/>
        <v>2.2</v>
      </c>
      <c r="F69" s="15">
        <f t="shared" si="29"/>
        <v>594</v>
      </c>
      <c r="H69" s="15">
        <f t="shared" si="41"/>
        <v>0</v>
      </c>
      <c r="I69" s="15">
        <f t="shared" si="30"/>
        <v>0</v>
      </c>
      <c r="J69" s="15"/>
      <c r="K69" s="15">
        <f t="shared" si="31"/>
        <v>2.2</v>
      </c>
      <c r="L69" s="15">
        <f t="shared" si="32"/>
        <v>594</v>
      </c>
      <c r="N69">
        <f t="shared" si="33"/>
        <v>5.19</v>
      </c>
      <c r="O69" s="15">
        <f>'Supply helium'!AM69</f>
        <v>76.79862103256747</v>
      </c>
      <c r="P69" s="15">
        <f t="shared" si="19"/>
        <v>29.819999999999993</v>
      </c>
      <c r="Q69" s="15">
        <f t="shared" si="9"/>
        <v>106.61862103256746</v>
      </c>
      <c r="R69" s="15">
        <f t="shared" si="20"/>
        <v>154.88900332135512</v>
      </c>
      <c r="S69" s="15">
        <f t="shared" si="21"/>
        <v>152.9344144376027</v>
      </c>
      <c r="U69" s="4">
        <f t="shared" si="22"/>
        <v>611.7900724837135</v>
      </c>
      <c r="W69" s="15">
        <f t="shared" si="42"/>
        <v>6.193228736581338</v>
      </c>
      <c r="Y69" s="3" t="e">
        <f t="shared" si="24"/>
        <v>#NUM!</v>
      </c>
      <c r="AB69" s="1">
        <f t="shared" si="10"/>
        <v>1.2609592020117605E-05</v>
      </c>
      <c r="AC69">
        <f t="shared" si="34"/>
        <v>26.62</v>
      </c>
      <c r="AD69">
        <f t="shared" si="35"/>
        <v>1</v>
      </c>
      <c r="AE69" s="8" t="e">
        <f t="shared" si="25"/>
        <v>#NUM!</v>
      </c>
      <c r="AF69" s="4" t="e">
        <f t="shared" si="26"/>
        <v>#NUM!</v>
      </c>
      <c r="AG69" s="5" t="e">
        <f t="shared" si="27"/>
        <v>#NUM!</v>
      </c>
      <c r="AH69" s="4">
        <f t="shared" si="36"/>
        <v>27000</v>
      </c>
      <c r="AI69" s="8" t="e">
        <f t="shared" si="37"/>
        <v>#NUM!</v>
      </c>
      <c r="AJ69" s="10" t="e">
        <f t="shared" si="38"/>
        <v>#NUM!</v>
      </c>
    </row>
    <row r="70" spans="1:36" ht="12.75">
      <c r="A70" s="109"/>
      <c r="C70">
        <f t="shared" si="39"/>
        <v>270</v>
      </c>
      <c r="D70" s="4">
        <f t="shared" si="28"/>
        <v>15120</v>
      </c>
      <c r="E70" s="15">
        <f t="shared" si="40"/>
        <v>2.2</v>
      </c>
      <c r="F70" s="15">
        <f t="shared" si="29"/>
        <v>594</v>
      </c>
      <c r="H70" s="15">
        <f t="shared" si="41"/>
        <v>0</v>
      </c>
      <c r="I70" s="15">
        <f t="shared" si="30"/>
        <v>0</v>
      </c>
      <c r="J70" s="15"/>
      <c r="K70" s="15">
        <f t="shared" si="31"/>
        <v>2.2</v>
      </c>
      <c r="L70" s="15">
        <f t="shared" si="32"/>
        <v>594</v>
      </c>
      <c r="N70">
        <f t="shared" si="33"/>
        <v>5.19</v>
      </c>
      <c r="O70" s="15">
        <f>'Supply helium'!AM70</f>
        <v>76.81568855010156</v>
      </c>
      <c r="P70" s="15">
        <f t="shared" si="19"/>
        <v>29.819999999999993</v>
      </c>
      <c r="Q70" s="15">
        <f t="shared" si="9"/>
        <v>106.63568855010155</v>
      </c>
      <c r="R70" s="15">
        <f t="shared" si="20"/>
        <v>153.12148982865534</v>
      </c>
      <c r="S70" s="15">
        <f t="shared" si="21"/>
        <v>151.31241700471588</v>
      </c>
      <c r="U70" s="4">
        <f t="shared" si="22"/>
        <v>636.5629874300389</v>
      </c>
      <c r="W70" s="15">
        <f t="shared" si="42"/>
        <v>6.193228736581338</v>
      </c>
      <c r="Y70" s="3" t="e">
        <f t="shared" si="24"/>
        <v>#NUM!</v>
      </c>
      <c r="AB70" s="1">
        <f t="shared" si="10"/>
        <v>1.2513141564768424E-05</v>
      </c>
      <c r="AC70">
        <f t="shared" si="34"/>
        <v>26.62</v>
      </c>
      <c r="AD70">
        <f t="shared" si="35"/>
        <v>1</v>
      </c>
      <c r="AE70" s="8" t="e">
        <f t="shared" si="25"/>
        <v>#NUM!</v>
      </c>
      <c r="AF70" s="4" t="e">
        <f t="shared" si="26"/>
        <v>#NUM!</v>
      </c>
      <c r="AG70" s="5" t="e">
        <f t="shared" si="27"/>
        <v>#NUM!</v>
      </c>
      <c r="AH70" s="4">
        <f t="shared" si="36"/>
        <v>27000</v>
      </c>
      <c r="AI70" s="8" t="e">
        <f t="shared" si="37"/>
        <v>#NUM!</v>
      </c>
      <c r="AJ70" s="10" t="e">
        <f t="shared" si="38"/>
        <v>#NUM!</v>
      </c>
    </row>
    <row r="71" spans="1:36" ht="12.75">
      <c r="A71" s="109"/>
      <c r="C71">
        <f t="shared" si="39"/>
        <v>270</v>
      </c>
      <c r="D71" s="4">
        <f t="shared" si="28"/>
        <v>15390</v>
      </c>
      <c r="E71" s="15">
        <f t="shared" si="40"/>
        <v>2.2</v>
      </c>
      <c r="F71" s="15">
        <f t="shared" si="29"/>
        <v>594</v>
      </c>
      <c r="H71" s="15">
        <f t="shared" si="41"/>
        <v>0</v>
      </c>
      <c r="I71" s="15">
        <f t="shared" si="30"/>
        <v>0</v>
      </c>
      <c r="J71" s="15"/>
      <c r="K71" s="15">
        <f t="shared" si="31"/>
        <v>2.2</v>
      </c>
      <c r="L71" s="15">
        <f t="shared" si="32"/>
        <v>594</v>
      </c>
      <c r="N71">
        <f t="shared" si="33"/>
        <v>5.19</v>
      </c>
      <c r="O71" s="15">
        <f>'Supply helium'!AM71</f>
        <v>76.83147318861384</v>
      </c>
      <c r="P71" s="15">
        <f t="shared" si="19"/>
        <v>29.819999999999993</v>
      </c>
      <c r="Q71" s="15">
        <f t="shared" si="9"/>
        <v>106.65147318861383</v>
      </c>
      <c r="R71" s="15">
        <f t="shared" si="20"/>
        <v>151.4922120435605</v>
      </c>
      <c r="S71" s="15">
        <f t="shared" si="21"/>
        <v>149.81252732390075</v>
      </c>
      <c r="U71" s="4">
        <f t="shared" si="22"/>
        <v>661.3359023763643</v>
      </c>
      <c r="W71" s="15">
        <f t="shared" si="42"/>
        <v>6.193228736581338</v>
      </c>
      <c r="Y71" s="3" t="e">
        <f t="shared" si="24"/>
        <v>#NUM!</v>
      </c>
      <c r="AB71" s="1">
        <f t="shared" si="10"/>
        <v>1.2423952124788433E-05</v>
      </c>
      <c r="AC71">
        <f t="shared" si="34"/>
        <v>26.62</v>
      </c>
      <c r="AD71">
        <f t="shared" si="35"/>
        <v>1</v>
      </c>
      <c r="AE71" s="8" t="e">
        <f t="shared" si="25"/>
        <v>#NUM!</v>
      </c>
      <c r="AF71" s="4" t="e">
        <f t="shared" si="26"/>
        <v>#NUM!</v>
      </c>
      <c r="AG71" s="5" t="e">
        <f t="shared" si="27"/>
        <v>#NUM!</v>
      </c>
      <c r="AH71" s="4">
        <f t="shared" si="36"/>
        <v>27000</v>
      </c>
      <c r="AI71" s="8" t="e">
        <f t="shared" si="37"/>
        <v>#NUM!</v>
      </c>
      <c r="AJ71" s="10" t="e">
        <f t="shared" si="38"/>
        <v>#NUM!</v>
      </c>
    </row>
    <row r="72" spans="1:36" ht="12.75">
      <c r="A72" s="109"/>
      <c r="C72">
        <f t="shared" si="39"/>
        <v>270</v>
      </c>
      <c r="D72" s="4">
        <f t="shared" si="28"/>
        <v>15660</v>
      </c>
      <c r="E72" s="15">
        <f t="shared" si="40"/>
        <v>2.2</v>
      </c>
      <c r="F72" s="15">
        <f t="shared" si="29"/>
        <v>594</v>
      </c>
      <c r="H72" s="15">
        <f t="shared" si="41"/>
        <v>0</v>
      </c>
      <c r="I72" s="15">
        <f t="shared" si="30"/>
        <v>0</v>
      </c>
      <c r="J72" s="15"/>
      <c r="K72" s="15">
        <f t="shared" si="31"/>
        <v>2.2</v>
      </c>
      <c r="L72" s="15">
        <f t="shared" si="32"/>
        <v>594</v>
      </c>
      <c r="N72">
        <f t="shared" si="33"/>
        <v>5.19</v>
      </c>
      <c r="O72" s="15">
        <f>'Supply helium'!AM72</f>
        <v>76.84615432064047</v>
      </c>
      <c r="P72" s="15">
        <f t="shared" si="19"/>
        <v>29.819999999999993</v>
      </c>
      <c r="Q72" s="15">
        <f t="shared" si="9"/>
        <v>106.66615432064046</v>
      </c>
      <c r="R72" s="15">
        <f t="shared" si="20"/>
        <v>149.98558743849725</v>
      </c>
      <c r="S72" s="15">
        <f t="shared" si="21"/>
        <v>148.42147893987845</v>
      </c>
      <c r="U72" s="4">
        <f t="shared" si="22"/>
        <v>686.1088173226897</v>
      </c>
      <c r="W72" s="15">
        <f t="shared" si="42"/>
        <v>6.193228736581338</v>
      </c>
      <c r="Y72" s="3" t="e">
        <f t="shared" si="24"/>
        <v>#NUM!</v>
      </c>
      <c r="AB72" s="1">
        <f t="shared" si="10"/>
        <v>1.2341234823680931E-05</v>
      </c>
      <c r="AC72">
        <f t="shared" si="34"/>
        <v>26.62</v>
      </c>
      <c r="AD72">
        <f t="shared" si="35"/>
        <v>1</v>
      </c>
      <c r="AE72" s="8" t="e">
        <f t="shared" si="25"/>
        <v>#NUM!</v>
      </c>
      <c r="AF72" s="4" t="e">
        <f t="shared" si="26"/>
        <v>#NUM!</v>
      </c>
      <c r="AG72" s="5" t="e">
        <f t="shared" si="27"/>
        <v>#NUM!</v>
      </c>
      <c r="AH72" s="4">
        <f t="shared" si="36"/>
        <v>27000</v>
      </c>
      <c r="AI72" s="8" t="e">
        <f t="shared" si="37"/>
        <v>#NUM!</v>
      </c>
      <c r="AJ72" s="10" t="e">
        <f t="shared" si="38"/>
        <v>#NUM!</v>
      </c>
    </row>
    <row r="73" spans="1:36" ht="12.75">
      <c r="A73" s="109"/>
      <c r="C73">
        <f t="shared" si="39"/>
        <v>270</v>
      </c>
      <c r="D73" s="4">
        <f t="shared" si="28"/>
        <v>15930</v>
      </c>
      <c r="E73" s="15">
        <f t="shared" si="40"/>
        <v>2.2</v>
      </c>
      <c r="F73" s="15">
        <f t="shared" si="29"/>
        <v>594</v>
      </c>
      <c r="H73" s="15">
        <f t="shared" si="41"/>
        <v>0</v>
      </c>
      <c r="I73" s="15">
        <f t="shared" si="30"/>
        <v>0</v>
      </c>
      <c r="J73" s="15"/>
      <c r="K73" s="15">
        <f t="shared" si="31"/>
        <v>2.2</v>
      </c>
      <c r="L73" s="15">
        <f t="shared" si="32"/>
        <v>594</v>
      </c>
      <c r="N73">
        <f t="shared" si="33"/>
        <v>5.19</v>
      </c>
      <c r="O73" s="15">
        <f>'Supply helium'!AM73</f>
        <v>76.85987615699486</v>
      </c>
      <c r="P73" s="15">
        <f t="shared" si="19"/>
        <v>29.819999999999993</v>
      </c>
      <c r="Q73" s="15">
        <f t="shared" si="9"/>
        <v>106.67987615699485</v>
      </c>
      <c r="R73" s="15">
        <f t="shared" si="20"/>
        <v>148.58829047787708</v>
      </c>
      <c r="S73" s="15">
        <f t="shared" si="21"/>
        <v>147.12785966867224</v>
      </c>
      <c r="U73" s="4">
        <f t="shared" si="22"/>
        <v>710.8817322690151</v>
      </c>
      <c r="W73" s="15">
        <f t="shared" si="42"/>
        <v>6.193228736581338</v>
      </c>
      <c r="Y73" s="3" t="e">
        <f t="shared" si="24"/>
        <v>#NUM!</v>
      </c>
      <c r="AB73" s="1">
        <f t="shared" si="10"/>
        <v>1.2264311047337926E-05</v>
      </c>
      <c r="AC73">
        <f t="shared" si="34"/>
        <v>26.62</v>
      </c>
      <c r="AD73">
        <f t="shared" si="35"/>
        <v>1</v>
      </c>
      <c r="AE73" s="8" t="e">
        <f t="shared" si="25"/>
        <v>#NUM!</v>
      </c>
      <c r="AF73" s="4" t="e">
        <f t="shared" si="26"/>
        <v>#NUM!</v>
      </c>
      <c r="AG73" s="5" t="e">
        <f t="shared" si="27"/>
        <v>#NUM!</v>
      </c>
      <c r="AH73" s="4">
        <f t="shared" si="36"/>
        <v>27000</v>
      </c>
      <c r="AI73" s="8" t="e">
        <f t="shared" si="37"/>
        <v>#NUM!</v>
      </c>
      <c r="AJ73" s="10" t="e">
        <f t="shared" si="38"/>
        <v>#NUM!</v>
      </c>
    </row>
    <row r="74" spans="1:36" ht="13.5" thickBot="1">
      <c r="A74" s="110"/>
      <c r="C74">
        <f t="shared" si="39"/>
        <v>270</v>
      </c>
      <c r="D74" s="4">
        <f t="shared" si="28"/>
        <v>16200</v>
      </c>
      <c r="E74" s="15">
        <f t="shared" si="40"/>
        <v>2.2</v>
      </c>
      <c r="F74" s="15">
        <f t="shared" si="29"/>
        <v>594</v>
      </c>
      <c r="H74" s="15">
        <f t="shared" si="41"/>
        <v>0</v>
      </c>
      <c r="I74" s="15">
        <f t="shared" si="30"/>
        <v>0</v>
      </c>
      <c r="J74" s="15"/>
      <c r="K74" s="15">
        <f t="shared" si="31"/>
        <v>2.2</v>
      </c>
      <c r="L74" s="15">
        <f t="shared" si="32"/>
        <v>594</v>
      </c>
      <c r="N74">
        <f t="shared" si="33"/>
        <v>5.19</v>
      </c>
      <c r="O74" s="15">
        <f>'Supply helium'!AM74</f>
        <v>76.87275637325529</v>
      </c>
      <c r="P74" s="15">
        <f t="shared" si="19"/>
        <v>29.819999999999993</v>
      </c>
      <c r="Q74" s="15">
        <f t="shared" si="9"/>
        <v>106.69275637325528</v>
      </c>
      <c r="R74" s="15">
        <f t="shared" si="20"/>
        <v>147.2888581327722</v>
      </c>
      <c r="S74" s="15">
        <f t="shared" si="21"/>
        <v>145.92179849432952</v>
      </c>
      <c r="U74" s="4">
        <f t="shared" si="22"/>
        <v>735.6546472153404</v>
      </c>
      <c r="W74" s="15">
        <f t="shared" si="42"/>
        <v>6.193228736581338</v>
      </c>
      <c r="Y74" s="3" t="e">
        <f t="shared" si="24"/>
        <v>#NUM!</v>
      </c>
      <c r="AB74" s="1">
        <f t="shared" si="10"/>
        <v>1.2192593825666809E-05</v>
      </c>
      <c r="AC74">
        <f t="shared" si="34"/>
        <v>26.62</v>
      </c>
      <c r="AD74">
        <f t="shared" si="35"/>
        <v>1</v>
      </c>
      <c r="AE74" s="8" t="e">
        <f t="shared" si="25"/>
        <v>#NUM!</v>
      </c>
      <c r="AF74" s="4" t="e">
        <f t="shared" si="26"/>
        <v>#NUM!</v>
      </c>
      <c r="AG74" s="5" t="e">
        <f t="shared" si="27"/>
        <v>#NUM!</v>
      </c>
      <c r="AH74" s="4">
        <f t="shared" si="36"/>
        <v>27000</v>
      </c>
      <c r="AI74" s="8" t="e">
        <f t="shared" si="37"/>
        <v>#NUM!</v>
      </c>
      <c r="AJ74" s="10" t="e">
        <f t="shared" si="38"/>
        <v>#NUM!</v>
      </c>
    </row>
    <row r="75" spans="1:36" ht="12.75">
      <c r="A75" s="108"/>
      <c r="C75">
        <f t="shared" si="39"/>
        <v>270</v>
      </c>
      <c r="D75" s="4">
        <f t="shared" si="28"/>
        <v>16470</v>
      </c>
      <c r="E75" s="15">
        <f t="shared" si="40"/>
        <v>2.2</v>
      </c>
      <c r="F75" s="15">
        <f t="shared" si="29"/>
        <v>594</v>
      </c>
      <c r="H75" s="15">
        <f t="shared" si="41"/>
        <v>0</v>
      </c>
      <c r="I75" s="15">
        <f t="shared" si="30"/>
        <v>0</v>
      </c>
      <c r="K75" s="15">
        <f t="shared" si="31"/>
        <v>2.2</v>
      </c>
      <c r="L75" s="15">
        <f t="shared" si="32"/>
        <v>594</v>
      </c>
      <c r="N75">
        <f t="shared" si="33"/>
        <v>5.19</v>
      </c>
      <c r="O75" s="15">
        <f>'Supply helium'!AM75</f>
        <v>76.88489224363477</v>
      </c>
      <c r="P75" s="15">
        <f t="shared" si="19"/>
        <v>29.819999999999993</v>
      </c>
      <c r="Q75" s="15">
        <f t="shared" si="9"/>
        <v>106.70489224363476</v>
      </c>
      <c r="R75" s="15">
        <f t="shared" si="20"/>
        <v>146.07737539102317</v>
      </c>
      <c r="S75" s="15">
        <f t="shared" si="21"/>
        <v>144.7947138664156</v>
      </c>
      <c r="U75" s="4">
        <f t="shared" si="22"/>
        <v>760.4275621616658</v>
      </c>
      <c r="W75" s="15">
        <f t="shared" si="42"/>
        <v>6.193228736581338</v>
      </c>
      <c r="Y75" s="3" t="e">
        <f t="shared" si="24"/>
        <v>#NUM!</v>
      </c>
      <c r="AB75" s="1">
        <f t="shared" si="10"/>
        <v>1.2125572865352538E-05</v>
      </c>
      <c r="AC75">
        <f t="shared" si="34"/>
        <v>26.62</v>
      </c>
      <c r="AD75">
        <f t="shared" si="35"/>
        <v>1</v>
      </c>
      <c r="AE75" s="8" t="e">
        <f t="shared" si="25"/>
        <v>#NUM!</v>
      </c>
      <c r="AF75" s="4" t="e">
        <f t="shared" si="26"/>
        <v>#NUM!</v>
      </c>
      <c r="AG75" s="5" t="e">
        <f t="shared" si="27"/>
        <v>#NUM!</v>
      </c>
      <c r="AH75" s="4">
        <f t="shared" si="36"/>
        <v>27000</v>
      </c>
      <c r="AI75" s="8" t="e">
        <f t="shared" si="37"/>
        <v>#NUM!</v>
      </c>
      <c r="AJ75" s="10" t="e">
        <f t="shared" si="38"/>
        <v>#NUM!</v>
      </c>
    </row>
    <row r="76" spans="1:36" ht="12.75">
      <c r="A76" s="109"/>
      <c r="C76">
        <f t="shared" si="39"/>
        <v>270</v>
      </c>
      <c r="D76" s="4">
        <f t="shared" si="28"/>
        <v>16740</v>
      </c>
      <c r="E76" s="15">
        <f t="shared" si="40"/>
        <v>2.2</v>
      </c>
      <c r="F76" s="15">
        <f t="shared" si="29"/>
        <v>594</v>
      </c>
      <c r="H76" s="15">
        <f t="shared" si="41"/>
        <v>0</v>
      </c>
      <c r="I76" s="15">
        <f t="shared" si="30"/>
        <v>0</v>
      </c>
      <c r="K76" s="15">
        <f t="shared" si="31"/>
        <v>2.2</v>
      </c>
      <c r="L76" s="15">
        <f t="shared" si="32"/>
        <v>594</v>
      </c>
      <c r="N76">
        <f t="shared" si="33"/>
        <v>5.19</v>
      </c>
      <c r="O76" s="15">
        <f>'Supply helium'!AM76</f>
        <v>76.89636509930341</v>
      </c>
      <c r="P76" s="15">
        <f t="shared" si="19"/>
        <v>29.819999999999993</v>
      </c>
      <c r="Q76" s="15">
        <f t="shared" si="9"/>
        <v>106.7163650993034</v>
      </c>
      <c r="R76" s="15">
        <f t="shared" si="20"/>
        <v>144.94522243915418</v>
      </c>
      <c r="S76" s="15">
        <f t="shared" si="21"/>
        <v>143.73910978514328</v>
      </c>
      <c r="U76" s="4">
        <f t="shared" si="22"/>
        <v>785.2004771079912</v>
      </c>
      <c r="W76" s="15">
        <f t="shared" si="42"/>
        <v>6.193228736581338</v>
      </c>
      <c r="Y76" s="3" t="e">
        <f t="shared" si="24"/>
        <v>#NUM!</v>
      </c>
      <c r="AB76" s="1">
        <f t="shared" si="10"/>
        <v>1.206280242426376E-05</v>
      </c>
      <c r="AC76">
        <f t="shared" si="34"/>
        <v>26.62</v>
      </c>
      <c r="AD76">
        <f t="shared" si="35"/>
        <v>1</v>
      </c>
      <c r="AE76" s="8" t="e">
        <f t="shared" si="25"/>
        <v>#NUM!</v>
      </c>
      <c r="AF76" s="4" t="e">
        <f t="shared" si="26"/>
        <v>#NUM!</v>
      </c>
      <c r="AG76" s="5" t="e">
        <f t="shared" si="27"/>
        <v>#NUM!</v>
      </c>
      <c r="AH76" s="4">
        <f t="shared" si="36"/>
        <v>27000</v>
      </c>
      <c r="AI76" s="8" t="e">
        <f t="shared" si="37"/>
        <v>#NUM!</v>
      </c>
      <c r="AJ76" s="10" t="e">
        <f t="shared" si="38"/>
        <v>#NUM!</v>
      </c>
    </row>
    <row r="77" spans="1:36" ht="12.75">
      <c r="A77" s="109"/>
      <c r="C77">
        <f t="shared" si="39"/>
        <v>270</v>
      </c>
      <c r="D77" s="4">
        <f t="shared" si="28"/>
        <v>17010</v>
      </c>
      <c r="E77" s="15">
        <f t="shared" si="40"/>
        <v>2.2</v>
      </c>
      <c r="F77" s="15">
        <f t="shared" si="29"/>
        <v>594</v>
      </c>
      <c r="H77" s="15">
        <f t="shared" si="41"/>
        <v>0</v>
      </c>
      <c r="I77" s="15">
        <f t="shared" si="30"/>
        <v>0</v>
      </c>
      <c r="K77" s="15">
        <f t="shared" si="31"/>
        <v>2.2</v>
      </c>
      <c r="L77" s="15">
        <f t="shared" si="32"/>
        <v>594</v>
      </c>
      <c r="N77">
        <f t="shared" si="33"/>
        <v>5.19</v>
      </c>
      <c r="O77" s="15">
        <f>'Supply helium'!AM77</f>
        <v>76.9072436319486</v>
      </c>
      <c r="P77" s="15">
        <f t="shared" si="19"/>
        <v>29.819999999999993</v>
      </c>
      <c r="Q77" s="15">
        <f t="shared" si="9"/>
        <v>106.7272436319486</v>
      </c>
      <c r="R77" s="15">
        <f t="shared" si="20"/>
        <v>143.88486984310143</v>
      </c>
      <c r="S77" s="15">
        <f t="shared" si="21"/>
        <v>142.74840940777577</v>
      </c>
      <c r="U77" s="4">
        <f t="shared" si="22"/>
        <v>809.9733920543166</v>
      </c>
      <c r="W77" s="15">
        <f t="shared" si="42"/>
        <v>6.193228736581338</v>
      </c>
      <c r="Y77" s="3" t="e">
        <f t="shared" si="24"/>
        <v>#NUM!</v>
      </c>
      <c r="AB77" s="1">
        <f t="shared" si="10"/>
        <v>1.2003891417023977E-05</v>
      </c>
      <c r="AC77">
        <f t="shared" si="34"/>
        <v>26.62</v>
      </c>
      <c r="AD77">
        <f t="shared" si="35"/>
        <v>1</v>
      </c>
      <c r="AE77" s="8" t="e">
        <f t="shared" si="25"/>
        <v>#NUM!</v>
      </c>
      <c r="AF77" s="4" t="e">
        <f t="shared" si="26"/>
        <v>#NUM!</v>
      </c>
      <c r="AG77" s="5" t="e">
        <f t="shared" si="27"/>
        <v>#NUM!</v>
      </c>
      <c r="AH77" s="4">
        <f t="shared" si="36"/>
        <v>27000</v>
      </c>
      <c r="AI77" s="8" t="e">
        <f t="shared" si="37"/>
        <v>#NUM!</v>
      </c>
      <c r="AJ77" s="10" t="e">
        <f t="shared" si="38"/>
        <v>#NUM!</v>
      </c>
    </row>
    <row r="78" spans="1:36" ht="12.75">
      <c r="A78" s="109"/>
      <c r="C78">
        <f t="shared" si="39"/>
        <v>270</v>
      </c>
      <c r="D78" s="4">
        <f t="shared" si="28"/>
        <v>17280</v>
      </c>
      <c r="E78" s="15">
        <f t="shared" si="40"/>
        <v>2.2</v>
      </c>
      <c r="F78" s="15">
        <f t="shared" si="29"/>
        <v>594</v>
      </c>
      <c r="H78" s="15">
        <f t="shared" si="41"/>
        <v>0</v>
      </c>
      <c r="I78" s="15">
        <f t="shared" si="30"/>
        <v>0</v>
      </c>
      <c r="K78" s="15">
        <f t="shared" si="31"/>
        <v>2.2</v>
      </c>
      <c r="L78" s="15">
        <f t="shared" si="32"/>
        <v>594</v>
      </c>
      <c r="N78">
        <f t="shared" si="33"/>
        <v>5.19</v>
      </c>
      <c r="O78" s="15">
        <f>'Supply helium'!AM78</f>
        <v>76.91758638381377</v>
      </c>
      <c r="P78" s="15">
        <f t="shared" si="19"/>
        <v>29.819999999999993</v>
      </c>
      <c r="Q78" s="15">
        <f t="shared" si="9"/>
        <v>106.73758638381376</v>
      </c>
      <c r="R78" s="15">
        <f t="shared" si="20"/>
        <v>142.88971141618094</v>
      </c>
      <c r="S78" s="15">
        <f t="shared" si="21"/>
        <v>141.81681835748176</v>
      </c>
      <c r="U78" s="4">
        <f t="shared" si="22"/>
        <v>834.746307000642</v>
      </c>
      <c r="W78" s="15">
        <f t="shared" si="42"/>
        <v>6.193228736581338</v>
      </c>
      <c r="Y78" s="3" t="e">
        <f t="shared" si="24"/>
        <v>#NUM!</v>
      </c>
      <c r="AB78" s="1">
        <f t="shared" si="10"/>
        <v>1.1948495286809295E-05</v>
      </c>
      <c r="AC78">
        <f t="shared" si="34"/>
        <v>26.62</v>
      </c>
      <c r="AD78">
        <f t="shared" si="35"/>
        <v>1</v>
      </c>
      <c r="AE78" s="8" t="e">
        <f aca="true" t="shared" si="43" ref="AE78:AE88">4*U78/(Y78*3.14159*AC78^2*AD78)</f>
        <v>#NUM!</v>
      </c>
      <c r="AF78" s="4" t="e">
        <f aca="true" t="shared" si="44" ref="AF78:AF88">Y78*AE78*AC78/AB78/10</f>
        <v>#NUM!</v>
      </c>
      <c r="AG78" s="5" t="e">
        <f aca="true" t="shared" si="45" ref="AG78:AG88">4*(0.0791/AF78^0.25)</f>
        <v>#NUM!</v>
      </c>
      <c r="AH78" s="4">
        <f t="shared" si="36"/>
        <v>27000</v>
      </c>
      <c r="AI78" s="8" t="e">
        <f t="shared" si="37"/>
        <v>#NUM!</v>
      </c>
      <c r="AJ78" s="10" t="e">
        <f t="shared" si="38"/>
        <v>#NUM!</v>
      </c>
    </row>
    <row r="79" spans="1:36" ht="12.75">
      <c r="A79" s="109"/>
      <c r="C79">
        <f t="shared" si="39"/>
        <v>270</v>
      </c>
      <c r="D79" s="4">
        <f aca="true" t="shared" si="46" ref="D79:D88">D78+C79</f>
        <v>17550</v>
      </c>
      <c r="E79" s="15">
        <f t="shared" si="40"/>
        <v>2.2</v>
      </c>
      <c r="F79" s="15">
        <f aca="true" t="shared" si="47" ref="F79:F88">E79*C79</f>
        <v>594</v>
      </c>
      <c r="H79" s="15">
        <f t="shared" si="41"/>
        <v>0</v>
      </c>
      <c r="I79" s="15">
        <f aca="true" t="shared" si="48" ref="I79:I88">H79*C79</f>
        <v>0</v>
      </c>
      <c r="K79" s="15">
        <f aca="true" t="shared" si="49" ref="K79:K88">H79+E79</f>
        <v>2.2</v>
      </c>
      <c r="L79" s="15">
        <f aca="true" t="shared" si="50" ref="L79:L88">K79*C79</f>
        <v>594</v>
      </c>
      <c r="N79">
        <f aca="true" t="shared" si="51" ref="N79:N88">N78</f>
        <v>5.19</v>
      </c>
      <c r="O79" s="15">
        <f>'Supply helium'!AM79</f>
        <v>76.92744365333273</v>
      </c>
      <c r="P79" s="15">
        <f t="shared" si="19"/>
        <v>29.819999999999993</v>
      </c>
      <c r="Q79" s="15">
        <f aca="true" t="shared" si="52" ref="Q79:Q88">O79+P79</f>
        <v>106.74744365333272</v>
      </c>
      <c r="R79" s="15">
        <f t="shared" si="20"/>
        <v>141.95392692099642</v>
      </c>
      <c r="S79" s="15">
        <f t="shared" si="21"/>
        <v>140.9392117252461</v>
      </c>
      <c r="U79" s="4">
        <f t="shared" si="22"/>
        <v>859.5192219469674</v>
      </c>
      <c r="W79" s="15">
        <f t="shared" si="42"/>
        <v>6.193228736581338</v>
      </c>
      <c r="Y79" s="3" t="e">
        <f t="shared" si="24"/>
        <v>#NUM!</v>
      </c>
      <c r="AB79" s="1">
        <f aca="true" t="shared" si="53" ref="AB79:AB88">(3.5155+0.059464*S79)*10^-6</f>
        <v>1.1896309286030034E-05</v>
      </c>
      <c r="AC79">
        <f aca="true" t="shared" si="54" ref="AC79:AC88">AC78</f>
        <v>26.62</v>
      </c>
      <c r="AD79">
        <f aca="true" t="shared" si="55" ref="AD79:AD88">AD78</f>
        <v>1</v>
      </c>
      <c r="AE79" s="8" t="e">
        <f t="shared" si="43"/>
        <v>#NUM!</v>
      </c>
      <c r="AF79" s="4" t="e">
        <f t="shared" si="44"/>
        <v>#NUM!</v>
      </c>
      <c r="AG79" s="5" t="e">
        <f t="shared" si="45"/>
        <v>#NUM!</v>
      </c>
      <c r="AH79" s="4">
        <f aca="true" t="shared" si="56" ref="AH79:AH88">100*(D79-D78)</f>
        <v>27000</v>
      </c>
      <c r="AI79" s="8" t="e">
        <f aca="true" t="shared" si="57" ref="AI79:AI88">AG79*AH79/(AC79)*(Y79*AE79^2/2)*0.1</f>
        <v>#NUM!</v>
      </c>
      <c r="AJ79" s="10" t="e">
        <f aca="true" t="shared" si="58" ref="AJ79:AJ88">AJ78-AI79/100000</f>
        <v>#NUM!</v>
      </c>
    </row>
    <row r="80" spans="1:37" ht="12.75">
      <c r="A80" s="109"/>
      <c r="C80">
        <f aca="true" t="shared" si="59" ref="C80:C88">C79</f>
        <v>270</v>
      </c>
      <c r="D80" s="4">
        <f t="shared" si="46"/>
        <v>17820</v>
      </c>
      <c r="E80" s="15">
        <f aca="true" t="shared" si="60" ref="E80:E88">E79</f>
        <v>2.2</v>
      </c>
      <c r="F80" s="15">
        <f t="shared" si="47"/>
        <v>594</v>
      </c>
      <c r="H80" s="15">
        <f aca="true" t="shared" si="61" ref="H80:H88">H79</f>
        <v>0</v>
      </c>
      <c r="I80" s="15">
        <f t="shared" si="48"/>
        <v>0</v>
      </c>
      <c r="K80" s="15">
        <f t="shared" si="49"/>
        <v>2.2</v>
      </c>
      <c r="L80" s="15">
        <f t="shared" si="50"/>
        <v>594</v>
      </c>
      <c r="N80">
        <f t="shared" si="51"/>
        <v>5.19</v>
      </c>
      <c r="O80" s="15">
        <f>'Supply helium'!AM80</f>
        <v>76.93685897356985</v>
      </c>
      <c r="P80" s="15">
        <f aca="true" t="shared" si="62" ref="P80:P88">P79</f>
        <v>29.819999999999993</v>
      </c>
      <c r="Q80" s="15">
        <f t="shared" si="52"/>
        <v>106.75685897356985</v>
      </c>
      <c r="R80" s="15">
        <f aca="true" t="shared" si="63" ref="R80:R88">S79+L80/(U79*N79)</f>
        <v>141.0723685693627</v>
      </c>
      <c r="S80" s="15">
        <f aca="true" t="shared" si="64" ref="S80:S88">(4*W79*Q80+U79*R80)/U80</f>
        <v>140.11104010664116</v>
      </c>
      <c r="U80" s="4">
        <f aca="true" t="shared" si="65" ref="U80:U88">U79+4*W79</f>
        <v>884.2921368932928</v>
      </c>
      <c r="W80" s="15">
        <f aca="true" t="shared" si="66" ref="W80:W86">W79</f>
        <v>6.193228736581338</v>
      </c>
      <c r="Y80" s="3" t="e">
        <f aca="true" t="shared" si="67" ref="Y80:Y88">0.00096*(100/S79)*(AJ79/2)</f>
        <v>#NUM!</v>
      </c>
      <c r="AB80" s="1">
        <f t="shared" si="53"/>
        <v>1.1847062888901308E-05</v>
      </c>
      <c r="AC80">
        <f t="shared" si="54"/>
        <v>26.62</v>
      </c>
      <c r="AD80">
        <f t="shared" si="55"/>
        <v>1</v>
      </c>
      <c r="AE80" s="8" t="e">
        <f t="shared" si="43"/>
        <v>#NUM!</v>
      </c>
      <c r="AF80" s="4" t="e">
        <f t="shared" si="44"/>
        <v>#NUM!</v>
      </c>
      <c r="AG80" s="5" t="e">
        <f t="shared" si="45"/>
        <v>#NUM!</v>
      </c>
      <c r="AH80" s="4">
        <f t="shared" si="56"/>
        <v>27000</v>
      </c>
      <c r="AI80" s="8" t="e">
        <f t="shared" si="57"/>
        <v>#NUM!</v>
      </c>
      <c r="AJ80" s="10" t="e">
        <f t="shared" si="58"/>
        <v>#NUM!</v>
      </c>
      <c r="AK80" s="24"/>
    </row>
    <row r="81" spans="1:36" ht="12.75">
      <c r="A81" s="109"/>
      <c r="C81">
        <f t="shared" si="59"/>
        <v>270</v>
      </c>
      <c r="D81" s="4">
        <f t="shared" si="46"/>
        <v>18090</v>
      </c>
      <c r="E81" s="15">
        <f t="shared" si="60"/>
        <v>2.2</v>
      </c>
      <c r="F81" s="15">
        <f t="shared" si="47"/>
        <v>594</v>
      </c>
      <c r="H81" s="15">
        <f t="shared" si="61"/>
        <v>0</v>
      </c>
      <c r="I81" s="15">
        <f t="shared" si="48"/>
        <v>0</v>
      </c>
      <c r="K81" s="15">
        <f t="shared" si="49"/>
        <v>2.2</v>
      </c>
      <c r="L81" s="15">
        <f t="shared" si="50"/>
        <v>594</v>
      </c>
      <c r="N81">
        <f t="shared" si="51"/>
        <v>5.19</v>
      </c>
      <c r="O81" s="15">
        <f>'Supply helium'!AM81</f>
        <v>76.94587027345383</v>
      </c>
      <c r="P81" s="15">
        <f t="shared" si="62"/>
        <v>29.819999999999993</v>
      </c>
      <c r="Q81" s="15">
        <f t="shared" si="52"/>
        <v>106.76587027345383</v>
      </c>
      <c r="R81" s="15">
        <f t="shared" si="63"/>
        <v>140.2404666414672</v>
      </c>
      <c r="S81" s="15">
        <f t="shared" si="64"/>
        <v>139.32825103378408</v>
      </c>
      <c r="U81" s="4">
        <f t="shared" si="65"/>
        <v>909.0650518396181</v>
      </c>
      <c r="W81" s="15">
        <f t="shared" si="66"/>
        <v>6.193228736581338</v>
      </c>
      <c r="Y81" s="3" t="e">
        <f t="shared" si="67"/>
        <v>#NUM!</v>
      </c>
      <c r="AB81" s="1">
        <f t="shared" si="53"/>
        <v>1.1800515119472936E-05</v>
      </c>
      <c r="AC81">
        <f t="shared" si="54"/>
        <v>26.62</v>
      </c>
      <c r="AD81">
        <f t="shared" si="55"/>
        <v>1</v>
      </c>
      <c r="AE81" s="8" t="e">
        <f t="shared" si="43"/>
        <v>#NUM!</v>
      </c>
      <c r="AF81" s="4" t="e">
        <f t="shared" si="44"/>
        <v>#NUM!</v>
      </c>
      <c r="AG81" s="5" t="e">
        <f t="shared" si="45"/>
        <v>#NUM!</v>
      </c>
      <c r="AH81" s="4">
        <f t="shared" si="56"/>
        <v>27000</v>
      </c>
      <c r="AI81" s="8" t="e">
        <f t="shared" si="57"/>
        <v>#NUM!</v>
      </c>
      <c r="AJ81" s="10" t="e">
        <f t="shared" si="58"/>
        <v>#NUM!</v>
      </c>
    </row>
    <row r="82" spans="1:36" ht="12.75">
      <c r="A82" s="109"/>
      <c r="C82">
        <f t="shared" si="59"/>
        <v>270</v>
      </c>
      <c r="D82" s="4">
        <f t="shared" si="46"/>
        <v>18360</v>
      </c>
      <c r="E82" s="15">
        <f t="shared" si="60"/>
        <v>2.2</v>
      </c>
      <c r="F82" s="15">
        <f t="shared" si="47"/>
        <v>594</v>
      </c>
      <c r="H82" s="15">
        <f t="shared" si="61"/>
        <v>0</v>
      </c>
      <c r="I82" s="15">
        <f t="shared" si="48"/>
        <v>0</v>
      </c>
      <c r="K82" s="15">
        <f t="shared" si="49"/>
        <v>2.2</v>
      </c>
      <c r="L82" s="15">
        <f t="shared" si="50"/>
        <v>594</v>
      </c>
      <c r="N82">
        <f t="shared" si="51"/>
        <v>5.19</v>
      </c>
      <c r="O82" s="15">
        <f>'Supply helium'!AM82</f>
        <v>76.9545108001145</v>
      </c>
      <c r="P82" s="15">
        <f t="shared" si="62"/>
        <v>29.819999999999993</v>
      </c>
      <c r="Q82" s="15">
        <f t="shared" si="52"/>
        <v>106.7745108001145</v>
      </c>
      <c r="R82" s="15">
        <f t="shared" si="63"/>
        <v>139.45415056849882</v>
      </c>
      <c r="S82" s="15">
        <f t="shared" si="64"/>
        <v>138.58722293731125</v>
      </c>
      <c r="U82" s="4">
        <f t="shared" si="65"/>
        <v>933.8379667859435</v>
      </c>
      <c r="W82" s="15">
        <f t="shared" si="66"/>
        <v>6.193228736581338</v>
      </c>
      <c r="Y82" s="3" t="e">
        <f t="shared" si="67"/>
        <v>#NUM!</v>
      </c>
      <c r="AB82" s="1">
        <f t="shared" si="53"/>
        <v>1.1756450624744276E-05</v>
      </c>
      <c r="AC82">
        <f t="shared" si="54"/>
        <v>26.62</v>
      </c>
      <c r="AD82">
        <f t="shared" si="55"/>
        <v>1</v>
      </c>
      <c r="AE82" s="8" t="e">
        <f t="shared" si="43"/>
        <v>#NUM!</v>
      </c>
      <c r="AF82" s="4" t="e">
        <f t="shared" si="44"/>
        <v>#NUM!</v>
      </c>
      <c r="AG82" s="5" t="e">
        <f t="shared" si="45"/>
        <v>#NUM!</v>
      </c>
      <c r="AH82" s="4">
        <f t="shared" si="56"/>
        <v>27000</v>
      </c>
      <c r="AI82" s="8" t="e">
        <f t="shared" si="57"/>
        <v>#NUM!</v>
      </c>
      <c r="AJ82" s="10" t="e">
        <f t="shared" si="58"/>
        <v>#NUM!</v>
      </c>
    </row>
    <row r="83" spans="1:36" ht="12.75">
      <c r="A83" s="109"/>
      <c r="C83">
        <f t="shared" si="59"/>
        <v>270</v>
      </c>
      <c r="D83" s="4">
        <f t="shared" si="46"/>
        <v>18630</v>
      </c>
      <c r="E83" s="15">
        <f t="shared" si="60"/>
        <v>2.2</v>
      </c>
      <c r="F83" s="15">
        <f t="shared" si="47"/>
        <v>594</v>
      </c>
      <c r="H83" s="15">
        <f t="shared" si="61"/>
        <v>0</v>
      </c>
      <c r="I83" s="15">
        <f t="shared" si="48"/>
        <v>0</v>
      </c>
      <c r="K83" s="15">
        <f t="shared" si="49"/>
        <v>2.2</v>
      </c>
      <c r="L83" s="15">
        <f t="shared" si="50"/>
        <v>594</v>
      </c>
      <c r="N83">
        <f t="shared" si="51"/>
        <v>5.19</v>
      </c>
      <c r="O83" s="15">
        <f>'Supply helium'!AM83</f>
        <v>76.96280985896902</v>
      </c>
      <c r="P83" s="15">
        <f t="shared" si="62"/>
        <v>29.819999999999993</v>
      </c>
      <c r="Q83" s="15">
        <f t="shared" si="52"/>
        <v>106.78280985896902</v>
      </c>
      <c r="R83" s="15">
        <f t="shared" si="63"/>
        <v>138.7097826008961</v>
      </c>
      <c r="S83" s="15">
        <f t="shared" si="64"/>
        <v>137.8847093670098</v>
      </c>
      <c r="U83" s="4">
        <f t="shared" si="65"/>
        <v>958.6108817322689</v>
      </c>
      <c r="W83" s="15">
        <f t="shared" si="66"/>
        <v>6.193228736581338</v>
      </c>
      <c r="Y83" s="3" t="e">
        <f t="shared" si="67"/>
        <v>#NUM!</v>
      </c>
      <c r="AB83" s="1">
        <f t="shared" si="53"/>
        <v>1.171467635779987E-05</v>
      </c>
      <c r="AC83">
        <f t="shared" si="54"/>
        <v>26.62</v>
      </c>
      <c r="AD83">
        <f t="shared" si="55"/>
        <v>1</v>
      </c>
      <c r="AE83" s="8" t="e">
        <f t="shared" si="43"/>
        <v>#NUM!</v>
      </c>
      <c r="AF83" s="4" t="e">
        <f t="shared" si="44"/>
        <v>#NUM!</v>
      </c>
      <c r="AG83" s="5" t="e">
        <f t="shared" si="45"/>
        <v>#NUM!</v>
      </c>
      <c r="AH83" s="4">
        <f t="shared" si="56"/>
        <v>27000</v>
      </c>
      <c r="AI83" s="8" t="e">
        <f t="shared" si="57"/>
        <v>#NUM!</v>
      </c>
      <c r="AJ83" s="10" t="e">
        <f t="shared" si="58"/>
        <v>#NUM!</v>
      </c>
    </row>
    <row r="84" spans="1:36" ht="13.5" thickBot="1">
      <c r="A84" s="110"/>
      <c r="C84">
        <f t="shared" si="59"/>
        <v>270</v>
      </c>
      <c r="D84" s="4">
        <f t="shared" si="46"/>
        <v>18900</v>
      </c>
      <c r="E84" s="15">
        <f t="shared" si="60"/>
        <v>2.2</v>
      </c>
      <c r="F84" s="15">
        <f t="shared" si="47"/>
        <v>594</v>
      </c>
      <c r="H84" s="15">
        <f t="shared" si="61"/>
        <v>0</v>
      </c>
      <c r="I84" s="15">
        <f t="shared" si="48"/>
        <v>0</v>
      </c>
      <c r="K84" s="15">
        <f t="shared" si="49"/>
        <v>2.2</v>
      </c>
      <c r="L84" s="15">
        <f t="shared" si="50"/>
        <v>594</v>
      </c>
      <c r="N84">
        <f t="shared" si="51"/>
        <v>5.19</v>
      </c>
      <c r="O84" s="15">
        <f>'Supply helium'!AM84</f>
        <v>76.97079341312906</v>
      </c>
      <c r="P84" s="15">
        <f t="shared" si="62"/>
        <v>29.819999999999993</v>
      </c>
      <c r="Q84" s="15">
        <f t="shared" si="52"/>
        <v>106.79079341312905</v>
      </c>
      <c r="R84" s="15">
        <f t="shared" si="63"/>
        <v>138.0041017807963</v>
      </c>
      <c r="S84" s="15">
        <f t="shared" si="64"/>
        <v>137.21779165854568</v>
      </c>
      <c r="U84" s="4">
        <f t="shared" si="65"/>
        <v>983.3837966785943</v>
      </c>
      <c r="W84" s="15">
        <f t="shared" si="66"/>
        <v>6.193228736581338</v>
      </c>
      <c r="Y84" s="3" t="e">
        <f t="shared" si="67"/>
        <v>#NUM!</v>
      </c>
      <c r="AB84" s="1">
        <f t="shared" si="53"/>
        <v>1.1675018763183758E-05</v>
      </c>
      <c r="AC84">
        <f t="shared" si="54"/>
        <v>26.62</v>
      </c>
      <c r="AD84">
        <f t="shared" si="55"/>
        <v>1</v>
      </c>
      <c r="AE84" s="8" t="e">
        <f t="shared" si="43"/>
        <v>#NUM!</v>
      </c>
      <c r="AF84" s="4" t="e">
        <f t="shared" si="44"/>
        <v>#NUM!</v>
      </c>
      <c r="AG84" s="5" t="e">
        <f t="shared" si="45"/>
        <v>#NUM!</v>
      </c>
      <c r="AH84" s="4">
        <f t="shared" si="56"/>
        <v>27000</v>
      </c>
      <c r="AI84" s="8" t="e">
        <f t="shared" si="57"/>
        <v>#NUM!</v>
      </c>
      <c r="AJ84" s="10" t="e">
        <f t="shared" si="58"/>
        <v>#NUM!</v>
      </c>
    </row>
    <row r="85" spans="1:36" ht="12.75">
      <c r="A85" s="41"/>
      <c r="C85">
        <f t="shared" si="59"/>
        <v>270</v>
      </c>
      <c r="D85" s="4">
        <f t="shared" si="46"/>
        <v>19170</v>
      </c>
      <c r="E85" s="15">
        <f t="shared" si="60"/>
        <v>2.2</v>
      </c>
      <c r="F85" s="15">
        <f t="shared" si="47"/>
        <v>594</v>
      </c>
      <c r="H85" s="15">
        <f t="shared" si="61"/>
        <v>0</v>
      </c>
      <c r="I85" s="15">
        <f t="shared" si="48"/>
        <v>0</v>
      </c>
      <c r="K85" s="15">
        <f t="shared" si="49"/>
        <v>2.2</v>
      </c>
      <c r="L85" s="15">
        <f t="shared" si="50"/>
        <v>594</v>
      </c>
      <c r="N85">
        <f t="shared" si="51"/>
        <v>5.19</v>
      </c>
      <c r="O85" s="15">
        <f>'Supply helium'!AM85</f>
        <v>76.97848457304279</v>
      </c>
      <c r="P85" s="15">
        <f t="shared" si="62"/>
        <v>29.819999999999993</v>
      </c>
      <c r="Q85" s="15">
        <f t="shared" si="52"/>
        <v>106.79848457304278</v>
      </c>
      <c r="R85" s="15">
        <f t="shared" si="63"/>
        <v>137.33417639809355</v>
      </c>
      <c r="S85" s="15">
        <f t="shared" si="64"/>
        <v>136.58383859079973</v>
      </c>
      <c r="U85" s="4">
        <f t="shared" si="65"/>
        <v>1008.1567116249197</v>
      </c>
      <c r="W85" s="15">
        <f t="shared" si="66"/>
        <v>6.193228736581338</v>
      </c>
      <c r="Y85" s="3" t="e">
        <f t="shared" si="67"/>
        <v>#NUM!</v>
      </c>
      <c r="AB85" s="1">
        <f t="shared" si="53"/>
        <v>1.1637321377963315E-05</v>
      </c>
      <c r="AC85">
        <f t="shared" si="54"/>
        <v>26.62</v>
      </c>
      <c r="AD85">
        <f t="shared" si="55"/>
        <v>1</v>
      </c>
      <c r="AE85" s="8" t="e">
        <f t="shared" si="43"/>
        <v>#NUM!</v>
      </c>
      <c r="AF85" s="4" t="e">
        <f t="shared" si="44"/>
        <v>#NUM!</v>
      </c>
      <c r="AG85" s="5" t="e">
        <f t="shared" si="45"/>
        <v>#NUM!</v>
      </c>
      <c r="AH85" s="4">
        <f t="shared" si="56"/>
        <v>27000</v>
      </c>
      <c r="AI85" s="8" t="e">
        <f t="shared" si="57"/>
        <v>#NUM!</v>
      </c>
      <c r="AJ85" s="10" t="e">
        <f t="shared" si="58"/>
        <v>#NUM!</v>
      </c>
    </row>
    <row r="86" spans="1:36" ht="12.75">
      <c r="A86" s="42"/>
      <c r="C86">
        <f t="shared" si="59"/>
        <v>270</v>
      </c>
      <c r="D86" s="4">
        <f t="shared" si="46"/>
        <v>19440</v>
      </c>
      <c r="E86" s="15">
        <f t="shared" si="60"/>
        <v>2.2</v>
      </c>
      <c r="F86" s="15">
        <f t="shared" si="47"/>
        <v>594</v>
      </c>
      <c r="H86" s="15">
        <f t="shared" si="61"/>
        <v>0</v>
      </c>
      <c r="I86" s="15">
        <f t="shared" si="48"/>
        <v>0</v>
      </c>
      <c r="K86" s="15">
        <f t="shared" si="49"/>
        <v>2.2</v>
      </c>
      <c r="L86" s="15">
        <f t="shared" si="50"/>
        <v>594</v>
      </c>
      <c r="N86">
        <f t="shared" si="51"/>
        <v>5.19</v>
      </c>
      <c r="O86" s="15">
        <f>'Supply helium'!AM86</f>
        <v>76.98590399964019</v>
      </c>
      <c r="P86" s="15">
        <f t="shared" si="62"/>
        <v>29.819999999999993</v>
      </c>
      <c r="Q86" s="15">
        <f t="shared" si="52"/>
        <v>106.80590399964018</v>
      </c>
      <c r="R86" s="15">
        <f t="shared" si="63"/>
        <v>136.69736346816484</v>
      </c>
      <c r="S86" s="15">
        <f t="shared" si="64"/>
        <v>135.98047185813974</v>
      </c>
      <c r="U86" s="4">
        <f t="shared" si="65"/>
        <v>1032.929626571245</v>
      </c>
      <c r="W86" s="15">
        <f t="shared" si="66"/>
        <v>6.193228736581338</v>
      </c>
      <c r="Y86" s="3" t="e">
        <f t="shared" si="67"/>
        <v>#NUM!</v>
      </c>
      <c r="AB86" s="1">
        <f t="shared" si="53"/>
        <v>1.1601442778572421E-05</v>
      </c>
      <c r="AC86">
        <f t="shared" si="54"/>
        <v>26.62</v>
      </c>
      <c r="AD86">
        <f t="shared" si="55"/>
        <v>1</v>
      </c>
      <c r="AE86" s="8" t="e">
        <f t="shared" si="43"/>
        <v>#NUM!</v>
      </c>
      <c r="AF86" s="4" t="e">
        <f t="shared" si="44"/>
        <v>#NUM!</v>
      </c>
      <c r="AG86" s="5" t="e">
        <f t="shared" si="45"/>
        <v>#NUM!</v>
      </c>
      <c r="AH86" s="4">
        <f t="shared" si="56"/>
        <v>27000</v>
      </c>
      <c r="AI86" s="8" t="e">
        <f t="shared" si="57"/>
        <v>#NUM!</v>
      </c>
      <c r="AJ86" s="10" t="e">
        <f t="shared" si="58"/>
        <v>#NUM!</v>
      </c>
    </row>
    <row r="87" spans="1:36" ht="12.75">
      <c r="A87" s="42"/>
      <c r="C87">
        <f t="shared" si="59"/>
        <v>270</v>
      </c>
      <c r="D87" s="4">
        <f t="shared" si="46"/>
        <v>19710</v>
      </c>
      <c r="E87" s="15">
        <f t="shared" si="60"/>
        <v>2.2</v>
      </c>
      <c r="F87" s="15">
        <f t="shared" si="47"/>
        <v>594</v>
      </c>
      <c r="H87" s="15">
        <f t="shared" si="61"/>
        <v>0</v>
      </c>
      <c r="I87" s="15">
        <f t="shared" si="48"/>
        <v>0</v>
      </c>
      <c r="K87" s="15">
        <f t="shared" si="49"/>
        <v>2.2</v>
      </c>
      <c r="L87" s="15">
        <f t="shared" si="50"/>
        <v>594</v>
      </c>
      <c r="N87">
        <f t="shared" si="51"/>
        <v>5.19</v>
      </c>
      <c r="O87" s="15">
        <f>'Supply helium'!AM87</f>
        <v>76.99307023869177</v>
      </c>
      <c r="P87" s="15">
        <f t="shared" si="62"/>
        <v>29.819999999999993</v>
      </c>
      <c r="Q87" s="15">
        <f t="shared" si="52"/>
        <v>106.81307023869176</v>
      </c>
      <c r="R87" s="15">
        <f t="shared" si="63"/>
        <v>136.09127405037808</v>
      </c>
      <c r="S87" s="15">
        <f t="shared" si="64"/>
        <v>135.40553640265776</v>
      </c>
      <c r="U87" s="4">
        <f t="shared" si="65"/>
        <v>1057.7025415175704</v>
      </c>
      <c r="W87" s="15">
        <f>W86</f>
        <v>6.193228736581338</v>
      </c>
      <c r="Y87" s="3" t="e">
        <f t="shared" si="67"/>
        <v>#NUM!</v>
      </c>
      <c r="AB87" s="1">
        <f t="shared" si="53"/>
        <v>1.156725481664764E-05</v>
      </c>
      <c r="AC87">
        <f t="shared" si="54"/>
        <v>26.62</v>
      </c>
      <c r="AD87">
        <f t="shared" si="55"/>
        <v>1</v>
      </c>
      <c r="AE87" s="8" t="e">
        <f t="shared" si="43"/>
        <v>#NUM!</v>
      </c>
      <c r="AF87" s="4" t="e">
        <f t="shared" si="44"/>
        <v>#NUM!</v>
      </c>
      <c r="AG87" s="5" t="e">
        <f t="shared" si="45"/>
        <v>#NUM!</v>
      </c>
      <c r="AH87" s="4">
        <f t="shared" si="56"/>
        <v>27000</v>
      </c>
      <c r="AI87" s="8" t="e">
        <f t="shared" si="57"/>
        <v>#NUM!</v>
      </c>
      <c r="AJ87" s="10" t="e">
        <f t="shared" si="58"/>
        <v>#NUM!</v>
      </c>
    </row>
    <row r="88" spans="1:36" ht="13.5" thickBot="1">
      <c r="A88" s="42"/>
      <c r="C88">
        <f t="shared" si="59"/>
        <v>270</v>
      </c>
      <c r="D88" s="4">
        <f t="shared" si="46"/>
        <v>19980</v>
      </c>
      <c r="E88" s="15">
        <f t="shared" si="60"/>
        <v>2.2</v>
      </c>
      <c r="F88" s="15">
        <f t="shared" si="47"/>
        <v>594</v>
      </c>
      <c r="H88" s="15">
        <f t="shared" si="61"/>
        <v>0</v>
      </c>
      <c r="I88" s="15">
        <f t="shared" si="48"/>
        <v>0</v>
      </c>
      <c r="K88" s="15">
        <f t="shared" si="49"/>
        <v>2.2</v>
      </c>
      <c r="L88" s="15">
        <f t="shared" si="50"/>
        <v>594</v>
      </c>
      <c r="N88">
        <f t="shared" si="51"/>
        <v>5.19</v>
      </c>
      <c r="O88" s="15">
        <f>'Supply helium'!AM88</f>
        <v>77</v>
      </c>
      <c r="P88" s="15">
        <f t="shared" si="62"/>
        <v>29.819999999999993</v>
      </c>
      <c r="Q88" s="15">
        <f t="shared" si="52"/>
        <v>106.82</v>
      </c>
      <c r="R88" s="15">
        <f t="shared" si="63"/>
        <v>135.51374344817341</v>
      </c>
      <c r="S88" s="15">
        <f t="shared" si="64"/>
        <v>134.85707482655374</v>
      </c>
      <c r="U88" s="4">
        <f t="shared" si="65"/>
        <v>1082.4754564638956</v>
      </c>
      <c r="W88" s="15">
        <f>W87</f>
        <v>6.193228736581338</v>
      </c>
      <c r="Y88" s="3" t="e">
        <f t="shared" si="67"/>
        <v>#NUM!</v>
      </c>
      <c r="AB88" s="1">
        <f t="shared" si="53"/>
        <v>1.1534641097486191E-05</v>
      </c>
      <c r="AC88">
        <f t="shared" si="54"/>
        <v>26.62</v>
      </c>
      <c r="AD88">
        <f t="shared" si="55"/>
        <v>1</v>
      </c>
      <c r="AE88" s="8" t="e">
        <f t="shared" si="43"/>
        <v>#NUM!</v>
      </c>
      <c r="AF88" s="4" t="e">
        <f t="shared" si="44"/>
        <v>#NUM!</v>
      </c>
      <c r="AG88" s="5" t="e">
        <f t="shared" si="45"/>
        <v>#NUM!</v>
      </c>
      <c r="AH88" s="4">
        <f t="shared" si="56"/>
        <v>27000</v>
      </c>
      <c r="AI88" s="8" t="e">
        <f t="shared" si="57"/>
        <v>#NUM!</v>
      </c>
      <c r="AJ88" s="10" t="e">
        <f t="shared" si="58"/>
        <v>#NUM!</v>
      </c>
    </row>
    <row r="89" ht="13.5" thickBot="1">
      <c r="A89" s="20" t="s">
        <v>151</v>
      </c>
    </row>
    <row r="90" spans="29:36" ht="12.75">
      <c r="AC90" t="s">
        <v>40</v>
      </c>
      <c r="AI90" s="3" t="e">
        <f>0.1*(Y74*AE74^2)/2</f>
        <v>#NUM!</v>
      </c>
      <c r="AJ90" s="10" t="e">
        <f>AJ88-AI90/100000</f>
        <v>#NUM!</v>
      </c>
    </row>
    <row r="91" spans="9:12" ht="12.75">
      <c r="I91" t="s">
        <v>39</v>
      </c>
      <c r="K91" s="15">
        <f>SUM(L15:L88)</f>
        <v>43956</v>
      </c>
      <c r="L91" t="s">
        <v>35</v>
      </c>
    </row>
    <row r="92" spans="34:35" ht="12.75">
      <c r="AH92" s="6" t="s">
        <v>66</v>
      </c>
      <c r="AI92" s="11" t="e">
        <f>SUM(AI15:AI90)</f>
        <v>#NUM!</v>
      </c>
    </row>
    <row r="93" spans="34:35" ht="12.75">
      <c r="AH93" s="25" t="s">
        <v>67</v>
      </c>
      <c r="AI93" s="26" t="e">
        <f>AI92/100000</f>
        <v>#NUM!</v>
      </c>
    </row>
    <row r="103" ht="12.75">
      <c r="H103" s="40"/>
    </row>
    <row r="104" spans="3:9" ht="12.75">
      <c r="C104" t="s">
        <v>149</v>
      </c>
      <c r="H104" s="40">
        <f>'Trace Tube Helium'!AI175</f>
        <v>17.25090293323625</v>
      </c>
      <c r="I104" s="3" t="s">
        <v>70</v>
      </c>
    </row>
    <row r="105" spans="3:33" ht="18">
      <c r="C105" t="s">
        <v>90</v>
      </c>
      <c r="N105" s="14" t="s">
        <v>92</v>
      </c>
      <c r="O105" s="14"/>
      <c r="P105" s="14"/>
      <c r="Q105" s="14"/>
      <c r="AG105" t="s">
        <v>0</v>
      </c>
    </row>
    <row r="106" spans="14:33" ht="18">
      <c r="N106" s="14" t="s">
        <v>93</v>
      </c>
      <c r="O106" s="14"/>
      <c r="P106" s="14"/>
      <c r="Q106" s="14"/>
      <c r="AG106" s="13">
        <v>36604</v>
      </c>
    </row>
    <row r="107" spans="8:19" ht="12.75">
      <c r="H107" s="40"/>
      <c r="S107" s="22" t="s">
        <v>94</v>
      </c>
    </row>
    <row r="108" spans="5:25" ht="12.75">
      <c r="E108" t="s">
        <v>210</v>
      </c>
      <c r="G108" t="s">
        <v>60</v>
      </c>
      <c r="H108" s="70">
        <f>'Cryo Power'!F24</f>
        <v>2.75</v>
      </c>
      <c r="I108" t="s">
        <v>202</v>
      </c>
      <c r="K108" s="3"/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Y108" s="22"/>
    </row>
    <row r="109" spans="5:33" ht="12.75">
      <c r="E109" t="s">
        <v>84</v>
      </c>
      <c r="G109" t="s">
        <v>85</v>
      </c>
      <c r="H109" s="17">
        <v>16.27</v>
      </c>
      <c r="I109" t="s">
        <v>86</v>
      </c>
      <c r="P109" t="s">
        <v>236</v>
      </c>
      <c r="Q109" s="73" t="s">
        <v>236</v>
      </c>
      <c r="R109" t="s">
        <v>241</v>
      </c>
      <c r="AG109" t="s">
        <v>27</v>
      </c>
    </row>
    <row r="110" spans="5:36" ht="12.75">
      <c r="E110" t="s">
        <v>209</v>
      </c>
      <c r="G110" t="s">
        <v>62</v>
      </c>
      <c r="H110" s="40">
        <f>'Cryo Power'!F25</f>
        <v>9700</v>
      </c>
      <c r="I110" t="s">
        <v>63</v>
      </c>
      <c r="O110" s="73" t="s">
        <v>206</v>
      </c>
      <c r="P110" s="73" t="s">
        <v>237</v>
      </c>
      <c r="Q110" t="s">
        <v>238</v>
      </c>
      <c r="R110" t="s">
        <v>240</v>
      </c>
      <c r="S110" t="s">
        <v>222</v>
      </c>
      <c r="Y110" s="16" t="s">
        <v>96</v>
      </c>
      <c r="Z110" s="16"/>
      <c r="AA110" s="16"/>
      <c r="AB110" s="16" t="s">
        <v>96</v>
      </c>
      <c r="AD110" s="16" t="s">
        <v>54</v>
      </c>
      <c r="AE110" s="19" t="s">
        <v>79</v>
      </c>
      <c r="AG110" t="s">
        <v>58</v>
      </c>
      <c r="AI110" s="5"/>
      <c r="AJ110" s="5"/>
    </row>
    <row r="111" spans="1:36" ht="12.75">
      <c r="A111" s="2"/>
      <c r="C111" s="2" t="s">
        <v>24</v>
      </c>
      <c r="D111" s="2"/>
      <c r="E111" s="2"/>
      <c r="F111" s="2"/>
      <c r="K111" s="2"/>
      <c r="L111" t="s">
        <v>30</v>
      </c>
      <c r="N111" s="2" t="s">
        <v>95</v>
      </c>
      <c r="O111" s="73" t="s">
        <v>234</v>
      </c>
      <c r="P111" s="73" t="s">
        <v>235</v>
      </c>
      <c r="Q111" s="73" t="s">
        <v>239</v>
      </c>
      <c r="R111" t="s">
        <v>98</v>
      </c>
      <c r="S111" t="s">
        <v>98</v>
      </c>
      <c r="T111" s="2"/>
      <c r="U111" s="2" t="s">
        <v>4</v>
      </c>
      <c r="W111" t="s">
        <v>145</v>
      </c>
      <c r="Y111" s="16" t="s">
        <v>73</v>
      </c>
      <c r="AB111" s="2" t="s">
        <v>100</v>
      </c>
      <c r="AC111" s="2" t="s">
        <v>7</v>
      </c>
      <c r="AD111" s="16" t="s">
        <v>55</v>
      </c>
      <c r="AE111" s="19" t="s">
        <v>80</v>
      </c>
      <c r="AF111" s="2" t="s">
        <v>8</v>
      </c>
      <c r="AG111" s="2" t="s">
        <v>9</v>
      </c>
      <c r="AH111" s="2" t="s">
        <v>10</v>
      </c>
      <c r="AI111" s="7" t="s">
        <v>11</v>
      </c>
      <c r="AJ111" s="7" t="s">
        <v>71</v>
      </c>
    </row>
    <row r="112" spans="1:36" ht="12.75">
      <c r="A112" s="2"/>
      <c r="C112" s="2" t="s">
        <v>25</v>
      </c>
      <c r="E112" s="2" t="s">
        <v>48</v>
      </c>
      <c r="F112" s="16" t="s">
        <v>48</v>
      </c>
      <c r="G112" s="2"/>
      <c r="H112" s="2" t="s">
        <v>34</v>
      </c>
      <c r="I112" s="2" t="s">
        <v>36</v>
      </c>
      <c r="K112" t="s">
        <v>30</v>
      </c>
      <c r="L112" t="s">
        <v>31</v>
      </c>
      <c r="N112" s="2" t="s">
        <v>123</v>
      </c>
      <c r="O112" s="2" t="s">
        <v>99</v>
      </c>
      <c r="P112" s="2" t="s">
        <v>99</v>
      </c>
      <c r="Q112" s="2" t="s">
        <v>99</v>
      </c>
      <c r="R112" s="2" t="s">
        <v>99</v>
      </c>
      <c r="S112" s="2" t="s">
        <v>99</v>
      </c>
      <c r="T112" s="2"/>
      <c r="U112" s="2" t="s">
        <v>15</v>
      </c>
      <c r="W112" s="2" t="s">
        <v>14</v>
      </c>
      <c r="Y112" s="2" t="s">
        <v>16</v>
      </c>
      <c r="AB112" s="2" t="s">
        <v>17</v>
      </c>
      <c r="AC112" s="2" t="s">
        <v>18</v>
      </c>
      <c r="AD112" s="16" t="s">
        <v>56</v>
      </c>
      <c r="AE112" s="7" t="s">
        <v>19</v>
      </c>
      <c r="AF112" s="2"/>
      <c r="AG112" s="2"/>
      <c r="AH112" s="2" t="s">
        <v>18</v>
      </c>
      <c r="AI112" s="7" t="s">
        <v>20</v>
      </c>
      <c r="AJ112" s="7" t="s">
        <v>72</v>
      </c>
    </row>
    <row r="113" spans="1:36" ht="13.5" thickBot="1">
      <c r="A113" s="2"/>
      <c r="C113" t="s">
        <v>26</v>
      </c>
      <c r="D113" s="2" t="s">
        <v>23</v>
      </c>
      <c r="E113" s="2" t="s">
        <v>33</v>
      </c>
      <c r="F113" s="16" t="s">
        <v>32</v>
      </c>
      <c r="G113" s="2"/>
      <c r="H113" s="2" t="s">
        <v>33</v>
      </c>
      <c r="I113" s="2" t="s">
        <v>37</v>
      </c>
      <c r="K113" t="s">
        <v>33</v>
      </c>
      <c r="L113" s="2" t="s">
        <v>37</v>
      </c>
      <c r="N113" s="2"/>
      <c r="O113" s="2"/>
      <c r="P113" s="2"/>
      <c r="Q113" s="2"/>
      <c r="S113" s="2"/>
      <c r="U113" s="2"/>
      <c r="Y113" s="2"/>
      <c r="AB113" s="2"/>
      <c r="AC113" s="2"/>
      <c r="AD113" s="2"/>
      <c r="AE113" s="7"/>
      <c r="AF113" s="2"/>
      <c r="AG113" s="2"/>
      <c r="AH113" s="2"/>
      <c r="AI113" s="7"/>
      <c r="AJ113" s="7"/>
    </row>
    <row r="114" spans="1:36" ht="13.5" thickBot="1">
      <c r="A114" s="20" t="s">
        <v>150</v>
      </c>
      <c r="C114">
        <v>0</v>
      </c>
      <c r="D114" s="4">
        <v>0</v>
      </c>
      <c r="E114" s="15">
        <v>0</v>
      </c>
      <c r="F114" s="15">
        <v>0</v>
      </c>
      <c r="H114" s="15"/>
      <c r="K114">
        <v>0</v>
      </c>
      <c r="L114" s="15">
        <v>0</v>
      </c>
      <c r="N114">
        <v>5.19</v>
      </c>
      <c r="O114" s="15">
        <f>'Supply helium'!AM114</f>
        <v>77.54757562313371</v>
      </c>
      <c r="P114" s="15">
        <f>'Trace Tube Helium'!AH180</f>
        <v>26.979999999999507</v>
      </c>
      <c r="Q114" s="15">
        <f>O114+P114</f>
        <v>104.52757562313322</v>
      </c>
      <c r="R114" s="15">
        <f>O114</f>
        <v>77.54757562313371</v>
      </c>
      <c r="S114" s="15">
        <f>O114</f>
        <v>77.54757562313371</v>
      </c>
      <c r="U114" s="4">
        <f>'Supply helium'!R188</f>
        <v>83.54249061961089</v>
      </c>
      <c r="W114" s="15">
        <f>'Trace Tube Helium'!T114</f>
        <v>8.556434438697899</v>
      </c>
      <c r="Y114" s="3">
        <f>0.00096*(100/S114)*(AJ114/2)</f>
        <v>0.010677875280324317</v>
      </c>
      <c r="AB114" s="1">
        <f>(3.5155+0.059464*S114)*10^-6</f>
        <v>8.126789036854022E-06</v>
      </c>
      <c r="AC114" s="27">
        <f>H109</f>
        <v>16.27</v>
      </c>
      <c r="AD114" s="9">
        <v>1</v>
      </c>
      <c r="AE114" s="8">
        <f aca="true" t="shared" si="68" ref="AE114:AE177">4*U114/(Y114*3.14159*AC114^2*AD114)</f>
        <v>37.63205668704415</v>
      </c>
      <c r="AF114" s="4">
        <f aca="true" t="shared" si="69" ref="AF114:AF177">Y114*AE114*AC114/AB114/10</f>
        <v>80447.28005134736</v>
      </c>
      <c r="AG114" s="5">
        <f aca="true" t="shared" si="70" ref="AG114:AG177">4*(0.0791/AF114^0.25)</f>
        <v>0.018787051832304866</v>
      </c>
      <c r="AH114" s="4">
        <v>0</v>
      </c>
      <c r="AI114" s="10">
        <f>AG114*AH114/(AC114)*(W114*AE114^2/2)*0.1</f>
        <v>0</v>
      </c>
      <c r="AJ114" s="10">
        <f>H104</f>
        <v>17.25090293323625</v>
      </c>
    </row>
    <row r="115" spans="1:36" ht="12.75">
      <c r="A115" s="108"/>
      <c r="C115">
        <v>135</v>
      </c>
      <c r="D115" s="4">
        <f aca="true" t="shared" si="71" ref="D115:D178">D114+C115</f>
        <v>135</v>
      </c>
      <c r="E115" s="15">
        <f>H108</f>
        <v>2.75</v>
      </c>
      <c r="F115" s="15">
        <f aca="true" t="shared" si="72" ref="F115:F178">E115*C115</f>
        <v>371.25</v>
      </c>
      <c r="H115" s="15">
        <v>0</v>
      </c>
      <c r="I115" s="15">
        <f aca="true" t="shared" si="73" ref="I115:I178">H115*C115</f>
        <v>0</v>
      </c>
      <c r="J115" s="15"/>
      <c r="K115" s="15">
        <f aca="true" t="shared" si="74" ref="K115:K178">H115+E115</f>
        <v>2.75</v>
      </c>
      <c r="L115" s="15">
        <f aca="true" t="shared" si="75" ref="L115:L178">K115*C115</f>
        <v>371.25</v>
      </c>
      <c r="N115">
        <f aca="true" t="shared" si="76" ref="N115:N178">N114</f>
        <v>5.19</v>
      </c>
      <c r="O115" s="15">
        <f>'Supply helium'!AM115</f>
        <v>77.54513603039827</v>
      </c>
      <c r="P115" s="15">
        <f>P114</f>
        <v>26.979999999999507</v>
      </c>
      <c r="Q115" s="15">
        <f aca="true" t="shared" si="77" ref="Q115:Q178">O115+P115</f>
        <v>104.52513603039777</v>
      </c>
      <c r="R115" s="15">
        <f>S114+L115/(U114*N114)</f>
        <v>78.40380807894132</v>
      </c>
      <c r="S115" s="15">
        <f>(2*W114*Q115+U114*R115)/U115</f>
        <v>82.84481213844221</v>
      </c>
      <c r="U115" s="4">
        <f>U114+2*W114</f>
        <v>100.65535949700669</v>
      </c>
      <c r="W115" s="15">
        <f>'Trace Tube Helium'!T114</f>
        <v>8.556434438697899</v>
      </c>
      <c r="Y115" s="3">
        <f>0.00096*(100/S114)*(AJ114/2)</f>
        <v>0.010677875280324317</v>
      </c>
      <c r="AB115" s="1">
        <f aca="true" t="shared" si="78" ref="AB115:AB178">(3.5155+0.059464*S115)*10^-6</f>
        <v>8.441783909000329E-06</v>
      </c>
      <c r="AC115">
        <f aca="true" t="shared" si="79" ref="AC115:AC178">AC114</f>
        <v>16.27</v>
      </c>
      <c r="AD115">
        <f aca="true" t="shared" si="80" ref="AD115:AD178">AD114</f>
        <v>1</v>
      </c>
      <c r="AE115" s="8">
        <f t="shared" si="68"/>
        <v>45.34061848470906</v>
      </c>
      <c r="AF115" s="4">
        <f t="shared" si="69"/>
        <v>93309.44490673431</v>
      </c>
      <c r="AG115" s="5">
        <f t="shared" si="70"/>
        <v>0.018103188492601043</v>
      </c>
      <c r="AH115" s="4">
        <f aca="true" t="shared" si="81" ref="AH115:AH178">100*(D115-D114)</f>
        <v>13500</v>
      </c>
      <c r="AI115" s="8">
        <f aca="true" t="shared" si="82" ref="AI115:AI178">AG115*AH115/(AC115)*(Y115*AE115^2/2)*0.1</f>
        <v>16.486596809886535</v>
      </c>
      <c r="AJ115" s="10">
        <f aca="true" t="shared" si="83" ref="AJ115:AJ178">AJ114-AI115/100000</f>
        <v>17.250738067268152</v>
      </c>
    </row>
    <row r="116" spans="1:36" ht="12.75">
      <c r="A116" s="109"/>
      <c r="C116">
        <f aca="true" t="shared" si="84" ref="C116:C179">C115</f>
        <v>135</v>
      </c>
      <c r="D116" s="4">
        <f t="shared" si="71"/>
        <v>270</v>
      </c>
      <c r="E116" s="15">
        <f aca="true" t="shared" si="85" ref="E116:E179">E115</f>
        <v>2.75</v>
      </c>
      <c r="F116" s="15">
        <f t="shared" si="72"/>
        <v>371.25</v>
      </c>
      <c r="H116" s="15">
        <f aca="true" t="shared" si="86" ref="H116:H179">H115</f>
        <v>0</v>
      </c>
      <c r="I116" s="15">
        <f t="shared" si="73"/>
        <v>0</v>
      </c>
      <c r="J116" s="15"/>
      <c r="K116" s="15">
        <f t="shared" si="74"/>
        <v>2.75</v>
      </c>
      <c r="L116" s="15">
        <f t="shared" si="75"/>
        <v>371.25</v>
      </c>
      <c r="N116">
        <f t="shared" si="76"/>
        <v>5.19</v>
      </c>
      <c r="O116" s="15">
        <f>'Supply helium'!AM116</f>
        <v>77.54266470595142</v>
      </c>
      <c r="P116" s="15">
        <f aca="true" t="shared" si="87" ref="P116:P179">P115</f>
        <v>26.979999999999507</v>
      </c>
      <c r="Q116" s="15">
        <f t="shared" si="77"/>
        <v>104.52266470595093</v>
      </c>
      <c r="R116" s="15">
        <f aca="true" t="shared" si="88" ref="R116:R179">S115+L116/(U115*N115)</f>
        <v>83.55547267619173</v>
      </c>
      <c r="S116" s="15">
        <f aca="true" t="shared" si="89" ref="S116:S179">(2*W115*Q116+U115*R116)/U116</f>
        <v>86.60220958380437</v>
      </c>
      <c r="U116" s="4">
        <f aca="true" t="shared" si="90" ref="U116:U179">U115+2*W115</f>
        <v>117.76822837440248</v>
      </c>
      <c r="W116" s="15">
        <f aca="true" t="shared" si="91" ref="W116:W179">W115</f>
        <v>8.556434438697899</v>
      </c>
      <c r="Y116" s="3">
        <f aca="true" t="shared" si="92" ref="Y116:Y179">0.00096*(100/S115)*(AJ115/2)</f>
        <v>0.009995018467120654</v>
      </c>
      <c r="AB116" s="1">
        <f t="shared" si="78"/>
        <v>8.665213790691343E-06</v>
      </c>
      <c r="AC116">
        <f t="shared" si="79"/>
        <v>16.27</v>
      </c>
      <c r="AD116">
        <f t="shared" si="80"/>
        <v>1</v>
      </c>
      <c r="AE116" s="8">
        <f t="shared" si="68"/>
        <v>56.67348516083452</v>
      </c>
      <c r="AF116" s="4">
        <f t="shared" si="69"/>
        <v>106358.39920844005</v>
      </c>
      <c r="AG116" s="5">
        <f t="shared" si="70"/>
        <v>0.01752038021873722</v>
      </c>
      <c r="AH116" s="4">
        <f t="shared" si="81"/>
        <v>13500</v>
      </c>
      <c r="AI116" s="8">
        <f t="shared" si="82"/>
        <v>23.334751953533285</v>
      </c>
      <c r="AJ116" s="10">
        <f t="shared" si="83"/>
        <v>17.250504719748616</v>
      </c>
    </row>
    <row r="117" spans="1:36" ht="12.75">
      <c r="A117" s="109"/>
      <c r="C117">
        <f t="shared" si="84"/>
        <v>135</v>
      </c>
      <c r="D117" s="4">
        <f t="shared" si="71"/>
        <v>405</v>
      </c>
      <c r="E117" s="15">
        <f t="shared" si="85"/>
        <v>2.75</v>
      </c>
      <c r="F117" s="15">
        <f t="shared" si="72"/>
        <v>371.25</v>
      </c>
      <c r="H117" s="15">
        <f t="shared" si="86"/>
        <v>0</v>
      </c>
      <c r="I117" s="15">
        <f t="shared" si="73"/>
        <v>0</v>
      </c>
      <c r="J117" s="15"/>
      <c r="K117" s="15">
        <f t="shared" si="74"/>
        <v>2.75</v>
      </c>
      <c r="L117" s="15">
        <f t="shared" si="75"/>
        <v>371.25</v>
      </c>
      <c r="N117">
        <f t="shared" si="76"/>
        <v>5.19</v>
      </c>
      <c r="O117" s="15">
        <f>'Supply helium'!AM117</f>
        <v>77.54016081344797</v>
      </c>
      <c r="P117" s="15">
        <f t="shared" si="87"/>
        <v>26.979999999999507</v>
      </c>
      <c r="Q117" s="15">
        <f t="shared" si="77"/>
        <v>104.52016081344748</v>
      </c>
      <c r="R117" s="15">
        <f t="shared" si="88"/>
        <v>87.20960423425376</v>
      </c>
      <c r="S117" s="15">
        <f t="shared" si="89"/>
        <v>89.40585923936742</v>
      </c>
      <c r="U117" s="4">
        <f t="shared" si="90"/>
        <v>134.88109725179828</v>
      </c>
      <c r="W117" s="15">
        <f t="shared" si="91"/>
        <v>8.556434438697899</v>
      </c>
      <c r="Y117" s="3">
        <f t="shared" si="92"/>
        <v>0.009561236722795855</v>
      </c>
      <c r="AB117" s="1">
        <f t="shared" si="78"/>
        <v>8.831930013809744E-06</v>
      </c>
      <c r="AC117">
        <f t="shared" si="79"/>
        <v>16.27</v>
      </c>
      <c r="AD117">
        <f t="shared" si="80"/>
        <v>1</v>
      </c>
      <c r="AE117" s="8">
        <f t="shared" si="68"/>
        <v>67.85352261993356</v>
      </c>
      <c r="AF117" s="4">
        <f t="shared" si="69"/>
        <v>119513.89593574463</v>
      </c>
      <c r="AG117" s="5">
        <f t="shared" si="70"/>
        <v>0.017016955919400785</v>
      </c>
      <c r="AH117" s="4">
        <f t="shared" si="81"/>
        <v>13500</v>
      </c>
      <c r="AI117" s="8">
        <f t="shared" si="82"/>
        <v>31.07827910351929</v>
      </c>
      <c r="AJ117" s="10">
        <f t="shared" si="83"/>
        <v>17.25019393695758</v>
      </c>
    </row>
    <row r="118" spans="1:36" ht="12.75">
      <c r="A118" s="109"/>
      <c r="C118">
        <f t="shared" si="84"/>
        <v>135</v>
      </c>
      <c r="D118" s="4">
        <f t="shared" si="71"/>
        <v>540</v>
      </c>
      <c r="E118" s="15">
        <f t="shared" si="85"/>
        <v>2.75</v>
      </c>
      <c r="F118" s="15">
        <f t="shared" si="72"/>
        <v>371.25</v>
      </c>
      <c r="H118" s="15">
        <f t="shared" si="86"/>
        <v>0</v>
      </c>
      <c r="I118" s="15">
        <f t="shared" si="73"/>
        <v>0</v>
      </c>
      <c r="J118" s="15"/>
      <c r="K118" s="15">
        <f t="shared" si="74"/>
        <v>2.75</v>
      </c>
      <c r="L118" s="15">
        <f t="shared" si="75"/>
        <v>371.25</v>
      </c>
      <c r="N118">
        <f t="shared" si="76"/>
        <v>5.19</v>
      </c>
      <c r="O118" s="15">
        <f>'Supply helium'!AM118</f>
        <v>77.53762348303611</v>
      </c>
      <c r="P118" s="15">
        <f t="shared" si="87"/>
        <v>26.979999999999507</v>
      </c>
      <c r="Q118" s="15">
        <f t="shared" si="77"/>
        <v>104.51762348303562</v>
      </c>
      <c r="R118" s="15">
        <f t="shared" si="88"/>
        <v>89.93619146059763</v>
      </c>
      <c r="S118" s="15">
        <f t="shared" si="89"/>
        <v>91.57790225083086</v>
      </c>
      <c r="U118" s="4">
        <f t="shared" si="90"/>
        <v>151.99396612919406</v>
      </c>
      <c r="W118" s="15">
        <f t="shared" si="91"/>
        <v>8.556434438697899</v>
      </c>
      <c r="Y118" s="3">
        <f t="shared" si="92"/>
        <v>0.00926124211565513</v>
      </c>
      <c r="AB118" s="1">
        <f t="shared" si="78"/>
        <v>8.961088379443406E-06</v>
      </c>
      <c r="AC118">
        <f t="shared" si="79"/>
        <v>16.27</v>
      </c>
      <c r="AD118">
        <f t="shared" si="80"/>
        <v>1</v>
      </c>
      <c r="AE118" s="8">
        <f t="shared" si="68"/>
        <v>78.93915789925236</v>
      </c>
      <c r="AF118" s="4">
        <f t="shared" si="69"/>
        <v>132735.93688867564</v>
      </c>
      <c r="AG118" s="5">
        <f t="shared" si="70"/>
        <v>0.016576366675874064</v>
      </c>
      <c r="AH118" s="4">
        <f t="shared" si="81"/>
        <v>13500</v>
      </c>
      <c r="AI118" s="8">
        <f t="shared" si="82"/>
        <v>39.68805183131526</v>
      </c>
      <c r="AJ118" s="10">
        <f t="shared" si="83"/>
        <v>17.249797056439267</v>
      </c>
    </row>
    <row r="119" spans="1:36" ht="12.75">
      <c r="A119" s="109"/>
      <c r="C119">
        <f t="shared" si="84"/>
        <v>135</v>
      </c>
      <c r="D119" s="4">
        <f t="shared" si="71"/>
        <v>675</v>
      </c>
      <c r="E119" s="15">
        <f t="shared" si="85"/>
        <v>2.75</v>
      </c>
      <c r="F119" s="15">
        <f t="shared" si="72"/>
        <v>371.25</v>
      </c>
      <c r="H119" s="15">
        <f t="shared" si="86"/>
        <v>0</v>
      </c>
      <c r="I119" s="15">
        <f t="shared" si="73"/>
        <v>0</v>
      </c>
      <c r="J119" s="15"/>
      <c r="K119" s="15">
        <f t="shared" si="74"/>
        <v>2.75</v>
      </c>
      <c r="L119" s="15">
        <f t="shared" si="75"/>
        <v>371.25</v>
      </c>
      <c r="N119">
        <f t="shared" si="76"/>
        <v>5.19</v>
      </c>
      <c r="O119" s="15">
        <f>'Supply helium'!AM119</f>
        <v>77.5350518095434</v>
      </c>
      <c r="P119" s="15">
        <f t="shared" si="87"/>
        <v>26.979999999999507</v>
      </c>
      <c r="Q119" s="15">
        <f t="shared" si="77"/>
        <v>104.51505180954291</v>
      </c>
      <c r="R119" s="15">
        <f t="shared" si="88"/>
        <v>92.04852482703703</v>
      </c>
      <c r="S119" s="15">
        <f t="shared" si="89"/>
        <v>93.31008259671457</v>
      </c>
      <c r="U119" s="4">
        <f t="shared" si="90"/>
        <v>169.10683500658985</v>
      </c>
      <c r="W119" s="15">
        <f t="shared" si="91"/>
        <v>8.556434438697899</v>
      </c>
      <c r="Y119" s="3">
        <f t="shared" si="92"/>
        <v>0.009041376121951654</v>
      </c>
      <c r="AB119" s="1">
        <f t="shared" si="78"/>
        <v>9.064090751531034E-06</v>
      </c>
      <c r="AC119">
        <f t="shared" si="79"/>
        <v>16.27</v>
      </c>
      <c r="AD119">
        <f t="shared" si="80"/>
        <v>1</v>
      </c>
      <c r="AE119" s="8">
        <f t="shared" si="68"/>
        <v>89.96260129055102</v>
      </c>
      <c r="AF119" s="4">
        <f t="shared" si="69"/>
        <v>146002.3509108752</v>
      </c>
      <c r="AG119" s="5">
        <f t="shared" si="70"/>
        <v>0.01618626001637924</v>
      </c>
      <c r="AH119" s="4">
        <f t="shared" si="81"/>
        <v>13500</v>
      </c>
      <c r="AI119" s="8">
        <f t="shared" si="82"/>
        <v>49.13843019911283</v>
      </c>
      <c r="AJ119" s="10">
        <f t="shared" si="83"/>
        <v>17.249305672137275</v>
      </c>
    </row>
    <row r="120" spans="1:36" ht="12.75">
      <c r="A120" s="109"/>
      <c r="C120">
        <f t="shared" si="84"/>
        <v>135</v>
      </c>
      <c r="D120" s="4">
        <f t="shared" si="71"/>
        <v>810</v>
      </c>
      <c r="E120" s="15">
        <f t="shared" si="85"/>
        <v>2.75</v>
      </c>
      <c r="F120" s="15">
        <f t="shared" si="72"/>
        <v>371.25</v>
      </c>
      <c r="H120" s="15">
        <f t="shared" si="86"/>
        <v>0</v>
      </c>
      <c r="I120" s="15">
        <f t="shared" si="73"/>
        <v>0</v>
      </c>
      <c r="J120" s="15"/>
      <c r="K120" s="15">
        <f t="shared" si="74"/>
        <v>2.75</v>
      </c>
      <c r="L120" s="15">
        <f t="shared" si="75"/>
        <v>371.25</v>
      </c>
      <c r="N120">
        <f t="shared" si="76"/>
        <v>5.19</v>
      </c>
      <c r="O120" s="15">
        <f>'Supply helium'!AM120</f>
        <v>77.53244485053821</v>
      </c>
      <c r="P120" s="15">
        <f t="shared" si="87"/>
        <v>26.979999999999507</v>
      </c>
      <c r="Q120" s="15">
        <f t="shared" si="77"/>
        <v>104.51244485053772</v>
      </c>
      <c r="R120" s="15">
        <f t="shared" si="88"/>
        <v>93.73308023548373</v>
      </c>
      <c r="S120" s="15">
        <f t="shared" si="89"/>
        <v>94.72366205572969</v>
      </c>
      <c r="U120" s="4">
        <f t="shared" si="90"/>
        <v>186.21970388398563</v>
      </c>
      <c r="W120" s="15">
        <f t="shared" si="91"/>
        <v>8.556434438697899</v>
      </c>
      <c r="Y120" s="3">
        <f t="shared" si="92"/>
        <v>0.00887328195647468</v>
      </c>
      <c r="AB120" s="1">
        <f t="shared" si="78"/>
        <v>9.14814784048191E-06</v>
      </c>
      <c r="AC120">
        <f t="shared" si="79"/>
        <v>16.27</v>
      </c>
      <c r="AD120">
        <f t="shared" si="80"/>
        <v>1</v>
      </c>
      <c r="AE120" s="8">
        <f t="shared" si="68"/>
        <v>100.9431212753934</v>
      </c>
      <c r="AF120" s="4">
        <f t="shared" si="69"/>
        <v>159299.85839862545</v>
      </c>
      <c r="AG120" s="5">
        <f t="shared" si="70"/>
        <v>0.015837354113480237</v>
      </c>
      <c r="AH120" s="4">
        <f t="shared" si="81"/>
        <v>13500</v>
      </c>
      <c r="AI120" s="8">
        <f t="shared" si="82"/>
        <v>59.406858645439264</v>
      </c>
      <c r="AJ120" s="10">
        <f t="shared" si="83"/>
        <v>17.24871160355082</v>
      </c>
    </row>
    <row r="121" spans="1:36" ht="12.75">
      <c r="A121" s="109"/>
      <c r="C121">
        <f t="shared" si="84"/>
        <v>135</v>
      </c>
      <c r="D121" s="4">
        <f t="shared" si="71"/>
        <v>945</v>
      </c>
      <c r="E121" s="15">
        <f t="shared" si="85"/>
        <v>2.75</v>
      </c>
      <c r="F121" s="15">
        <f t="shared" si="72"/>
        <v>371.25</v>
      </c>
      <c r="H121" s="15">
        <f t="shared" si="86"/>
        <v>0</v>
      </c>
      <c r="I121" s="15">
        <f t="shared" si="73"/>
        <v>0</v>
      </c>
      <c r="J121" s="15"/>
      <c r="K121" s="15">
        <f t="shared" si="74"/>
        <v>2.75</v>
      </c>
      <c r="L121" s="15">
        <f t="shared" si="75"/>
        <v>371.25</v>
      </c>
      <c r="N121">
        <f t="shared" si="76"/>
        <v>5.19</v>
      </c>
      <c r="O121" s="15">
        <f>'Supply helium'!AM121</f>
        <v>77.52980162425641</v>
      </c>
      <c r="P121" s="15">
        <f t="shared" si="87"/>
        <v>26.979999999999507</v>
      </c>
      <c r="Q121" s="15">
        <f t="shared" si="77"/>
        <v>104.50980162425591</v>
      </c>
      <c r="R121" s="15">
        <f t="shared" si="88"/>
        <v>95.10778785131187</v>
      </c>
      <c r="S121" s="15">
        <f t="shared" si="89"/>
        <v>95.89907980564463</v>
      </c>
      <c r="U121" s="4">
        <f t="shared" si="90"/>
        <v>203.3325727613814</v>
      </c>
      <c r="W121" s="15">
        <f t="shared" si="91"/>
        <v>8.556434438697899</v>
      </c>
      <c r="Y121" s="3">
        <f t="shared" si="92"/>
        <v>0.008740563223614923</v>
      </c>
      <c r="AB121" s="1">
        <f t="shared" si="78"/>
        <v>9.21804288156285E-06</v>
      </c>
      <c r="AC121">
        <f t="shared" si="79"/>
        <v>16.27</v>
      </c>
      <c r="AD121">
        <f t="shared" si="80"/>
        <v>1</v>
      </c>
      <c r="AE121" s="8">
        <f t="shared" si="68"/>
        <v>111.89299969445646</v>
      </c>
      <c r="AF121" s="4">
        <f t="shared" si="69"/>
        <v>172620.02065389475</v>
      </c>
      <c r="AG121" s="5">
        <f t="shared" si="70"/>
        <v>0.015522572028925923</v>
      </c>
      <c r="AH121" s="4">
        <f t="shared" si="81"/>
        <v>13500</v>
      </c>
      <c r="AI121" s="8">
        <f t="shared" si="82"/>
        <v>70.47338884865968</v>
      </c>
      <c r="AJ121" s="10">
        <f t="shared" si="83"/>
        <v>17.248006869662333</v>
      </c>
    </row>
    <row r="122" spans="1:36" ht="12.75">
      <c r="A122" s="109"/>
      <c r="C122">
        <f t="shared" si="84"/>
        <v>135</v>
      </c>
      <c r="D122" s="4">
        <f t="shared" si="71"/>
        <v>1080</v>
      </c>
      <c r="E122" s="15">
        <f t="shared" si="85"/>
        <v>2.75</v>
      </c>
      <c r="F122" s="15">
        <f t="shared" si="72"/>
        <v>371.25</v>
      </c>
      <c r="H122" s="15">
        <f t="shared" si="86"/>
        <v>0</v>
      </c>
      <c r="I122" s="15">
        <f t="shared" si="73"/>
        <v>0</v>
      </c>
      <c r="J122" s="15"/>
      <c r="K122" s="15">
        <f t="shared" si="74"/>
        <v>2.75</v>
      </c>
      <c r="L122" s="15">
        <f t="shared" si="75"/>
        <v>371.25</v>
      </c>
      <c r="N122">
        <f t="shared" si="76"/>
        <v>5.19</v>
      </c>
      <c r="O122" s="15">
        <f>'Supply helium'!AM122</f>
        <v>77.52712110738169</v>
      </c>
      <c r="P122" s="15">
        <f t="shared" si="87"/>
        <v>26.979999999999507</v>
      </c>
      <c r="Q122" s="15">
        <f t="shared" si="77"/>
        <v>104.5071211073812</v>
      </c>
      <c r="R122" s="15">
        <f t="shared" si="88"/>
        <v>96.25087681945344</v>
      </c>
      <c r="S122" s="15">
        <f t="shared" si="89"/>
        <v>96.89179742488186</v>
      </c>
      <c r="U122" s="4">
        <f t="shared" si="90"/>
        <v>220.4454416387772</v>
      </c>
      <c r="W122" s="15">
        <f t="shared" si="91"/>
        <v>8.556434438697899</v>
      </c>
      <c r="Y122" s="3">
        <f t="shared" si="92"/>
        <v>0.008633078976583271</v>
      </c>
      <c r="AB122" s="1">
        <f t="shared" si="78"/>
        <v>9.277073842073175E-06</v>
      </c>
      <c r="AC122">
        <f t="shared" si="79"/>
        <v>16.27</v>
      </c>
      <c r="AD122">
        <f t="shared" si="80"/>
        <v>1</v>
      </c>
      <c r="AE122" s="8">
        <f t="shared" si="68"/>
        <v>122.8204795127572</v>
      </c>
      <c r="AF122" s="4">
        <f t="shared" si="69"/>
        <v>185957.21872833045</v>
      </c>
      <c r="AG122" s="5">
        <f t="shared" si="70"/>
        <v>0.015236429774410734</v>
      </c>
      <c r="AH122" s="4">
        <f t="shared" si="81"/>
        <v>13500</v>
      </c>
      <c r="AI122" s="8">
        <f t="shared" si="82"/>
        <v>82.32025846836544</v>
      </c>
      <c r="AJ122" s="10">
        <f t="shared" si="83"/>
        <v>17.24718366707765</v>
      </c>
    </row>
    <row r="123" spans="1:36" ht="12.75">
      <c r="A123" s="109"/>
      <c r="C123">
        <f t="shared" si="84"/>
        <v>135</v>
      </c>
      <c r="D123" s="4">
        <f t="shared" si="71"/>
        <v>1215</v>
      </c>
      <c r="E123" s="15">
        <f t="shared" si="85"/>
        <v>2.75</v>
      </c>
      <c r="F123" s="15">
        <f t="shared" si="72"/>
        <v>371.25</v>
      </c>
      <c r="H123" s="15">
        <f t="shared" si="86"/>
        <v>0</v>
      </c>
      <c r="I123" s="15">
        <f t="shared" si="73"/>
        <v>0</v>
      </c>
      <c r="J123" s="15"/>
      <c r="K123" s="15">
        <f t="shared" si="74"/>
        <v>2.75</v>
      </c>
      <c r="L123" s="15">
        <f t="shared" si="75"/>
        <v>371.25</v>
      </c>
      <c r="N123">
        <f t="shared" si="76"/>
        <v>5.19</v>
      </c>
      <c r="O123" s="15">
        <f>'Supply helium'!AM123</f>
        <v>77.52440223266723</v>
      </c>
      <c r="P123" s="15">
        <f t="shared" si="87"/>
        <v>26.979999999999507</v>
      </c>
      <c r="Q123" s="15">
        <f t="shared" si="77"/>
        <v>104.50440223266673</v>
      </c>
      <c r="R123" s="15">
        <f t="shared" si="88"/>
        <v>97.21628493242909</v>
      </c>
      <c r="S123" s="15">
        <f t="shared" si="89"/>
        <v>97.74129538334134</v>
      </c>
      <c r="U123" s="4">
        <f t="shared" si="90"/>
        <v>237.55831051617298</v>
      </c>
      <c r="W123" s="15">
        <f t="shared" si="91"/>
        <v>8.556434438697899</v>
      </c>
      <c r="Y123" s="3">
        <f t="shared" si="92"/>
        <v>0.008544219820687638</v>
      </c>
      <c r="AB123" s="1">
        <f t="shared" si="78"/>
        <v>9.327588388675009E-06</v>
      </c>
      <c r="AC123">
        <f t="shared" si="79"/>
        <v>16.27</v>
      </c>
      <c r="AD123">
        <f t="shared" si="80"/>
        <v>1</v>
      </c>
      <c r="AE123" s="8">
        <f t="shared" si="68"/>
        <v>133.73133943429377</v>
      </c>
      <c r="AF123" s="4">
        <f t="shared" si="69"/>
        <v>199307.56688104273</v>
      </c>
      <c r="AG123" s="5">
        <f t="shared" si="70"/>
        <v>0.014974610261218267</v>
      </c>
      <c r="AH123" s="4">
        <f t="shared" si="81"/>
        <v>13500</v>
      </c>
      <c r="AI123" s="8">
        <f t="shared" si="82"/>
        <v>94.93154519165371</v>
      </c>
      <c r="AJ123" s="10">
        <f t="shared" si="83"/>
        <v>17.246234351625734</v>
      </c>
    </row>
    <row r="124" spans="1:36" ht="13.5" thickBot="1">
      <c r="A124" s="110"/>
      <c r="C124">
        <f t="shared" si="84"/>
        <v>135</v>
      </c>
      <c r="D124" s="4">
        <f t="shared" si="71"/>
        <v>1350</v>
      </c>
      <c r="E124" s="15">
        <f t="shared" si="85"/>
        <v>2.75</v>
      </c>
      <c r="F124" s="15">
        <f t="shared" si="72"/>
        <v>371.25</v>
      </c>
      <c r="H124" s="15">
        <f t="shared" si="86"/>
        <v>0</v>
      </c>
      <c r="I124" s="15">
        <f t="shared" si="73"/>
        <v>0</v>
      </c>
      <c r="J124" s="15"/>
      <c r="K124" s="15">
        <f t="shared" si="74"/>
        <v>2.75</v>
      </c>
      <c r="L124" s="15">
        <f t="shared" si="75"/>
        <v>371.25</v>
      </c>
      <c r="N124">
        <f t="shared" si="76"/>
        <v>5.19</v>
      </c>
      <c r="O124" s="15">
        <f>'Supply helium'!AM124</f>
        <v>77.52164388638454</v>
      </c>
      <c r="P124" s="15">
        <f t="shared" si="87"/>
        <v>26.979999999999507</v>
      </c>
      <c r="Q124" s="15">
        <f t="shared" si="77"/>
        <v>104.50164388638404</v>
      </c>
      <c r="R124" s="15">
        <f t="shared" si="88"/>
        <v>98.04240794704027</v>
      </c>
      <c r="S124" s="15">
        <f t="shared" si="89"/>
        <v>98.47644236719478</v>
      </c>
      <c r="U124" s="4">
        <f t="shared" si="90"/>
        <v>254.67117939356876</v>
      </c>
      <c r="W124" s="15">
        <f t="shared" si="91"/>
        <v>8.556434438697899</v>
      </c>
      <c r="Y124" s="3">
        <f t="shared" si="92"/>
        <v>0.008469493325531737</v>
      </c>
      <c r="AB124" s="1">
        <f t="shared" si="78"/>
        <v>9.371303168922869E-06</v>
      </c>
      <c r="AC124">
        <f t="shared" si="79"/>
        <v>16.27</v>
      </c>
      <c r="AD124">
        <f t="shared" si="80"/>
        <v>1</v>
      </c>
      <c r="AE124" s="8">
        <f t="shared" si="68"/>
        <v>144.62978780738726</v>
      </c>
      <c r="AF124" s="4">
        <f t="shared" si="69"/>
        <v>212668.29251978634</v>
      </c>
      <c r="AG124" s="5">
        <f t="shared" si="70"/>
        <v>0.014733664922535911</v>
      </c>
      <c r="AH124" s="4">
        <f t="shared" si="81"/>
        <v>13500</v>
      </c>
      <c r="AI124" s="8">
        <f t="shared" si="82"/>
        <v>108.29288825469219</v>
      </c>
      <c r="AJ124" s="10">
        <f t="shared" si="83"/>
        <v>17.245151422743188</v>
      </c>
    </row>
    <row r="125" spans="1:36" ht="12.75">
      <c r="A125" s="108"/>
      <c r="C125">
        <f t="shared" si="84"/>
        <v>135</v>
      </c>
      <c r="D125" s="4">
        <f t="shared" si="71"/>
        <v>1485</v>
      </c>
      <c r="E125" s="15">
        <f t="shared" si="85"/>
        <v>2.75</v>
      </c>
      <c r="F125" s="15">
        <f t="shared" si="72"/>
        <v>371.25</v>
      </c>
      <c r="H125" s="15">
        <f t="shared" si="86"/>
        <v>0</v>
      </c>
      <c r="I125" s="15">
        <f t="shared" si="73"/>
        <v>0</v>
      </c>
      <c r="J125" s="15"/>
      <c r="K125" s="15">
        <f t="shared" si="74"/>
        <v>2.75</v>
      </c>
      <c r="L125" s="15">
        <f t="shared" si="75"/>
        <v>371.25</v>
      </c>
      <c r="N125">
        <f t="shared" si="76"/>
        <v>5.19</v>
      </c>
      <c r="O125" s="15">
        <f>'Supply helium'!AM125</f>
        <v>77.51884490558456</v>
      </c>
      <c r="P125" s="15">
        <f t="shared" si="87"/>
        <v>26.979999999999507</v>
      </c>
      <c r="Q125" s="15">
        <f t="shared" si="77"/>
        <v>104.49884490558406</v>
      </c>
      <c r="R125" s="15">
        <f t="shared" si="88"/>
        <v>98.75732138961831</v>
      </c>
      <c r="S125" s="15">
        <f t="shared" si="89"/>
        <v>99.11883612791985</v>
      </c>
      <c r="U125" s="4">
        <f t="shared" si="90"/>
        <v>271.78404827096455</v>
      </c>
      <c r="W125" s="15">
        <f t="shared" si="91"/>
        <v>8.556434438697899</v>
      </c>
      <c r="Y125" s="3">
        <f t="shared" si="92"/>
        <v>0.00840573896044223</v>
      </c>
      <c r="AB125" s="1">
        <f t="shared" si="78"/>
        <v>9.409502471510625E-06</v>
      </c>
      <c r="AC125">
        <f t="shared" si="79"/>
        <v>16.27</v>
      </c>
      <c r="AD125">
        <f t="shared" si="80"/>
        <v>1</v>
      </c>
      <c r="AE125" s="8">
        <f t="shared" si="68"/>
        <v>155.5189960247232</v>
      </c>
      <c r="AF125" s="4">
        <f t="shared" si="69"/>
        <v>226037.3645753492</v>
      </c>
      <c r="AG125" s="5">
        <f t="shared" si="70"/>
        <v>0.014510801995018691</v>
      </c>
      <c r="AH125" s="4">
        <f t="shared" si="81"/>
        <v>13500</v>
      </c>
      <c r="AI125" s="8">
        <f t="shared" si="82"/>
        <v>122.39126476725326</v>
      </c>
      <c r="AJ125" s="10">
        <f t="shared" si="83"/>
        <v>17.243927510095514</v>
      </c>
    </row>
    <row r="126" spans="1:36" ht="12.75">
      <c r="A126" s="109"/>
      <c r="C126">
        <f t="shared" si="84"/>
        <v>135</v>
      </c>
      <c r="D126" s="4">
        <f t="shared" si="71"/>
        <v>1620</v>
      </c>
      <c r="E126" s="15">
        <f t="shared" si="85"/>
        <v>2.75</v>
      </c>
      <c r="F126" s="15">
        <f t="shared" si="72"/>
        <v>371.25</v>
      </c>
      <c r="H126" s="15">
        <f t="shared" si="86"/>
        <v>0</v>
      </c>
      <c r="I126" s="15">
        <f t="shared" si="73"/>
        <v>0</v>
      </c>
      <c r="J126" s="15"/>
      <c r="K126" s="15">
        <f t="shared" si="74"/>
        <v>2.75</v>
      </c>
      <c r="L126" s="15">
        <f t="shared" si="75"/>
        <v>371.25</v>
      </c>
      <c r="N126">
        <f t="shared" si="76"/>
        <v>5.19</v>
      </c>
      <c r="O126" s="15">
        <f>'Supply helium'!AM126</f>
        <v>77.51600407515389</v>
      </c>
      <c r="P126" s="15">
        <f t="shared" si="87"/>
        <v>26.979999999999507</v>
      </c>
      <c r="Q126" s="15">
        <f t="shared" si="77"/>
        <v>104.4960040751534</v>
      </c>
      <c r="R126" s="15">
        <f t="shared" si="88"/>
        <v>99.38202961687766</v>
      </c>
      <c r="S126" s="15">
        <f t="shared" si="89"/>
        <v>99.68495695584224</v>
      </c>
      <c r="U126" s="4">
        <f t="shared" si="90"/>
        <v>288.89691714836033</v>
      </c>
      <c r="W126" s="15">
        <f t="shared" si="91"/>
        <v>8.556434438697899</v>
      </c>
      <c r="Y126" s="3">
        <f t="shared" si="92"/>
        <v>0.008350668276778073</v>
      </c>
      <c r="AB126" s="1">
        <f t="shared" si="78"/>
        <v>9.443166280422202E-06</v>
      </c>
      <c r="AC126">
        <f t="shared" si="79"/>
        <v>16.27</v>
      </c>
      <c r="AD126">
        <f t="shared" si="80"/>
        <v>1</v>
      </c>
      <c r="AE126" s="8">
        <f t="shared" si="68"/>
        <v>166.4014303267412</v>
      </c>
      <c r="AF126" s="4">
        <f t="shared" si="69"/>
        <v>239413.26145215597</v>
      </c>
      <c r="AG126" s="5">
        <f t="shared" si="70"/>
        <v>0.014303733965026289</v>
      </c>
      <c r="AH126" s="4">
        <f t="shared" si="81"/>
        <v>13500</v>
      </c>
      <c r="AI126" s="8">
        <f t="shared" si="82"/>
        <v>137.2148091981001</v>
      </c>
      <c r="AJ126" s="10">
        <f t="shared" si="83"/>
        <v>17.242555362003532</v>
      </c>
    </row>
    <row r="127" spans="1:36" ht="12.75">
      <c r="A127" s="109"/>
      <c r="C127">
        <f t="shared" si="84"/>
        <v>135</v>
      </c>
      <c r="D127" s="4">
        <f t="shared" si="71"/>
        <v>1755</v>
      </c>
      <c r="E127" s="15">
        <f t="shared" si="85"/>
        <v>2.75</v>
      </c>
      <c r="F127" s="15">
        <f t="shared" si="72"/>
        <v>371.25</v>
      </c>
      <c r="H127" s="15">
        <f t="shared" si="86"/>
        <v>0</v>
      </c>
      <c r="I127" s="15">
        <f t="shared" si="73"/>
        <v>0</v>
      </c>
      <c r="J127" s="15"/>
      <c r="K127" s="15">
        <f t="shared" si="74"/>
        <v>2.75</v>
      </c>
      <c r="L127" s="15">
        <f t="shared" si="75"/>
        <v>371.25</v>
      </c>
      <c r="N127">
        <f t="shared" si="76"/>
        <v>5.19</v>
      </c>
      <c r="O127" s="15">
        <f>'Supply helium'!AM127</f>
        <v>77.51312012464766</v>
      </c>
      <c r="P127" s="15">
        <f t="shared" si="87"/>
        <v>26.979999999999507</v>
      </c>
      <c r="Q127" s="15">
        <f t="shared" si="77"/>
        <v>104.49312012464716</v>
      </c>
      <c r="R127" s="15">
        <f t="shared" si="88"/>
        <v>99.9325601238289</v>
      </c>
      <c r="S127" s="15">
        <f t="shared" si="89"/>
        <v>100.18759858620975</v>
      </c>
      <c r="U127" s="4">
        <f t="shared" si="90"/>
        <v>306.0097860257561</v>
      </c>
      <c r="W127" s="15">
        <f t="shared" si="91"/>
        <v>8.556434438697899</v>
      </c>
      <c r="Y127" s="3">
        <f t="shared" si="92"/>
        <v>0.008302583284886134</v>
      </c>
      <c r="AB127" s="1">
        <f t="shared" si="78"/>
        <v>9.473055362330376E-06</v>
      </c>
      <c r="AC127">
        <f t="shared" si="79"/>
        <v>16.27</v>
      </c>
      <c r="AD127">
        <f t="shared" si="80"/>
        <v>1</v>
      </c>
      <c r="AE127" s="8">
        <f t="shared" si="68"/>
        <v>177.27906561148566</v>
      </c>
      <c r="AF127" s="4">
        <f t="shared" si="69"/>
        <v>252794.820999252</v>
      </c>
      <c r="AG127" s="5">
        <f t="shared" si="70"/>
        <v>0.014110565912735925</v>
      </c>
      <c r="AH127" s="4">
        <f t="shared" si="81"/>
        <v>13500</v>
      </c>
      <c r="AI127" s="8">
        <f t="shared" si="82"/>
        <v>152.75266659839355</v>
      </c>
      <c r="AJ127" s="10">
        <f t="shared" si="83"/>
        <v>17.241027835337547</v>
      </c>
    </row>
    <row r="128" spans="1:36" ht="12.75">
      <c r="A128" s="109"/>
      <c r="C128">
        <f t="shared" si="84"/>
        <v>135</v>
      </c>
      <c r="D128" s="4">
        <f t="shared" si="71"/>
        <v>1890</v>
      </c>
      <c r="E128" s="15">
        <f t="shared" si="85"/>
        <v>2.75</v>
      </c>
      <c r="F128" s="15">
        <f t="shared" si="72"/>
        <v>371.25</v>
      </c>
      <c r="H128" s="15">
        <f t="shared" si="86"/>
        <v>0</v>
      </c>
      <c r="I128" s="15">
        <f t="shared" si="73"/>
        <v>0</v>
      </c>
      <c r="J128" s="15"/>
      <c r="K128" s="15">
        <f t="shared" si="74"/>
        <v>2.75</v>
      </c>
      <c r="L128" s="15">
        <f t="shared" si="75"/>
        <v>371.25</v>
      </c>
      <c r="N128">
        <f t="shared" si="76"/>
        <v>5.19</v>
      </c>
      <c r="O128" s="15">
        <f>'Supply helium'!AM128</f>
        <v>77.51019172487827</v>
      </c>
      <c r="P128" s="15">
        <f t="shared" si="87"/>
        <v>26.979999999999507</v>
      </c>
      <c r="Q128" s="15">
        <f t="shared" si="77"/>
        <v>104.49019172487777</v>
      </c>
      <c r="R128" s="15">
        <f t="shared" si="88"/>
        <v>100.42135513640548</v>
      </c>
      <c r="S128" s="15">
        <f t="shared" si="89"/>
        <v>100.63684441258435</v>
      </c>
      <c r="U128" s="4">
        <f t="shared" si="90"/>
        <v>323.1226549031519</v>
      </c>
      <c r="W128" s="15">
        <f t="shared" si="91"/>
        <v>8.556434438697899</v>
      </c>
      <c r="Y128" s="3">
        <f t="shared" si="92"/>
        <v>0.00826019734751994</v>
      </c>
      <c r="AB128" s="1">
        <f t="shared" si="78"/>
        <v>9.499769316149915E-06</v>
      </c>
      <c r="AC128">
        <f t="shared" si="79"/>
        <v>16.27</v>
      </c>
      <c r="AD128">
        <f t="shared" si="80"/>
        <v>1</v>
      </c>
      <c r="AE128" s="8">
        <f t="shared" si="68"/>
        <v>188.15352745039726</v>
      </c>
      <c r="AF128" s="4">
        <f t="shared" si="69"/>
        <v>266181.1405612677</v>
      </c>
      <c r="AG128" s="5">
        <f t="shared" si="70"/>
        <v>0.01392971254644964</v>
      </c>
      <c r="AH128" s="4">
        <f t="shared" si="81"/>
        <v>13500</v>
      </c>
      <c r="AI128" s="8">
        <f t="shared" si="82"/>
        <v>168.99487225209037</v>
      </c>
      <c r="AJ128" s="10">
        <f t="shared" si="83"/>
        <v>17.239337886615026</v>
      </c>
    </row>
    <row r="129" spans="1:36" ht="12.75">
      <c r="A129" s="109"/>
      <c r="C129">
        <f t="shared" si="84"/>
        <v>135</v>
      </c>
      <c r="D129" s="4">
        <f t="shared" si="71"/>
        <v>2025</v>
      </c>
      <c r="E129" s="15">
        <f t="shared" si="85"/>
        <v>2.75</v>
      </c>
      <c r="F129" s="15">
        <f t="shared" si="72"/>
        <v>371.25</v>
      </c>
      <c r="H129" s="15">
        <f t="shared" si="86"/>
        <v>0</v>
      </c>
      <c r="I129" s="15">
        <f t="shared" si="73"/>
        <v>0</v>
      </c>
      <c r="J129" s="15"/>
      <c r="K129" s="15">
        <f t="shared" si="74"/>
        <v>2.75</v>
      </c>
      <c r="L129" s="15">
        <f t="shared" si="75"/>
        <v>371.25</v>
      </c>
      <c r="N129">
        <f t="shared" si="76"/>
        <v>5.19</v>
      </c>
      <c r="O129" s="15">
        <f>'Supply helium'!AM129</f>
        <v>77.50721748423727</v>
      </c>
      <c r="P129" s="15">
        <f t="shared" si="87"/>
        <v>26.979999999999507</v>
      </c>
      <c r="Q129" s="15">
        <f t="shared" si="77"/>
        <v>104.48721748423678</v>
      </c>
      <c r="R129" s="15">
        <f t="shared" si="88"/>
        <v>100.85822100386346</v>
      </c>
      <c r="S129" s="15">
        <f t="shared" si="89"/>
        <v>101.04074909568381</v>
      </c>
      <c r="U129" s="4">
        <f t="shared" si="90"/>
        <v>340.2355237805477</v>
      </c>
      <c r="W129" s="15">
        <f t="shared" si="91"/>
        <v>8.556434438697899</v>
      </c>
      <c r="Y129" s="3">
        <f t="shared" si="92"/>
        <v>0.008222517542034994</v>
      </c>
      <c r="AB129" s="1">
        <f t="shared" si="78"/>
        <v>9.52378710422574E-06</v>
      </c>
      <c r="AC129">
        <f t="shared" si="79"/>
        <v>16.27</v>
      </c>
      <c r="AD129">
        <f t="shared" si="80"/>
        <v>1</v>
      </c>
      <c r="AE129" s="8">
        <f t="shared" si="68"/>
        <v>199.02618893451617</v>
      </c>
      <c r="AF129" s="4">
        <f t="shared" si="69"/>
        <v>279571.5086350186</v>
      </c>
      <c r="AG129" s="5">
        <f t="shared" si="70"/>
        <v>0.013759835671667374</v>
      </c>
      <c r="AH129" s="4">
        <f t="shared" si="81"/>
        <v>13500</v>
      </c>
      <c r="AI129" s="8">
        <f t="shared" si="82"/>
        <v>185.93225215656852</v>
      </c>
      <c r="AJ129" s="10">
        <f t="shared" si="83"/>
        <v>17.23747856409346</v>
      </c>
    </row>
    <row r="130" spans="1:36" ht="12.75">
      <c r="A130" s="109"/>
      <c r="C130">
        <f t="shared" si="84"/>
        <v>135</v>
      </c>
      <c r="D130" s="4">
        <f t="shared" si="71"/>
        <v>2160</v>
      </c>
      <c r="E130" s="15">
        <f t="shared" si="85"/>
        <v>2.75</v>
      </c>
      <c r="F130" s="15">
        <f t="shared" si="72"/>
        <v>371.25</v>
      </c>
      <c r="H130" s="15">
        <f t="shared" si="86"/>
        <v>0</v>
      </c>
      <c r="I130" s="15">
        <f t="shared" si="73"/>
        <v>0</v>
      </c>
      <c r="J130" s="15"/>
      <c r="K130" s="15">
        <f t="shared" si="74"/>
        <v>2.75</v>
      </c>
      <c r="L130" s="15">
        <f t="shared" si="75"/>
        <v>371.25</v>
      </c>
      <c r="N130">
        <f t="shared" si="76"/>
        <v>5.19</v>
      </c>
      <c r="O130" s="15">
        <f>'Supply helium'!AM130</f>
        <v>77.5041959447246</v>
      </c>
      <c r="P130" s="15">
        <f t="shared" si="87"/>
        <v>26.979999999999507</v>
      </c>
      <c r="Q130" s="15">
        <f t="shared" si="77"/>
        <v>104.4841959447241</v>
      </c>
      <c r="R130" s="15">
        <f t="shared" si="88"/>
        <v>101.2509910807437</v>
      </c>
      <c r="S130" s="15">
        <f t="shared" si="89"/>
        <v>101.40582432479307</v>
      </c>
      <c r="U130" s="4">
        <f t="shared" si="90"/>
        <v>357.34839265794346</v>
      </c>
      <c r="W130" s="15">
        <f t="shared" si="91"/>
        <v>8.556434438697899</v>
      </c>
      <c r="Y130" s="3">
        <f t="shared" si="92"/>
        <v>0.008188765210884907</v>
      </c>
      <c r="AB130" s="1">
        <f t="shared" si="78"/>
        <v>9.545495937649494E-06</v>
      </c>
      <c r="AC130">
        <f t="shared" si="79"/>
        <v>16.27</v>
      </c>
      <c r="AD130">
        <f t="shared" si="80"/>
        <v>1</v>
      </c>
      <c r="AE130" s="8">
        <f t="shared" si="68"/>
        <v>209.8982382618378</v>
      </c>
      <c r="AF130" s="4">
        <f t="shared" si="69"/>
        <v>292965.35705625685</v>
      </c>
      <c r="AG130" s="5">
        <f t="shared" si="70"/>
        <v>0.013599796432983483</v>
      </c>
      <c r="AH130" s="4">
        <f t="shared" si="81"/>
        <v>13500</v>
      </c>
      <c r="AI130" s="8">
        <f t="shared" si="82"/>
        <v>203.556340054801</v>
      </c>
      <c r="AJ130" s="10">
        <f t="shared" si="83"/>
        <v>17.235443000692914</v>
      </c>
    </row>
    <row r="131" spans="1:36" ht="12.75">
      <c r="A131" s="109"/>
      <c r="C131">
        <f t="shared" si="84"/>
        <v>135</v>
      </c>
      <c r="D131" s="4">
        <f t="shared" si="71"/>
        <v>2295</v>
      </c>
      <c r="E131" s="15">
        <f t="shared" si="85"/>
        <v>2.75</v>
      </c>
      <c r="F131" s="15">
        <f t="shared" si="72"/>
        <v>371.25</v>
      </c>
      <c r="H131" s="15">
        <f t="shared" si="86"/>
        <v>0</v>
      </c>
      <c r="I131" s="15">
        <f t="shared" si="73"/>
        <v>0</v>
      </c>
      <c r="J131" s="15"/>
      <c r="K131" s="15">
        <f t="shared" si="74"/>
        <v>2.75</v>
      </c>
      <c r="L131" s="15">
        <f t="shared" si="75"/>
        <v>371.25</v>
      </c>
      <c r="N131">
        <f t="shared" si="76"/>
        <v>5.19</v>
      </c>
      <c r="O131" s="15">
        <f>'Supply helium'!AM131</f>
        <v>77.50112557765713</v>
      </c>
      <c r="P131" s="15">
        <f t="shared" si="87"/>
        <v>26.979999999999507</v>
      </c>
      <c r="Q131" s="15">
        <f t="shared" si="77"/>
        <v>104.48112557765664</v>
      </c>
      <c r="R131" s="15">
        <f t="shared" si="88"/>
        <v>101.60599814221383</v>
      </c>
      <c r="S131" s="15">
        <f t="shared" si="89"/>
        <v>101.7373913832845</v>
      </c>
      <c r="U131" s="4">
        <f t="shared" si="90"/>
        <v>374.46126153533925</v>
      </c>
      <c r="W131" s="15">
        <f t="shared" si="91"/>
        <v>8.556434438697899</v>
      </c>
      <c r="Y131" s="3">
        <f t="shared" si="92"/>
        <v>0.00815832097950798</v>
      </c>
      <c r="AB131" s="1">
        <f t="shared" si="78"/>
        <v>9.56521224121563E-06</v>
      </c>
      <c r="AC131">
        <f t="shared" si="79"/>
        <v>16.27</v>
      </c>
      <c r="AD131">
        <f t="shared" si="80"/>
        <v>1</v>
      </c>
      <c r="AE131" s="8">
        <f t="shared" si="68"/>
        <v>220.7707268805365</v>
      </c>
      <c r="AF131" s="4">
        <f t="shared" si="69"/>
        <v>306362.22686528886</v>
      </c>
      <c r="AG131" s="5">
        <f t="shared" si="70"/>
        <v>0.013448618388106556</v>
      </c>
      <c r="AH131" s="4">
        <f t="shared" si="81"/>
        <v>13500</v>
      </c>
      <c r="AI131" s="8">
        <f t="shared" si="82"/>
        <v>221.8593077342675</v>
      </c>
      <c r="AJ131" s="10">
        <f t="shared" si="83"/>
        <v>17.233224407615573</v>
      </c>
    </row>
    <row r="132" spans="1:36" ht="12.75">
      <c r="A132" s="109"/>
      <c r="C132">
        <f t="shared" si="84"/>
        <v>135</v>
      </c>
      <c r="D132" s="4">
        <f t="shared" si="71"/>
        <v>2430</v>
      </c>
      <c r="E132" s="15">
        <f t="shared" si="85"/>
        <v>2.75</v>
      </c>
      <c r="F132" s="15">
        <f t="shared" si="72"/>
        <v>371.25</v>
      </c>
      <c r="H132" s="15">
        <f t="shared" si="86"/>
        <v>0</v>
      </c>
      <c r="I132" s="15">
        <f t="shared" si="73"/>
        <v>0</v>
      </c>
      <c r="J132" s="15"/>
      <c r="K132" s="15">
        <f t="shared" si="74"/>
        <v>2.75</v>
      </c>
      <c r="L132" s="15">
        <f t="shared" si="75"/>
        <v>371.25</v>
      </c>
      <c r="N132">
        <f t="shared" si="76"/>
        <v>5.19</v>
      </c>
      <c r="O132" s="15">
        <f>'Supply helium'!AM132</f>
        <v>77.49800477902468</v>
      </c>
      <c r="P132" s="15">
        <f t="shared" si="87"/>
        <v>26.979999999999507</v>
      </c>
      <c r="Q132" s="15">
        <f t="shared" si="77"/>
        <v>104.47800477902419</v>
      </c>
      <c r="R132" s="15">
        <f t="shared" si="88"/>
        <v>101.92841726300895</v>
      </c>
      <c r="S132" s="15">
        <f t="shared" si="89"/>
        <v>102.0398412654246</v>
      </c>
      <c r="U132" s="4">
        <f t="shared" si="90"/>
        <v>391.57413041273503</v>
      </c>
      <c r="W132" s="15">
        <f t="shared" si="91"/>
        <v>8.556434438697899</v>
      </c>
      <c r="Y132" s="3">
        <f t="shared" si="92"/>
        <v>0.008130685879778278</v>
      </c>
      <c r="AB132" s="1">
        <f t="shared" si="78"/>
        <v>9.583197121007208E-06</v>
      </c>
      <c r="AC132">
        <f t="shared" si="79"/>
        <v>16.27</v>
      </c>
      <c r="AD132">
        <f t="shared" si="80"/>
        <v>1</v>
      </c>
      <c r="AE132" s="8">
        <f t="shared" si="68"/>
        <v>231.64460441413664</v>
      </c>
      <c r="AF132" s="4">
        <f t="shared" si="69"/>
        <v>319761.743494355</v>
      </c>
      <c r="AG132" s="5">
        <f t="shared" si="70"/>
        <v>0.013305458631173979</v>
      </c>
      <c r="AH132" s="4">
        <f t="shared" si="81"/>
        <v>13500</v>
      </c>
      <c r="AI132" s="8">
        <f t="shared" si="82"/>
        <v>240.83390605353202</v>
      </c>
      <c r="AJ132" s="10">
        <f t="shared" si="83"/>
        <v>17.230816068555036</v>
      </c>
    </row>
    <row r="133" spans="1:36" ht="12.75">
      <c r="A133" s="109"/>
      <c r="C133">
        <f t="shared" si="84"/>
        <v>135</v>
      </c>
      <c r="D133" s="4">
        <f t="shared" si="71"/>
        <v>2565</v>
      </c>
      <c r="E133" s="15">
        <f t="shared" si="85"/>
        <v>2.75</v>
      </c>
      <c r="F133" s="15">
        <f t="shared" si="72"/>
        <v>371.25</v>
      </c>
      <c r="H133" s="15">
        <f t="shared" si="86"/>
        <v>0</v>
      </c>
      <c r="I133" s="15">
        <f t="shared" si="73"/>
        <v>0</v>
      </c>
      <c r="J133" s="15"/>
      <c r="K133" s="15">
        <f t="shared" si="74"/>
        <v>2.75</v>
      </c>
      <c r="L133" s="15">
        <f t="shared" si="75"/>
        <v>371.25</v>
      </c>
      <c r="N133">
        <f t="shared" si="76"/>
        <v>5.19</v>
      </c>
      <c r="O133" s="15">
        <f>'Supply helium'!AM133</f>
        <v>77.49483186445835</v>
      </c>
      <c r="P133" s="15">
        <f t="shared" si="87"/>
        <v>26.979999999999507</v>
      </c>
      <c r="Q133" s="15">
        <f t="shared" si="77"/>
        <v>104.47483186445785</v>
      </c>
      <c r="R133" s="15">
        <f t="shared" si="88"/>
        <v>102.22251878764017</v>
      </c>
      <c r="S133" s="15">
        <f t="shared" si="89"/>
        <v>102.31682944205632</v>
      </c>
      <c r="U133" s="4">
        <f t="shared" si="90"/>
        <v>408.6869992901308</v>
      </c>
      <c r="W133" s="15">
        <f t="shared" si="91"/>
        <v>8.556434438697899</v>
      </c>
      <c r="Y133" s="3">
        <f t="shared" si="92"/>
        <v>0.00810545333110873</v>
      </c>
      <c r="AB133" s="1">
        <f t="shared" si="78"/>
        <v>9.599667945942437E-06</v>
      </c>
      <c r="AC133">
        <f t="shared" si="79"/>
        <v>16.27</v>
      </c>
      <c r="AD133">
        <f t="shared" si="80"/>
        <v>1</v>
      </c>
      <c r="AE133" s="8">
        <f t="shared" si="68"/>
        <v>242.52074441764685</v>
      </c>
      <c r="AF133" s="4">
        <f t="shared" si="69"/>
        <v>333163.59843681764</v>
      </c>
      <c r="AG133" s="5">
        <f t="shared" si="70"/>
        <v>0.013169584972543941</v>
      </c>
      <c r="AH133" s="4">
        <f t="shared" si="81"/>
        <v>13500</v>
      </c>
      <c r="AI133" s="8">
        <f t="shared" si="82"/>
        <v>260.47341471811694</v>
      </c>
      <c r="AJ133" s="10">
        <f t="shared" si="83"/>
        <v>17.228211334407856</v>
      </c>
    </row>
    <row r="134" spans="1:36" ht="13.5" thickBot="1">
      <c r="A134" s="110"/>
      <c r="C134">
        <f t="shared" si="84"/>
        <v>135</v>
      </c>
      <c r="D134" s="4">
        <f t="shared" si="71"/>
        <v>2700</v>
      </c>
      <c r="E134" s="15">
        <f t="shared" si="85"/>
        <v>2.75</v>
      </c>
      <c r="F134" s="15">
        <f t="shared" si="72"/>
        <v>371.25</v>
      </c>
      <c r="H134" s="15">
        <f t="shared" si="86"/>
        <v>0</v>
      </c>
      <c r="I134" s="15">
        <f t="shared" si="73"/>
        <v>0</v>
      </c>
      <c r="J134" s="15"/>
      <c r="K134" s="15">
        <f t="shared" si="74"/>
        <v>2.75</v>
      </c>
      <c r="L134" s="15">
        <f t="shared" si="75"/>
        <v>371.25</v>
      </c>
      <c r="N134">
        <f t="shared" si="76"/>
        <v>5.19</v>
      </c>
      <c r="O134" s="15">
        <f>'Supply helium'!AM134</f>
        <v>77.49160506377147</v>
      </c>
      <c r="P134" s="15">
        <f t="shared" si="87"/>
        <v>26.979999999999507</v>
      </c>
      <c r="Q134" s="15">
        <f t="shared" si="77"/>
        <v>104.47160506377098</v>
      </c>
      <c r="R134" s="15">
        <f t="shared" si="88"/>
        <v>102.49185774496725</v>
      </c>
      <c r="S134" s="15">
        <f t="shared" si="89"/>
        <v>102.57142366034168</v>
      </c>
      <c r="U134" s="4">
        <f t="shared" si="90"/>
        <v>425.7998681675266</v>
      </c>
      <c r="W134" s="15">
        <f t="shared" si="91"/>
        <v>8.556434438697899</v>
      </c>
      <c r="Y134" s="3">
        <f t="shared" si="92"/>
        <v>0.008082288598669827</v>
      </c>
      <c r="AB134" s="1">
        <f t="shared" si="78"/>
        <v>9.614807136538557E-06</v>
      </c>
      <c r="AC134">
        <f t="shared" si="79"/>
        <v>16.27</v>
      </c>
      <c r="AD134">
        <f t="shared" si="80"/>
        <v>1</v>
      </c>
      <c r="AE134" s="8">
        <f t="shared" si="68"/>
        <v>253.3999636570994</v>
      </c>
      <c r="AF134" s="4">
        <f t="shared" si="69"/>
        <v>346567.5355058434</v>
      </c>
      <c r="AG134" s="5">
        <f t="shared" si="70"/>
        <v>0.013040357728928868</v>
      </c>
      <c r="AH134" s="4">
        <f t="shared" si="81"/>
        <v>13500</v>
      </c>
      <c r="AI134" s="8">
        <f t="shared" si="82"/>
        <v>280.77159925118775</v>
      </c>
      <c r="AJ134" s="10">
        <f t="shared" si="83"/>
        <v>17.225403618415346</v>
      </c>
    </row>
    <row r="135" spans="1:36" ht="12.75">
      <c r="A135" s="108"/>
      <c r="C135">
        <f t="shared" si="84"/>
        <v>135</v>
      </c>
      <c r="D135" s="4">
        <f t="shared" si="71"/>
        <v>2835</v>
      </c>
      <c r="E135" s="15">
        <f t="shared" si="85"/>
        <v>2.75</v>
      </c>
      <c r="F135" s="15">
        <f t="shared" si="72"/>
        <v>371.25</v>
      </c>
      <c r="H135" s="15">
        <f t="shared" si="86"/>
        <v>0</v>
      </c>
      <c r="I135" s="15">
        <f t="shared" si="73"/>
        <v>0</v>
      </c>
      <c r="J135" s="15"/>
      <c r="K135" s="15">
        <f t="shared" si="74"/>
        <v>2.75</v>
      </c>
      <c r="L135" s="15">
        <f t="shared" si="75"/>
        <v>371.25</v>
      </c>
      <c r="N135">
        <f t="shared" si="76"/>
        <v>5.19</v>
      </c>
      <c r="O135" s="15">
        <f>'Supply helium'!AM135</f>
        <v>77.48832251502914</v>
      </c>
      <c r="P135" s="15">
        <f t="shared" si="87"/>
        <v>26.979999999999507</v>
      </c>
      <c r="Q135" s="15">
        <f t="shared" si="77"/>
        <v>104.46832251502865</v>
      </c>
      <c r="R135" s="15">
        <f t="shared" si="88"/>
        <v>102.739417587196</v>
      </c>
      <c r="S135" s="15">
        <f t="shared" si="89"/>
        <v>102.80621747994438</v>
      </c>
      <c r="U135" s="4">
        <f t="shared" si="90"/>
        <v>442.9127370449224</v>
      </c>
      <c r="W135" s="15">
        <f t="shared" si="91"/>
        <v>8.556434438697899</v>
      </c>
      <c r="Y135" s="3">
        <f t="shared" si="92"/>
        <v>0.008060913499864182</v>
      </c>
      <c r="AB135" s="1">
        <f t="shared" si="78"/>
        <v>9.628768916227412E-06</v>
      </c>
      <c r="AC135">
        <f t="shared" si="79"/>
        <v>16.27</v>
      </c>
      <c r="AD135">
        <f t="shared" si="80"/>
        <v>1</v>
      </c>
      <c r="AE135" s="8">
        <f t="shared" si="68"/>
        <v>264.28303673909363</v>
      </c>
      <c r="AF135" s="4">
        <f t="shared" si="69"/>
        <v>359973.3403964171</v>
      </c>
      <c r="AG135" s="5">
        <f t="shared" si="70"/>
        <v>0.012917215061246476</v>
      </c>
      <c r="AH135" s="4">
        <f t="shared" si="81"/>
        <v>13500</v>
      </c>
      <c r="AI135" s="8">
        <f t="shared" si="82"/>
        <v>301.72267392732823</v>
      </c>
      <c r="AJ135" s="10">
        <f t="shared" si="83"/>
        <v>17.22238639167607</v>
      </c>
    </row>
    <row r="136" spans="1:36" ht="12.75">
      <c r="A136" s="109"/>
      <c r="C136">
        <f t="shared" si="84"/>
        <v>135</v>
      </c>
      <c r="D136" s="4">
        <f t="shared" si="71"/>
        <v>2970</v>
      </c>
      <c r="E136" s="15">
        <f t="shared" si="85"/>
        <v>2.75</v>
      </c>
      <c r="F136" s="15">
        <f t="shared" si="72"/>
        <v>371.25</v>
      </c>
      <c r="H136" s="15">
        <f t="shared" si="86"/>
        <v>0</v>
      </c>
      <c r="I136" s="15">
        <f t="shared" si="73"/>
        <v>0</v>
      </c>
      <c r="J136" s="15"/>
      <c r="K136" s="15">
        <f t="shared" si="74"/>
        <v>2.75</v>
      </c>
      <c r="L136" s="15">
        <f t="shared" si="75"/>
        <v>371.25</v>
      </c>
      <c r="N136">
        <f t="shared" si="76"/>
        <v>5.19</v>
      </c>
      <c r="O136" s="15">
        <f>'Supply helium'!AM136</f>
        <v>77.48498225809631</v>
      </c>
      <c r="P136" s="15">
        <f t="shared" si="87"/>
        <v>26.979999999999507</v>
      </c>
      <c r="Q136" s="15">
        <f t="shared" si="77"/>
        <v>104.46498225809582</v>
      </c>
      <c r="R136" s="15">
        <f t="shared" si="88"/>
        <v>102.96772060668842</v>
      </c>
      <c r="S136" s="15">
        <f t="shared" si="89"/>
        <v>103.02341846782012</v>
      </c>
      <c r="U136" s="4">
        <f t="shared" si="90"/>
        <v>460.02560592231816</v>
      </c>
      <c r="W136" s="15">
        <f t="shared" si="91"/>
        <v>8.556434438697899</v>
      </c>
      <c r="Y136" s="3">
        <f t="shared" si="92"/>
        <v>0.008041094858506204</v>
      </c>
      <c r="AB136" s="1">
        <f t="shared" si="78"/>
        <v>9.641684555770454E-06</v>
      </c>
      <c r="AC136">
        <f t="shared" si="79"/>
        <v>16.27</v>
      </c>
      <c r="AD136">
        <f t="shared" si="80"/>
        <v>1</v>
      </c>
      <c r="AE136" s="8">
        <f t="shared" si="68"/>
        <v>275.17070735221364</v>
      </c>
      <c r="AF136" s="4">
        <f t="shared" si="69"/>
        <v>373380.83266065805</v>
      </c>
      <c r="AG136" s="5">
        <f t="shared" si="70"/>
        <v>0.012799661070153203</v>
      </c>
      <c r="AH136" s="4">
        <f t="shared" si="81"/>
        <v>13500</v>
      </c>
      <c r="AI136" s="8">
        <f t="shared" si="82"/>
        <v>323.32126968540484</v>
      </c>
      <c r="AJ136" s="10">
        <f t="shared" si="83"/>
        <v>17.219153178979216</v>
      </c>
    </row>
    <row r="137" spans="1:36" ht="12.75">
      <c r="A137" s="109"/>
      <c r="C137">
        <f t="shared" si="84"/>
        <v>135</v>
      </c>
      <c r="D137" s="4">
        <f t="shared" si="71"/>
        <v>3105</v>
      </c>
      <c r="E137" s="15">
        <f t="shared" si="85"/>
        <v>2.75</v>
      </c>
      <c r="F137" s="15">
        <f t="shared" si="72"/>
        <v>371.25</v>
      </c>
      <c r="H137" s="15">
        <f t="shared" si="86"/>
        <v>0</v>
      </c>
      <c r="I137" s="15">
        <f t="shared" si="73"/>
        <v>0</v>
      </c>
      <c r="J137" s="15"/>
      <c r="K137" s="15">
        <f t="shared" si="74"/>
        <v>2.75</v>
      </c>
      <c r="L137" s="15">
        <f t="shared" si="75"/>
        <v>371.25</v>
      </c>
      <c r="N137">
        <f t="shared" si="76"/>
        <v>5.19</v>
      </c>
      <c r="O137" s="15">
        <f>'Supply helium'!AM137</f>
        <v>77.48158222760871</v>
      </c>
      <c r="P137" s="15">
        <f t="shared" si="87"/>
        <v>26.979999999999507</v>
      </c>
      <c r="Q137" s="15">
        <f t="shared" si="77"/>
        <v>104.46158222760822</v>
      </c>
      <c r="R137" s="15">
        <f t="shared" si="88"/>
        <v>103.17891370762118</v>
      </c>
      <c r="S137" s="15">
        <f t="shared" si="89"/>
        <v>103.22491741378828</v>
      </c>
      <c r="U137" s="4">
        <f t="shared" si="90"/>
        <v>477.13847479971395</v>
      </c>
      <c r="W137" s="15">
        <f t="shared" si="91"/>
        <v>8.556434438697899</v>
      </c>
      <c r="Y137" s="3">
        <f t="shared" si="92"/>
        <v>0.00802263567723847</v>
      </c>
      <c r="AB137" s="1">
        <f t="shared" si="78"/>
        <v>9.653666489093506E-06</v>
      </c>
      <c r="AC137">
        <f t="shared" si="79"/>
        <v>16.27</v>
      </c>
      <c r="AD137">
        <f t="shared" si="80"/>
        <v>1</v>
      </c>
      <c r="AE137" s="8">
        <f t="shared" si="68"/>
        <v>286.0636970065568</v>
      </c>
      <c r="AF137" s="4">
        <f t="shared" si="69"/>
        <v>386789.8594703791</v>
      </c>
      <c r="AG137" s="5">
        <f t="shared" si="70"/>
        <v>0.012687256055392305</v>
      </c>
      <c r="AH137" s="4">
        <f t="shared" si="81"/>
        <v>13500</v>
      </c>
      <c r="AI137" s="8">
        <f t="shared" si="82"/>
        <v>345.56240622821576</v>
      </c>
      <c r="AJ137" s="10">
        <f t="shared" si="83"/>
        <v>17.215697554916932</v>
      </c>
    </row>
    <row r="138" spans="1:36" ht="12.75">
      <c r="A138" s="109"/>
      <c r="C138">
        <f t="shared" si="84"/>
        <v>135</v>
      </c>
      <c r="D138" s="4">
        <f t="shared" si="71"/>
        <v>3240</v>
      </c>
      <c r="E138" s="15">
        <f t="shared" si="85"/>
        <v>2.75</v>
      </c>
      <c r="F138" s="15">
        <f t="shared" si="72"/>
        <v>371.25</v>
      </c>
      <c r="H138" s="15">
        <f t="shared" si="86"/>
        <v>0</v>
      </c>
      <c r="I138" s="15">
        <f t="shared" si="73"/>
        <v>0</v>
      </c>
      <c r="J138" s="15"/>
      <c r="K138" s="15">
        <f t="shared" si="74"/>
        <v>2.75</v>
      </c>
      <c r="L138" s="15">
        <f t="shared" si="75"/>
        <v>371.25</v>
      </c>
      <c r="N138">
        <f t="shared" si="76"/>
        <v>5.19</v>
      </c>
      <c r="O138" s="15">
        <f>'Supply helium'!AM138</f>
        <v>77.47812024530329</v>
      </c>
      <c r="P138" s="15">
        <f t="shared" si="87"/>
        <v>26.979999999999507</v>
      </c>
      <c r="Q138" s="15">
        <f t="shared" si="77"/>
        <v>104.4581202453028</v>
      </c>
      <c r="R138" s="15">
        <f t="shared" si="88"/>
        <v>103.37483571986816</v>
      </c>
      <c r="S138" s="15">
        <f t="shared" si="89"/>
        <v>103.41234316679336</v>
      </c>
      <c r="U138" s="4">
        <f t="shared" si="90"/>
        <v>494.25134367710973</v>
      </c>
      <c r="W138" s="15">
        <f t="shared" si="91"/>
        <v>8.556434438697899</v>
      </c>
      <c r="Y138" s="3">
        <f t="shared" si="92"/>
        <v>0.008005368309702639</v>
      </c>
      <c r="AB138" s="1">
        <f t="shared" si="78"/>
        <v>9.664811574070201E-06</v>
      </c>
      <c r="AC138">
        <f t="shared" si="79"/>
        <v>16.27</v>
      </c>
      <c r="AD138">
        <f t="shared" si="80"/>
        <v>1</v>
      </c>
      <c r="AE138" s="8">
        <f t="shared" si="68"/>
        <v>296.96271190325564</v>
      </c>
      <c r="AF138" s="4">
        <f t="shared" si="69"/>
        <v>400200.29071988387</v>
      </c>
      <c r="AG138" s="5">
        <f t="shared" si="70"/>
        <v>0.012579608487925803</v>
      </c>
      <c r="AH138" s="4">
        <f t="shared" si="81"/>
        <v>13500</v>
      </c>
      <c r="AI138" s="8">
        <f t="shared" si="82"/>
        <v>368.4414676661807</v>
      </c>
      <c r="AJ138" s="10">
        <f t="shared" si="83"/>
        <v>17.21201314024027</v>
      </c>
    </row>
    <row r="139" spans="1:36" ht="12.75">
      <c r="A139" s="109"/>
      <c r="C139">
        <f t="shared" si="84"/>
        <v>135</v>
      </c>
      <c r="D139" s="4">
        <f t="shared" si="71"/>
        <v>3375</v>
      </c>
      <c r="E139" s="15">
        <f t="shared" si="85"/>
        <v>2.75</v>
      </c>
      <c r="F139" s="15">
        <f t="shared" si="72"/>
        <v>371.25</v>
      </c>
      <c r="H139" s="15">
        <f t="shared" si="86"/>
        <v>0</v>
      </c>
      <c r="I139" s="15">
        <f t="shared" si="73"/>
        <v>0</v>
      </c>
      <c r="J139" s="15"/>
      <c r="K139" s="15">
        <f t="shared" si="74"/>
        <v>2.75</v>
      </c>
      <c r="L139" s="15">
        <f t="shared" si="75"/>
        <v>371.25</v>
      </c>
      <c r="N139">
        <f t="shared" si="76"/>
        <v>5.19</v>
      </c>
      <c r="O139" s="15">
        <f>'Supply helium'!AM139</f>
        <v>77.47459401163704</v>
      </c>
      <c r="P139" s="15">
        <f t="shared" si="87"/>
        <v>26.979999999999507</v>
      </c>
      <c r="Q139" s="15">
        <f t="shared" si="77"/>
        <v>104.45459401163654</v>
      </c>
      <c r="R139" s="15">
        <f t="shared" si="88"/>
        <v>103.55707072863535</v>
      </c>
      <c r="S139" s="15">
        <f t="shared" si="89"/>
        <v>103.58710646027109</v>
      </c>
      <c r="U139" s="4">
        <f t="shared" si="90"/>
        <v>511.3642125545055</v>
      </c>
      <c r="W139" s="15">
        <f t="shared" si="91"/>
        <v>8.556434438697899</v>
      </c>
      <c r="Y139" s="3">
        <f t="shared" si="92"/>
        <v>0.007989149123127362</v>
      </c>
      <c r="AB139" s="1">
        <f t="shared" si="78"/>
        <v>9.675203698553559E-06</v>
      </c>
      <c r="AC139">
        <f t="shared" si="79"/>
        <v>16.27</v>
      </c>
      <c r="AD139">
        <f t="shared" si="80"/>
        <v>1</v>
      </c>
      <c r="AE139" s="8">
        <f t="shared" si="68"/>
        <v>307.86844839078424</v>
      </c>
      <c r="AF139" s="4">
        <f t="shared" si="69"/>
        <v>413612.01514542423</v>
      </c>
      <c r="AG139" s="5">
        <f t="shared" si="70"/>
        <v>0.012476368348979926</v>
      </c>
      <c r="AH139" s="4">
        <f t="shared" si="81"/>
        <v>13500</v>
      </c>
      <c r="AI139" s="8">
        <f t="shared" si="82"/>
        <v>391.9541811799451</v>
      </c>
      <c r="AJ139" s="10">
        <f t="shared" si="83"/>
        <v>17.20809359842847</v>
      </c>
    </row>
    <row r="140" spans="1:36" ht="12.75">
      <c r="A140" s="109"/>
      <c r="C140">
        <f t="shared" si="84"/>
        <v>135</v>
      </c>
      <c r="D140" s="4">
        <f t="shared" si="71"/>
        <v>3510</v>
      </c>
      <c r="E140" s="15">
        <f t="shared" si="85"/>
        <v>2.75</v>
      </c>
      <c r="F140" s="15">
        <f t="shared" si="72"/>
        <v>371.25</v>
      </c>
      <c r="H140" s="15">
        <f t="shared" si="86"/>
        <v>0</v>
      </c>
      <c r="I140" s="15">
        <f t="shared" si="73"/>
        <v>0</v>
      </c>
      <c r="J140" s="15"/>
      <c r="K140" s="15">
        <f t="shared" si="74"/>
        <v>2.75</v>
      </c>
      <c r="L140" s="15">
        <f t="shared" si="75"/>
        <v>371.25</v>
      </c>
      <c r="N140">
        <f t="shared" si="76"/>
        <v>5.19</v>
      </c>
      <c r="O140" s="15">
        <f>'Supply helium'!AM140</f>
        <v>77.47100109661334</v>
      </c>
      <c r="P140" s="15">
        <f t="shared" si="87"/>
        <v>26.979999999999507</v>
      </c>
      <c r="Q140" s="15">
        <f t="shared" si="77"/>
        <v>104.45100109661284</v>
      </c>
      <c r="R140" s="15">
        <f t="shared" si="88"/>
        <v>103.72699069571685</v>
      </c>
      <c r="S140" s="15">
        <f t="shared" si="89"/>
        <v>103.7504352224366</v>
      </c>
      <c r="U140" s="4">
        <f t="shared" si="90"/>
        <v>528.4770814319013</v>
      </c>
      <c r="W140" s="15">
        <f t="shared" si="91"/>
        <v>8.556434438697899</v>
      </c>
      <c r="Y140" s="3">
        <f t="shared" si="92"/>
        <v>0.007973854285053894</v>
      </c>
      <c r="AB140" s="1">
        <f t="shared" si="78"/>
        <v>9.68491588006697E-06</v>
      </c>
      <c r="AC140">
        <f t="shared" si="79"/>
        <v>16.27</v>
      </c>
      <c r="AD140">
        <f t="shared" si="80"/>
        <v>1</v>
      </c>
      <c r="AE140" s="8">
        <f t="shared" si="68"/>
        <v>318.781597342517</v>
      </c>
      <c r="AF140" s="4">
        <f t="shared" si="69"/>
        <v>427024.9372241331</v>
      </c>
      <c r="AG140" s="5">
        <f t="shared" si="70"/>
        <v>0.012377221568364995</v>
      </c>
      <c r="AH140" s="4">
        <f t="shared" si="81"/>
        <v>13500</v>
      </c>
      <c r="AI140" s="8">
        <f t="shared" si="82"/>
        <v>416.09659827000115</v>
      </c>
      <c r="AJ140" s="10">
        <f t="shared" si="83"/>
        <v>17.20393263244577</v>
      </c>
    </row>
    <row r="141" spans="1:36" ht="12.75">
      <c r="A141" s="109"/>
      <c r="C141">
        <f t="shared" si="84"/>
        <v>135</v>
      </c>
      <c r="D141" s="4">
        <f t="shared" si="71"/>
        <v>3645</v>
      </c>
      <c r="E141" s="15">
        <f t="shared" si="85"/>
        <v>2.75</v>
      </c>
      <c r="F141" s="15">
        <f t="shared" si="72"/>
        <v>371.25</v>
      </c>
      <c r="H141" s="15">
        <f t="shared" si="86"/>
        <v>0</v>
      </c>
      <c r="I141" s="15">
        <f t="shared" si="73"/>
        <v>0</v>
      </c>
      <c r="J141" s="15"/>
      <c r="K141" s="15">
        <f t="shared" si="74"/>
        <v>2.75</v>
      </c>
      <c r="L141" s="15">
        <f t="shared" si="75"/>
        <v>371.25</v>
      </c>
      <c r="N141">
        <f t="shared" si="76"/>
        <v>5.19</v>
      </c>
      <c r="O141" s="15">
        <f>'Supply helium'!AM141</f>
        <v>77.46733892972418</v>
      </c>
      <c r="P141" s="15">
        <f t="shared" si="87"/>
        <v>26.979999999999507</v>
      </c>
      <c r="Q141" s="15">
        <f t="shared" si="77"/>
        <v>104.44733892972368</v>
      </c>
      <c r="R141" s="15">
        <f t="shared" si="88"/>
        <v>103.88578979961845</v>
      </c>
      <c r="S141" s="15">
        <f t="shared" si="89"/>
        <v>103.9034032410432</v>
      </c>
      <c r="U141" s="4">
        <f t="shared" si="90"/>
        <v>545.5899503092971</v>
      </c>
      <c r="W141" s="15">
        <f t="shared" si="91"/>
        <v>8.556434438697899</v>
      </c>
      <c r="Y141" s="3">
        <f t="shared" si="92"/>
        <v>0.007959376407307983</v>
      </c>
      <c r="AB141" s="1">
        <f t="shared" si="78"/>
        <v>9.694011970325392E-06</v>
      </c>
      <c r="AC141">
        <f t="shared" si="79"/>
        <v>16.27</v>
      </c>
      <c r="AD141">
        <f t="shared" si="80"/>
        <v>1</v>
      </c>
      <c r="AE141" s="8">
        <f t="shared" si="68"/>
        <v>329.70284770332387</v>
      </c>
      <c r="AF141" s="4">
        <f t="shared" si="69"/>
        <v>440438.9746765188</v>
      </c>
      <c r="AG141" s="5">
        <f t="shared" si="70"/>
        <v>0.01228188535320214</v>
      </c>
      <c r="AH141" s="4">
        <f t="shared" si="81"/>
        <v>13500</v>
      </c>
      <c r="AI141" s="8">
        <f t="shared" si="82"/>
        <v>440.8650782358577</v>
      </c>
      <c r="AJ141" s="10">
        <f t="shared" si="83"/>
        <v>17.19952398166341</v>
      </c>
    </row>
    <row r="142" spans="1:36" ht="12.75">
      <c r="A142" s="109"/>
      <c r="C142">
        <f t="shared" si="84"/>
        <v>135</v>
      </c>
      <c r="D142" s="4">
        <f t="shared" si="71"/>
        <v>3780</v>
      </c>
      <c r="E142" s="15">
        <f t="shared" si="85"/>
        <v>2.75</v>
      </c>
      <c r="F142" s="15">
        <f t="shared" si="72"/>
        <v>371.25</v>
      </c>
      <c r="H142" s="15">
        <f t="shared" si="86"/>
        <v>0</v>
      </c>
      <c r="I142" s="15">
        <f t="shared" si="73"/>
        <v>0</v>
      </c>
      <c r="J142" s="15"/>
      <c r="K142" s="15">
        <f t="shared" si="74"/>
        <v>2.75</v>
      </c>
      <c r="L142" s="15">
        <f t="shared" si="75"/>
        <v>371.25</v>
      </c>
      <c r="N142">
        <f t="shared" si="76"/>
        <v>5.19</v>
      </c>
      <c r="O142" s="15">
        <f>'Supply helium'!AM142</f>
        <v>77.46360478890412</v>
      </c>
      <c r="P142" s="15">
        <f t="shared" si="87"/>
        <v>26.979999999999507</v>
      </c>
      <c r="Q142" s="15">
        <f t="shared" si="77"/>
        <v>104.44360478890363</v>
      </c>
      <c r="R142" s="15">
        <f t="shared" si="88"/>
        <v>104.0345123127315</v>
      </c>
      <c r="S142" s="15">
        <f t="shared" si="89"/>
        <v>104.04695359730437</v>
      </c>
      <c r="U142" s="4">
        <f t="shared" si="90"/>
        <v>562.702819186693</v>
      </c>
      <c r="W142" s="15">
        <f t="shared" si="91"/>
        <v>8.556434438697899</v>
      </c>
      <c r="Y142" s="3">
        <f t="shared" si="92"/>
        <v>0.007945621850370057</v>
      </c>
      <c r="AB142" s="1">
        <f t="shared" si="78"/>
        <v>9.702548048710105E-06</v>
      </c>
      <c r="AC142">
        <f t="shared" si="79"/>
        <v>16.27</v>
      </c>
      <c r="AD142">
        <f t="shared" si="80"/>
        <v>1</v>
      </c>
      <c r="AE142" s="8">
        <f t="shared" si="68"/>
        <v>340.6328893908005</v>
      </c>
      <c r="AF142" s="4">
        <f t="shared" si="69"/>
        <v>453854.0564406528</v>
      </c>
      <c r="AG142" s="5">
        <f t="shared" si="70"/>
        <v>0.012190104242749532</v>
      </c>
      <c r="AH142" s="4">
        <f t="shared" si="81"/>
        <v>13500</v>
      </c>
      <c r="AI142" s="8">
        <f t="shared" si="82"/>
        <v>466.2562735871495</v>
      </c>
      <c r="AJ142" s="10">
        <f t="shared" si="83"/>
        <v>17.19486141892754</v>
      </c>
    </row>
    <row r="143" spans="1:36" ht="12.75">
      <c r="A143" s="109"/>
      <c r="C143">
        <f t="shared" si="84"/>
        <v>135</v>
      </c>
      <c r="D143" s="4">
        <f t="shared" si="71"/>
        <v>3915</v>
      </c>
      <c r="E143" s="15">
        <f t="shared" si="85"/>
        <v>2.75</v>
      </c>
      <c r="F143" s="15">
        <f t="shared" si="72"/>
        <v>371.25</v>
      </c>
      <c r="H143" s="15">
        <f t="shared" si="86"/>
        <v>0</v>
      </c>
      <c r="I143" s="15">
        <f t="shared" si="73"/>
        <v>0</v>
      </c>
      <c r="J143" s="15"/>
      <c r="K143" s="15">
        <f t="shared" si="74"/>
        <v>2.75</v>
      </c>
      <c r="L143" s="15">
        <f t="shared" si="75"/>
        <v>371.25</v>
      </c>
      <c r="N143">
        <f t="shared" si="76"/>
        <v>5.19</v>
      </c>
      <c r="O143" s="15">
        <f>'Supply helium'!AM143</f>
        <v>77.45979578837695</v>
      </c>
      <c r="P143" s="15">
        <f t="shared" si="87"/>
        <v>26.979999999999507</v>
      </c>
      <c r="Q143" s="15">
        <f t="shared" si="77"/>
        <v>104.43979578837646</v>
      </c>
      <c r="R143" s="15">
        <f t="shared" si="88"/>
        <v>104.17407539138193</v>
      </c>
      <c r="S143" s="15">
        <f t="shared" si="89"/>
        <v>104.18191794963866</v>
      </c>
      <c r="U143" s="4">
        <f t="shared" si="90"/>
        <v>579.8156880640888</v>
      </c>
      <c r="W143" s="15">
        <f t="shared" si="91"/>
        <v>8.556434438697899</v>
      </c>
      <c r="Y143" s="3">
        <f t="shared" si="92"/>
        <v>0.007932508541315957</v>
      </c>
      <c r="AB143" s="1">
        <f t="shared" si="78"/>
        <v>9.710573568957314E-06</v>
      </c>
      <c r="AC143">
        <f t="shared" si="79"/>
        <v>16.27</v>
      </c>
      <c r="AD143">
        <f t="shared" si="80"/>
        <v>1</v>
      </c>
      <c r="AE143" s="8">
        <f t="shared" si="68"/>
        <v>351.5724156915583</v>
      </c>
      <c r="AF143" s="4">
        <f t="shared" si="69"/>
        <v>467270.1210182013</v>
      </c>
      <c r="AG143" s="5">
        <f t="shared" si="70"/>
        <v>0.012101646759101555</v>
      </c>
      <c r="AH143" s="4">
        <f t="shared" si="81"/>
        <v>13500</v>
      </c>
      <c r="AI143" s="8">
        <f t="shared" si="82"/>
        <v>492.26711713752934</v>
      </c>
      <c r="AJ143" s="10">
        <f t="shared" si="83"/>
        <v>17.189938747756166</v>
      </c>
    </row>
    <row r="144" spans="1:36" ht="13.5" thickBot="1">
      <c r="A144" s="110"/>
      <c r="C144">
        <f t="shared" si="84"/>
        <v>135</v>
      </c>
      <c r="D144" s="4">
        <f t="shared" si="71"/>
        <v>4050</v>
      </c>
      <c r="E144" s="15">
        <f t="shared" si="85"/>
        <v>2.75</v>
      </c>
      <c r="F144" s="15">
        <f t="shared" si="72"/>
        <v>371.25</v>
      </c>
      <c r="H144" s="15">
        <f t="shared" si="86"/>
        <v>0</v>
      </c>
      <c r="I144" s="15">
        <f t="shared" si="73"/>
        <v>0</v>
      </c>
      <c r="J144" s="15"/>
      <c r="K144" s="15">
        <f t="shared" si="74"/>
        <v>2.75</v>
      </c>
      <c r="L144" s="15">
        <f t="shared" si="75"/>
        <v>371.25</v>
      </c>
      <c r="N144">
        <f t="shared" si="76"/>
        <v>5.19</v>
      </c>
      <c r="O144" s="15">
        <f>'Supply helium'!AM144</f>
        <v>77.45590886525923</v>
      </c>
      <c r="P144" s="15">
        <f t="shared" si="87"/>
        <v>26.979999999999507</v>
      </c>
      <c r="Q144" s="15">
        <f t="shared" si="77"/>
        <v>104.43590886525874</v>
      </c>
      <c r="R144" s="15">
        <f t="shared" si="88"/>
        <v>104.30528782972304</v>
      </c>
      <c r="S144" s="15">
        <f t="shared" si="89"/>
        <v>104.30903250004874</v>
      </c>
      <c r="U144" s="4">
        <f t="shared" si="90"/>
        <v>596.9285569414847</v>
      </c>
      <c r="W144" s="15">
        <f t="shared" si="91"/>
        <v>8.556434438697899</v>
      </c>
      <c r="Y144" s="3">
        <f t="shared" si="92"/>
        <v>0.007919964194661457</v>
      </c>
      <c r="AB144" s="1">
        <f t="shared" si="78"/>
        <v>9.718132308582898E-06</v>
      </c>
      <c r="AC144">
        <f t="shared" si="79"/>
        <v>16.27</v>
      </c>
      <c r="AD144">
        <f t="shared" si="80"/>
        <v>1</v>
      </c>
      <c r="AE144" s="8">
        <f t="shared" si="68"/>
        <v>362.5221252598401</v>
      </c>
      <c r="AF144" s="4">
        <f t="shared" si="69"/>
        <v>480687.115115993</v>
      </c>
      <c r="AG144" s="5">
        <f t="shared" si="70"/>
        <v>0.012016302549814334</v>
      </c>
      <c r="AH144" s="4">
        <f t="shared" si="81"/>
        <v>13500</v>
      </c>
      <c r="AI144" s="8">
        <f t="shared" si="82"/>
        <v>518.8948105716652</v>
      </c>
      <c r="AJ144" s="10">
        <f t="shared" si="83"/>
        <v>17.18474979965045</v>
      </c>
    </row>
    <row r="145" spans="1:36" ht="12.75">
      <c r="A145" s="108"/>
      <c r="C145">
        <f t="shared" si="84"/>
        <v>135</v>
      </c>
      <c r="D145" s="4">
        <f t="shared" si="71"/>
        <v>4185</v>
      </c>
      <c r="E145" s="15">
        <f t="shared" si="85"/>
        <v>2.75</v>
      </c>
      <c r="F145" s="15">
        <f t="shared" si="72"/>
        <v>371.25</v>
      </c>
      <c r="H145" s="15">
        <f t="shared" si="86"/>
        <v>0</v>
      </c>
      <c r="I145" s="15">
        <f t="shared" si="73"/>
        <v>0</v>
      </c>
      <c r="J145" s="15"/>
      <c r="K145" s="15">
        <f t="shared" si="74"/>
        <v>2.75</v>
      </c>
      <c r="L145" s="15">
        <f t="shared" si="75"/>
        <v>371.25</v>
      </c>
      <c r="N145">
        <f t="shared" si="76"/>
        <v>5.19</v>
      </c>
      <c r="O145" s="15">
        <f>'Supply helium'!AM145</f>
        <v>77.45194076476496</v>
      </c>
      <c r="P145" s="15">
        <f t="shared" si="87"/>
        <v>26.979999999999507</v>
      </c>
      <c r="Q145" s="15">
        <f t="shared" si="77"/>
        <v>104.43194076476446</v>
      </c>
      <c r="R145" s="15">
        <f t="shared" si="88"/>
        <v>104.42886558740182</v>
      </c>
      <c r="S145" s="15">
        <f t="shared" si="89"/>
        <v>104.42895129026283</v>
      </c>
      <c r="U145" s="4">
        <f t="shared" si="90"/>
        <v>614.0414258188805</v>
      </c>
      <c r="W145" s="15">
        <f t="shared" si="91"/>
        <v>8.556434438697899</v>
      </c>
      <c r="Y145" s="3">
        <f t="shared" si="92"/>
        <v>0.007907924851885057</v>
      </c>
      <c r="AB145" s="1">
        <f t="shared" si="78"/>
        <v>9.725263159524189E-06</v>
      </c>
      <c r="AC145">
        <f t="shared" si="79"/>
        <v>16.27</v>
      </c>
      <c r="AD145">
        <f t="shared" si="80"/>
        <v>1</v>
      </c>
      <c r="AE145" s="8">
        <f t="shared" si="68"/>
        <v>373.48272380112616</v>
      </c>
      <c r="AF145" s="4">
        <f t="shared" si="69"/>
        <v>494104.99252431</v>
      </c>
      <c r="AG145" s="5">
        <f t="shared" si="70"/>
        <v>0.011933879938932666</v>
      </c>
      <c r="AH145" s="4">
        <f t="shared" si="81"/>
        <v>13500</v>
      </c>
      <c r="AI145" s="8">
        <f t="shared" si="82"/>
        <v>546.1368143080256</v>
      </c>
      <c r="AJ145" s="10">
        <f t="shared" si="83"/>
        <v>17.17928843150737</v>
      </c>
    </row>
    <row r="146" spans="1:36" ht="12.75">
      <c r="A146" s="109"/>
      <c r="C146">
        <f t="shared" si="84"/>
        <v>135</v>
      </c>
      <c r="D146" s="4">
        <f t="shared" si="71"/>
        <v>4320</v>
      </c>
      <c r="E146" s="15">
        <f t="shared" si="85"/>
        <v>2.75</v>
      </c>
      <c r="F146" s="15">
        <f t="shared" si="72"/>
        <v>371.25</v>
      </c>
      <c r="H146" s="15">
        <f t="shared" si="86"/>
        <v>0</v>
      </c>
      <c r="I146" s="15">
        <f t="shared" si="73"/>
        <v>0</v>
      </c>
      <c r="J146" s="15"/>
      <c r="K146" s="15">
        <f t="shared" si="74"/>
        <v>2.75</v>
      </c>
      <c r="L146" s="15">
        <f t="shared" si="75"/>
        <v>371.25</v>
      </c>
      <c r="N146">
        <f t="shared" si="76"/>
        <v>5.19</v>
      </c>
      <c r="O146" s="15">
        <f>'Supply helium'!AM146</f>
        <v>77.44788802383228</v>
      </c>
      <c r="P146" s="15">
        <f t="shared" si="87"/>
        <v>26.979999999999507</v>
      </c>
      <c r="Q146" s="15">
        <f t="shared" si="77"/>
        <v>104.42788802383178</v>
      </c>
      <c r="R146" s="15">
        <f t="shared" si="88"/>
        <v>104.54544472034716</v>
      </c>
      <c r="S146" s="15">
        <f t="shared" si="89"/>
        <v>104.5422573343941</v>
      </c>
      <c r="U146" s="4">
        <f t="shared" si="90"/>
        <v>631.1542946962763</v>
      </c>
      <c r="W146" s="15">
        <f t="shared" si="91"/>
        <v>8.556434438697899</v>
      </c>
      <c r="Y146" s="3">
        <f t="shared" si="92"/>
        <v>0.007896333674943662</v>
      </c>
      <c r="AB146" s="1">
        <f t="shared" si="78"/>
        <v>9.73200079013241E-06</v>
      </c>
      <c r="AC146">
        <f t="shared" si="79"/>
        <v>16.27</v>
      </c>
      <c r="AD146">
        <f t="shared" si="80"/>
        <v>1</v>
      </c>
      <c r="AE146" s="8">
        <f t="shared" si="68"/>
        <v>384.45492550496186</v>
      </c>
      <c r="AF146" s="4">
        <f t="shared" si="69"/>
        <v>507523.7131862021</v>
      </c>
      <c r="AG146" s="5">
        <f t="shared" si="70"/>
        <v>0.011854203818879616</v>
      </c>
      <c r="AH146" s="4">
        <f t="shared" si="81"/>
        <v>13500</v>
      </c>
      <c r="AI146" s="8">
        <f t="shared" si="82"/>
        <v>573.9908385068056</v>
      </c>
      <c r="AJ146" s="10">
        <f t="shared" si="83"/>
        <v>17.173548523122303</v>
      </c>
    </row>
    <row r="147" spans="1:36" ht="12.75">
      <c r="A147" s="109"/>
      <c r="C147">
        <f t="shared" si="84"/>
        <v>135</v>
      </c>
      <c r="D147" s="4">
        <f t="shared" si="71"/>
        <v>4455</v>
      </c>
      <c r="E147" s="15">
        <f t="shared" si="85"/>
        <v>2.75</v>
      </c>
      <c r="F147" s="15">
        <f t="shared" si="72"/>
        <v>371.25</v>
      </c>
      <c r="H147" s="15">
        <f t="shared" si="86"/>
        <v>0</v>
      </c>
      <c r="I147" s="15">
        <f t="shared" si="73"/>
        <v>0</v>
      </c>
      <c r="J147" s="15"/>
      <c r="K147" s="15">
        <f t="shared" si="74"/>
        <v>2.75</v>
      </c>
      <c r="L147" s="15">
        <f t="shared" si="75"/>
        <v>371.25</v>
      </c>
      <c r="N147">
        <f t="shared" si="76"/>
        <v>5.19</v>
      </c>
      <c r="O147" s="15">
        <f>'Supply helium'!AM147</f>
        <v>77.44374695296588</v>
      </c>
      <c r="P147" s="15">
        <f t="shared" si="87"/>
        <v>26.979999999999507</v>
      </c>
      <c r="Q147" s="15">
        <f t="shared" si="77"/>
        <v>104.42374695296539</v>
      </c>
      <c r="R147" s="15">
        <f t="shared" si="88"/>
        <v>104.65559220751246</v>
      </c>
      <c r="S147" s="15">
        <f t="shared" si="89"/>
        <v>104.64947198785018</v>
      </c>
      <c r="U147" s="4">
        <f t="shared" si="90"/>
        <v>648.2671635736722</v>
      </c>
      <c r="W147" s="15">
        <f t="shared" si="91"/>
        <v>8.556434438697899</v>
      </c>
      <c r="Y147" s="3">
        <f t="shared" si="92"/>
        <v>0.007885139943679677</v>
      </c>
      <c r="AB147" s="1">
        <f t="shared" si="78"/>
        <v>9.738376202285523E-06</v>
      </c>
      <c r="AC147">
        <f t="shared" si="79"/>
        <v>16.27</v>
      </c>
      <c r="AD147">
        <f t="shared" si="80"/>
        <v>1</v>
      </c>
      <c r="AE147" s="8">
        <f t="shared" si="68"/>
        <v>395.43945427731194</v>
      </c>
      <c r="AF147" s="4">
        <f t="shared" si="69"/>
        <v>520943.2424220616</v>
      </c>
      <c r="AG147" s="5">
        <f t="shared" si="70"/>
        <v>0.011777113828270432</v>
      </c>
      <c r="AH147" s="4">
        <f t="shared" si="81"/>
        <v>13500</v>
      </c>
      <c r="AI147" s="8">
        <f t="shared" si="82"/>
        <v>602.4548350944654</v>
      </c>
      <c r="AJ147" s="10">
        <f t="shared" si="83"/>
        <v>17.16752397477136</v>
      </c>
    </row>
    <row r="148" spans="1:36" ht="12.75">
      <c r="A148" s="109"/>
      <c r="C148">
        <f t="shared" si="84"/>
        <v>135</v>
      </c>
      <c r="D148" s="4">
        <f t="shared" si="71"/>
        <v>4590</v>
      </c>
      <c r="E148" s="15">
        <f t="shared" si="85"/>
        <v>2.75</v>
      </c>
      <c r="F148" s="15">
        <f t="shared" si="72"/>
        <v>371.25</v>
      </c>
      <c r="H148" s="15">
        <f t="shared" si="86"/>
        <v>0</v>
      </c>
      <c r="I148" s="15">
        <f t="shared" si="73"/>
        <v>0</v>
      </c>
      <c r="J148" s="15"/>
      <c r="K148" s="15">
        <f t="shared" si="74"/>
        <v>2.75</v>
      </c>
      <c r="L148" s="15">
        <f t="shared" si="75"/>
        <v>371.25</v>
      </c>
      <c r="N148">
        <f t="shared" si="76"/>
        <v>5.19</v>
      </c>
      <c r="O148" s="15">
        <f>'Supply helium'!AM148</f>
        <v>77.43951361605663</v>
      </c>
      <c r="P148" s="15">
        <f t="shared" si="87"/>
        <v>26.979999999999507</v>
      </c>
      <c r="Q148" s="15">
        <f t="shared" si="77"/>
        <v>104.41951361605614</v>
      </c>
      <c r="R148" s="15">
        <f t="shared" si="88"/>
        <v>104.7598150623215</v>
      </c>
      <c r="S148" s="15">
        <f t="shared" si="89"/>
        <v>104.75106286997318</v>
      </c>
      <c r="U148" s="4">
        <f t="shared" si="90"/>
        <v>665.380032451068</v>
      </c>
      <c r="W148" s="15">
        <f t="shared" si="91"/>
        <v>8.556434438697899</v>
      </c>
      <c r="Y148" s="3">
        <f t="shared" si="92"/>
        <v>0.007874298218004354</v>
      </c>
      <c r="AB148" s="1">
        <f t="shared" si="78"/>
        <v>9.744417202500086E-06</v>
      </c>
      <c r="AC148">
        <f t="shared" si="79"/>
        <v>16.27</v>
      </c>
      <c r="AD148">
        <f t="shared" si="80"/>
        <v>1</v>
      </c>
      <c r="AE148" s="8">
        <f t="shared" si="68"/>
        <v>406.4370448121241</v>
      </c>
      <c r="AF148" s="4">
        <f t="shared" si="69"/>
        <v>534363.5502812744</v>
      </c>
      <c r="AG148" s="5">
        <f t="shared" si="70"/>
        <v>0.011702462770709462</v>
      </c>
      <c r="AH148" s="4">
        <f t="shared" si="81"/>
        <v>13500</v>
      </c>
      <c r="AI148" s="8">
        <f t="shared" si="82"/>
        <v>631.5269906947586</v>
      </c>
      <c r="AJ148" s="10">
        <f t="shared" si="83"/>
        <v>17.16120870486441</v>
      </c>
    </row>
    <row r="149" spans="1:36" ht="12.75">
      <c r="A149" s="109"/>
      <c r="C149">
        <f t="shared" si="84"/>
        <v>135</v>
      </c>
      <c r="D149" s="4">
        <f t="shared" si="71"/>
        <v>4725</v>
      </c>
      <c r="E149" s="15">
        <f t="shared" si="85"/>
        <v>2.75</v>
      </c>
      <c r="F149" s="15">
        <f t="shared" si="72"/>
        <v>371.25</v>
      </c>
      <c r="H149" s="15">
        <f t="shared" si="86"/>
        <v>0</v>
      </c>
      <c r="I149" s="15">
        <f t="shared" si="73"/>
        <v>0</v>
      </c>
      <c r="J149" s="15"/>
      <c r="K149" s="15">
        <f t="shared" si="74"/>
        <v>2.75</v>
      </c>
      <c r="L149" s="15">
        <f t="shared" si="75"/>
        <v>371.25</v>
      </c>
      <c r="N149">
        <f t="shared" si="76"/>
        <v>5.19</v>
      </c>
      <c r="O149" s="15">
        <f>'Supply helium'!AM149</f>
        <v>77.43518380790174</v>
      </c>
      <c r="P149" s="15">
        <f t="shared" si="87"/>
        <v>26.979999999999507</v>
      </c>
      <c r="Q149" s="15">
        <f t="shared" si="77"/>
        <v>104.41518380790124</v>
      </c>
      <c r="R149" s="15">
        <f t="shared" si="88"/>
        <v>104.85856803757494</v>
      </c>
      <c r="S149" s="15">
        <f t="shared" si="89"/>
        <v>104.84745059419943</v>
      </c>
      <c r="U149" s="4">
        <f t="shared" si="90"/>
        <v>682.4929013284639</v>
      </c>
      <c r="W149" s="15">
        <f t="shared" si="91"/>
        <v>8.556434438697899</v>
      </c>
      <c r="Y149" s="3">
        <f t="shared" si="92"/>
        <v>0.007863767634090668</v>
      </c>
      <c r="AB149" s="1">
        <f t="shared" si="78"/>
        <v>9.750148802133475E-06</v>
      </c>
      <c r="AC149">
        <f t="shared" si="79"/>
        <v>16.27</v>
      </c>
      <c r="AD149">
        <f t="shared" si="80"/>
        <v>1</v>
      </c>
      <c r="AE149" s="8">
        <f t="shared" si="68"/>
        <v>417.4484435336196</v>
      </c>
      <c r="AF149" s="4">
        <f t="shared" si="69"/>
        <v>547784.6109986131</v>
      </c>
      <c r="AG149" s="5">
        <f t="shared" si="70"/>
        <v>0.011630115237609845</v>
      </c>
      <c r="AH149" s="4">
        <f t="shared" si="81"/>
        <v>13500</v>
      </c>
      <c r="AI149" s="8">
        <f t="shared" si="82"/>
        <v>661.2057203715522</v>
      </c>
      <c r="AJ149" s="10">
        <f t="shared" si="83"/>
        <v>17.154596647660696</v>
      </c>
    </row>
    <row r="150" spans="1:36" ht="12.75">
      <c r="A150" s="109"/>
      <c r="C150">
        <f t="shared" si="84"/>
        <v>135</v>
      </c>
      <c r="D150" s="4">
        <f t="shared" si="71"/>
        <v>4860</v>
      </c>
      <c r="E150" s="15">
        <f t="shared" si="85"/>
        <v>2.75</v>
      </c>
      <c r="F150" s="15">
        <f t="shared" si="72"/>
        <v>371.25</v>
      </c>
      <c r="H150" s="15">
        <f t="shared" si="86"/>
        <v>0</v>
      </c>
      <c r="I150" s="15">
        <f t="shared" si="73"/>
        <v>0</v>
      </c>
      <c r="J150" s="15"/>
      <c r="K150" s="15">
        <f t="shared" si="74"/>
        <v>2.75</v>
      </c>
      <c r="L150" s="15">
        <f t="shared" si="75"/>
        <v>371.25</v>
      </c>
      <c r="N150">
        <f t="shared" si="76"/>
        <v>5.19</v>
      </c>
      <c r="O150" s="15">
        <f>'Supply helium'!AM150</f>
        <v>77.43075302910384</v>
      </c>
      <c r="P150" s="15">
        <f t="shared" si="87"/>
        <v>26.979999999999507</v>
      </c>
      <c r="Q150" s="15">
        <f t="shared" si="77"/>
        <v>104.41075302910335</v>
      </c>
      <c r="R150" s="15">
        <f t="shared" si="88"/>
        <v>104.95226017063352</v>
      </c>
      <c r="S150" s="15">
        <f t="shared" si="89"/>
        <v>104.93901450985739</v>
      </c>
      <c r="U150" s="4">
        <f t="shared" si="90"/>
        <v>699.6057702058597</v>
      </c>
      <c r="W150" s="15">
        <f t="shared" si="91"/>
        <v>8.556434438697899</v>
      </c>
      <c r="Y150" s="3">
        <f t="shared" si="92"/>
        <v>0.00785351131020508</v>
      </c>
      <c r="AB150" s="1">
        <f t="shared" si="78"/>
        <v>9.75559355881416E-06</v>
      </c>
      <c r="AC150">
        <f t="shared" si="79"/>
        <v>16.27</v>
      </c>
      <c r="AD150">
        <f t="shared" si="80"/>
        <v>1</v>
      </c>
      <c r="AE150" s="8">
        <f t="shared" si="68"/>
        <v>428.4744094345069</v>
      </c>
      <c r="AF150" s="4">
        <f t="shared" si="69"/>
        <v>561206.4025375599</v>
      </c>
      <c r="AG150" s="5">
        <f t="shared" si="70"/>
        <v>0.011559946404484794</v>
      </c>
      <c r="AH150" s="4">
        <f t="shared" si="81"/>
        <v>13500</v>
      </c>
      <c r="AI150" s="8">
        <f t="shared" si="82"/>
        <v>691.4896621016861</v>
      </c>
      <c r="AJ150" s="10">
        <f t="shared" si="83"/>
        <v>17.14768175103968</v>
      </c>
    </row>
    <row r="151" spans="1:36" ht="12.75">
      <c r="A151" s="109"/>
      <c r="C151">
        <f t="shared" si="84"/>
        <v>135</v>
      </c>
      <c r="D151" s="4">
        <f t="shared" si="71"/>
        <v>4995</v>
      </c>
      <c r="E151" s="15">
        <f t="shared" si="85"/>
        <v>2.75</v>
      </c>
      <c r="F151" s="15">
        <f t="shared" si="72"/>
        <v>371.25</v>
      </c>
      <c r="H151" s="15">
        <f t="shared" si="86"/>
        <v>0</v>
      </c>
      <c r="I151" s="15">
        <f t="shared" si="73"/>
        <v>0</v>
      </c>
      <c r="J151" s="15"/>
      <c r="K151" s="15">
        <f t="shared" si="74"/>
        <v>2.75</v>
      </c>
      <c r="L151" s="15">
        <f t="shared" si="75"/>
        <v>371.25</v>
      </c>
      <c r="N151">
        <f t="shared" si="76"/>
        <v>5.19</v>
      </c>
      <c r="O151" s="15">
        <f>'Supply helium'!AM151</f>
        <v>77.42621645797341</v>
      </c>
      <c r="P151" s="15">
        <f t="shared" si="87"/>
        <v>26.979999999999507</v>
      </c>
      <c r="Q151" s="15">
        <f t="shared" si="77"/>
        <v>104.40621645797292</v>
      </c>
      <c r="R151" s="15">
        <f t="shared" si="88"/>
        <v>105.04126036738721</v>
      </c>
      <c r="S151" s="15">
        <f t="shared" si="89"/>
        <v>105.02609762072403</v>
      </c>
      <c r="U151" s="4">
        <f t="shared" si="90"/>
        <v>716.7186390832555</v>
      </c>
      <c r="W151" s="15">
        <f t="shared" si="91"/>
        <v>8.556434438697899</v>
      </c>
      <c r="Y151" s="3">
        <f t="shared" si="92"/>
        <v>0.007843495842745771</v>
      </c>
      <c r="AB151" s="1">
        <f t="shared" si="78"/>
        <v>9.760771868918734E-06</v>
      </c>
      <c r="AC151">
        <f t="shared" si="79"/>
        <v>16.27</v>
      </c>
      <c r="AD151">
        <f t="shared" si="80"/>
        <v>1</v>
      </c>
      <c r="AE151" s="8">
        <f t="shared" si="68"/>
        <v>439.51571483037486</v>
      </c>
      <c r="AF151" s="4">
        <f t="shared" si="69"/>
        <v>574628.90620631</v>
      </c>
      <c r="AG151" s="5">
        <f t="shared" si="70"/>
        <v>0.011491840975335078</v>
      </c>
      <c r="AH151" s="4">
        <f t="shared" si="81"/>
        <v>13500</v>
      </c>
      <c r="AI151" s="8">
        <f t="shared" si="82"/>
        <v>722.3776719070657</v>
      </c>
      <c r="AJ151" s="10">
        <f t="shared" si="83"/>
        <v>17.14045797432061</v>
      </c>
    </row>
    <row r="152" spans="1:36" ht="12.75">
      <c r="A152" s="109"/>
      <c r="C152">
        <f t="shared" si="84"/>
        <v>135</v>
      </c>
      <c r="D152" s="4">
        <f t="shared" si="71"/>
        <v>5130</v>
      </c>
      <c r="E152" s="15">
        <f t="shared" si="85"/>
        <v>2.75</v>
      </c>
      <c r="F152" s="15">
        <f t="shared" si="72"/>
        <v>371.25</v>
      </c>
      <c r="H152" s="15">
        <f t="shared" si="86"/>
        <v>0</v>
      </c>
      <c r="I152" s="15">
        <f t="shared" si="73"/>
        <v>0</v>
      </c>
      <c r="J152" s="15"/>
      <c r="K152" s="15">
        <f t="shared" si="74"/>
        <v>2.75</v>
      </c>
      <c r="L152" s="15">
        <f t="shared" si="75"/>
        <v>371.25</v>
      </c>
      <c r="N152">
        <f t="shared" si="76"/>
        <v>5.19</v>
      </c>
      <c r="O152" s="15">
        <f>'Supply helium'!AM152</f>
        <v>77.42156891899478</v>
      </c>
      <c r="P152" s="15">
        <f t="shared" si="87"/>
        <v>26.979999999999507</v>
      </c>
      <c r="Q152" s="15">
        <f t="shared" si="77"/>
        <v>104.40156891899429</v>
      </c>
      <c r="R152" s="15">
        <f t="shared" si="88"/>
        <v>105.12590218559346</v>
      </c>
      <c r="S152" s="15">
        <f t="shared" si="89"/>
        <v>105.10901081464472</v>
      </c>
      <c r="U152" s="4">
        <f t="shared" si="90"/>
        <v>733.8315079606514</v>
      </c>
      <c r="W152" s="15">
        <f t="shared" si="91"/>
        <v>8.556434438697899</v>
      </c>
      <c r="Y152" s="3">
        <f t="shared" si="92"/>
        <v>0.00783369087689538</v>
      </c>
      <c r="AB152" s="1">
        <f t="shared" si="78"/>
        <v>9.765702219082033E-06</v>
      </c>
      <c r="AC152">
        <f t="shared" si="79"/>
        <v>16.27</v>
      </c>
      <c r="AD152">
        <f t="shared" si="80"/>
        <v>1</v>
      </c>
      <c r="AE152" s="8">
        <f t="shared" si="68"/>
        <v>450.57314604664083</v>
      </c>
      <c r="AF152" s="4">
        <f t="shared" si="69"/>
        <v>588052.1063349926</v>
      </c>
      <c r="AG152" s="5">
        <f t="shared" si="70"/>
        <v>0.011425692253959155</v>
      </c>
      <c r="AH152" s="4">
        <f t="shared" si="81"/>
        <v>13500</v>
      </c>
      <c r="AI152" s="8">
        <f t="shared" si="82"/>
        <v>753.8688195844265</v>
      </c>
      <c r="AJ152" s="10">
        <f t="shared" si="83"/>
        <v>17.132919286124768</v>
      </c>
    </row>
    <row r="153" spans="1:36" ht="12.75">
      <c r="A153" s="109"/>
      <c r="C153">
        <f t="shared" si="84"/>
        <v>135</v>
      </c>
      <c r="D153" s="4">
        <f t="shared" si="71"/>
        <v>5265</v>
      </c>
      <c r="E153" s="15">
        <f t="shared" si="85"/>
        <v>2.75</v>
      </c>
      <c r="F153" s="15">
        <f t="shared" si="72"/>
        <v>371.25</v>
      </c>
      <c r="H153" s="15">
        <f t="shared" si="86"/>
        <v>0</v>
      </c>
      <c r="I153" s="15">
        <f t="shared" si="73"/>
        <v>0</v>
      </c>
      <c r="J153" s="15"/>
      <c r="K153" s="15">
        <f t="shared" si="74"/>
        <v>2.75</v>
      </c>
      <c r="L153" s="15">
        <f t="shared" si="75"/>
        <v>371.25</v>
      </c>
      <c r="N153">
        <f t="shared" si="76"/>
        <v>5.19</v>
      </c>
      <c r="O153" s="15">
        <f>'Supply helium'!AM153</f>
        <v>77.41680484733868</v>
      </c>
      <c r="P153" s="15">
        <f t="shared" si="87"/>
        <v>26.979999999999507</v>
      </c>
      <c r="Q153" s="15">
        <f t="shared" si="77"/>
        <v>104.39680484733819</v>
      </c>
      <c r="R153" s="15">
        <f t="shared" si="88"/>
        <v>105.20648794819859</v>
      </c>
      <c r="S153" s="15">
        <f t="shared" si="89"/>
        <v>105.18803651402497</v>
      </c>
      <c r="U153" s="4">
        <f t="shared" si="90"/>
        <v>750.9443768380472</v>
      </c>
      <c r="W153" s="15">
        <f t="shared" si="91"/>
        <v>8.556434438697899</v>
      </c>
      <c r="Y153" s="3">
        <f t="shared" si="92"/>
        <v>0.00782406873930363</v>
      </c>
      <c r="AB153" s="1">
        <f t="shared" si="78"/>
        <v>9.77040140326998E-06</v>
      </c>
      <c r="AC153">
        <f t="shared" si="79"/>
        <v>16.27</v>
      </c>
      <c r="AD153">
        <f t="shared" si="80"/>
        <v>1</v>
      </c>
      <c r="AE153" s="8">
        <f t="shared" si="68"/>
        <v>461.6475040513557</v>
      </c>
      <c r="AF153" s="4">
        <f t="shared" si="69"/>
        <v>601475.9900048829</v>
      </c>
      <c r="AG153" s="5">
        <f t="shared" si="70"/>
        <v>0.011361401324441389</v>
      </c>
      <c r="AH153" s="4">
        <f t="shared" si="81"/>
        <v>13500</v>
      </c>
      <c r="AI153" s="8">
        <f t="shared" si="82"/>
        <v>785.9623849790908</v>
      </c>
      <c r="AJ153" s="10">
        <f t="shared" si="83"/>
        <v>17.125059662274978</v>
      </c>
    </row>
    <row r="154" spans="1:36" ht="13.5" thickBot="1">
      <c r="A154" s="110"/>
      <c r="C154">
        <f t="shared" si="84"/>
        <v>135</v>
      </c>
      <c r="D154" s="4">
        <f t="shared" si="71"/>
        <v>5400</v>
      </c>
      <c r="E154" s="15">
        <f t="shared" si="85"/>
        <v>2.75</v>
      </c>
      <c r="F154" s="15">
        <f t="shared" si="72"/>
        <v>371.25</v>
      </c>
      <c r="H154" s="15">
        <f t="shared" si="86"/>
        <v>0</v>
      </c>
      <c r="I154" s="15">
        <f t="shared" si="73"/>
        <v>0</v>
      </c>
      <c r="J154" s="15"/>
      <c r="K154" s="15">
        <f t="shared" si="74"/>
        <v>2.75</v>
      </c>
      <c r="L154" s="15">
        <f t="shared" si="75"/>
        <v>371.25</v>
      </c>
      <c r="N154">
        <f t="shared" si="76"/>
        <v>5.19</v>
      </c>
      <c r="O154" s="15">
        <f>'Supply helium'!AM154</f>
        <v>77.41191824881133</v>
      </c>
      <c r="P154" s="15">
        <f t="shared" si="87"/>
        <v>26.979999999999507</v>
      </c>
      <c r="Q154" s="15">
        <f t="shared" si="77"/>
        <v>104.39191824881084</v>
      </c>
      <c r="R154" s="15">
        <f t="shared" si="88"/>
        <v>105.28329229343264</v>
      </c>
      <c r="S154" s="15">
        <f t="shared" si="89"/>
        <v>105.2634318374166</v>
      </c>
      <c r="U154" s="4">
        <f t="shared" si="90"/>
        <v>768.0572457154431</v>
      </c>
      <c r="W154" s="15">
        <f t="shared" si="91"/>
        <v>8.556434438697899</v>
      </c>
      <c r="Y154" s="3">
        <f t="shared" si="92"/>
        <v>0.007814604122585741</v>
      </c>
      <c r="AB154" s="1">
        <f t="shared" si="78"/>
        <v>9.77488471078014E-06</v>
      </c>
      <c r="AC154">
        <f t="shared" si="79"/>
        <v>16.27</v>
      </c>
      <c r="AD154">
        <f t="shared" si="80"/>
        <v>1</v>
      </c>
      <c r="AE154" s="8">
        <f t="shared" si="68"/>
        <v>472.7396050447038</v>
      </c>
      <c r="AF154" s="4">
        <f t="shared" si="69"/>
        <v>614900.5468221639</v>
      </c>
      <c r="AG154" s="5">
        <f t="shared" si="70"/>
        <v>0.011298876325885018</v>
      </c>
      <c r="AH154" s="4">
        <f t="shared" si="81"/>
        <v>13500</v>
      </c>
      <c r="AI154" s="8">
        <f t="shared" si="82"/>
        <v>818.6578547557119</v>
      </c>
      <c r="AJ154" s="10">
        <f t="shared" si="83"/>
        <v>17.11687308372742</v>
      </c>
    </row>
    <row r="155" spans="1:36" ht="12.75">
      <c r="A155" s="108"/>
      <c r="C155">
        <f t="shared" si="84"/>
        <v>135</v>
      </c>
      <c r="D155" s="4">
        <f t="shared" si="71"/>
        <v>5535</v>
      </c>
      <c r="E155" s="15">
        <f t="shared" si="85"/>
        <v>2.75</v>
      </c>
      <c r="F155" s="15">
        <f t="shared" si="72"/>
        <v>371.25</v>
      </c>
      <c r="H155" s="15">
        <f t="shared" si="86"/>
        <v>0</v>
      </c>
      <c r="I155" s="15">
        <f t="shared" si="73"/>
        <v>0</v>
      </c>
      <c r="J155" s="15"/>
      <c r="K155" s="15">
        <f t="shared" si="74"/>
        <v>2.75</v>
      </c>
      <c r="L155" s="15">
        <f t="shared" si="75"/>
        <v>371.25</v>
      </c>
      <c r="N155">
        <f t="shared" si="76"/>
        <v>5.19</v>
      </c>
      <c r="O155" s="15">
        <f>'Supply helium'!AM155</f>
        <v>77.40690265451718</v>
      </c>
      <c r="P155" s="15">
        <f t="shared" si="87"/>
        <v>26.979999999999507</v>
      </c>
      <c r="Q155" s="15">
        <f t="shared" si="77"/>
        <v>104.38690265451669</v>
      </c>
      <c r="R155" s="15">
        <f t="shared" si="88"/>
        <v>105.35656524942014</v>
      </c>
      <c r="S155" s="15">
        <f t="shared" si="89"/>
        <v>105.33543134667282</v>
      </c>
      <c r="U155" s="4">
        <f t="shared" si="90"/>
        <v>785.1701145928389</v>
      </c>
      <c r="W155" s="15">
        <f t="shared" si="91"/>
        <v>8.556434438697899</v>
      </c>
      <c r="Y155" s="3">
        <f t="shared" si="92"/>
        <v>0.007805273813302269</v>
      </c>
      <c r="AB155" s="1">
        <f t="shared" si="78"/>
        <v>9.779166089598552E-06</v>
      </c>
      <c r="AC155">
        <f t="shared" si="79"/>
        <v>16.27</v>
      </c>
      <c r="AD155">
        <f t="shared" si="80"/>
        <v>1</v>
      </c>
      <c r="AE155" s="8">
        <f t="shared" si="68"/>
        <v>483.8502810140664</v>
      </c>
      <c r="AF155" s="4">
        <f t="shared" si="69"/>
        <v>628325.768730242</v>
      </c>
      <c r="AG155" s="5">
        <f t="shared" si="70"/>
        <v>0.011238031808772522</v>
      </c>
      <c r="AH155" s="4">
        <f t="shared" si="81"/>
        <v>13500</v>
      </c>
      <c r="AI155" s="8">
        <f t="shared" si="82"/>
        <v>851.954919624718</v>
      </c>
      <c r="AJ155" s="10">
        <f t="shared" si="83"/>
        <v>17.108353534531172</v>
      </c>
    </row>
    <row r="156" spans="1:36" ht="12.75">
      <c r="A156" s="109"/>
      <c r="C156">
        <f t="shared" si="84"/>
        <v>135</v>
      </c>
      <c r="D156" s="4">
        <f t="shared" si="71"/>
        <v>5670</v>
      </c>
      <c r="E156" s="15">
        <f t="shared" si="85"/>
        <v>2.75</v>
      </c>
      <c r="F156" s="15">
        <f t="shared" si="72"/>
        <v>371.25</v>
      </c>
      <c r="H156" s="15">
        <f t="shared" si="86"/>
        <v>0</v>
      </c>
      <c r="I156" s="15">
        <f t="shared" si="73"/>
        <v>0</v>
      </c>
      <c r="J156" s="15"/>
      <c r="K156" s="15">
        <f t="shared" si="74"/>
        <v>2.75</v>
      </c>
      <c r="L156" s="15">
        <f t="shared" si="75"/>
        <v>371.25</v>
      </c>
      <c r="N156">
        <f t="shared" si="76"/>
        <v>5.19</v>
      </c>
      <c r="O156" s="15">
        <f>'Supply helium'!AM156</f>
        <v>77.40175106937544</v>
      </c>
      <c r="P156" s="15">
        <f t="shared" si="87"/>
        <v>26.979999999999507</v>
      </c>
      <c r="Q156" s="15">
        <f t="shared" si="77"/>
        <v>104.38175106937494</v>
      </c>
      <c r="R156" s="15">
        <f t="shared" si="88"/>
        <v>105.42653490573353</v>
      </c>
      <c r="S156" s="15">
        <f t="shared" si="89"/>
        <v>105.40424944142082</v>
      </c>
      <c r="U156" s="4">
        <f t="shared" si="90"/>
        <v>802.2829834702347</v>
      </c>
      <c r="W156" s="15">
        <f t="shared" si="91"/>
        <v>8.556434438697899</v>
      </c>
      <c r="Y156" s="3">
        <f t="shared" si="92"/>
        <v>0.007796056456585965</v>
      </c>
      <c r="AB156" s="1">
        <f t="shared" si="78"/>
        <v>9.783258288784647E-06</v>
      </c>
      <c r="AC156">
        <f t="shared" si="79"/>
        <v>16.27</v>
      </c>
      <c r="AD156">
        <f t="shared" si="80"/>
        <v>1</v>
      </c>
      <c r="AE156" s="8">
        <f t="shared" si="68"/>
        <v>494.9803802619017</v>
      </c>
      <c r="AF156" s="4">
        <f t="shared" si="69"/>
        <v>641751.6498558158</v>
      </c>
      <c r="AG156" s="5">
        <f t="shared" si="70"/>
        <v>0.011178788162252108</v>
      </c>
      <c r="AH156" s="4">
        <f t="shared" si="81"/>
        <v>13500</v>
      </c>
      <c r="AI156" s="8">
        <f t="shared" si="82"/>
        <v>885.8534719880234</v>
      </c>
      <c r="AJ156" s="10">
        <f t="shared" si="83"/>
        <v>17.09949499981129</v>
      </c>
    </row>
    <row r="157" spans="1:36" ht="12.75">
      <c r="A157" s="109"/>
      <c r="C157">
        <f t="shared" si="84"/>
        <v>135</v>
      </c>
      <c r="D157" s="4">
        <f t="shared" si="71"/>
        <v>5805</v>
      </c>
      <c r="E157" s="15">
        <f t="shared" si="85"/>
        <v>2.75</v>
      </c>
      <c r="F157" s="15">
        <f t="shared" si="72"/>
        <v>371.25</v>
      </c>
      <c r="H157" s="15">
        <f t="shared" si="86"/>
        <v>0</v>
      </c>
      <c r="I157" s="15">
        <f t="shared" si="73"/>
        <v>0</v>
      </c>
      <c r="J157" s="15"/>
      <c r="K157" s="15">
        <f t="shared" si="74"/>
        <v>2.75</v>
      </c>
      <c r="L157" s="15">
        <f t="shared" si="75"/>
        <v>371.25</v>
      </c>
      <c r="N157">
        <f t="shared" si="76"/>
        <v>5.19</v>
      </c>
      <c r="O157" s="15">
        <f>'Supply helium'!AM157</f>
        <v>77.39645591346252</v>
      </c>
      <c r="P157" s="15">
        <f t="shared" si="87"/>
        <v>26.979999999999507</v>
      </c>
      <c r="Q157" s="15">
        <f t="shared" si="77"/>
        <v>104.37645591346202</v>
      </c>
      <c r="R157" s="15">
        <f t="shared" si="88"/>
        <v>105.49340974193986</v>
      </c>
      <c r="S157" s="15">
        <f t="shared" si="89"/>
        <v>105.47008245226164</v>
      </c>
      <c r="U157" s="4">
        <f t="shared" si="90"/>
        <v>819.3958523476306</v>
      </c>
      <c r="W157" s="15">
        <f t="shared" si="91"/>
        <v>8.556434438697899</v>
      </c>
      <c r="Y157" s="3">
        <f t="shared" si="92"/>
        <v>0.0077869323517842995</v>
      </c>
      <c r="AB157" s="1">
        <f t="shared" si="78"/>
        <v>9.787172982941285E-06</v>
      </c>
      <c r="AC157">
        <f t="shared" si="79"/>
        <v>16.27</v>
      </c>
      <c r="AD157">
        <f t="shared" si="80"/>
        <v>1</v>
      </c>
      <c r="AE157" s="8">
        <f t="shared" si="68"/>
        <v>506.1307679123763</v>
      </c>
      <c r="AF157" s="4">
        <f t="shared" si="69"/>
        <v>655178.1863848773</v>
      </c>
      <c r="AG157" s="5">
        <f t="shared" si="70"/>
        <v>0.01112107110324099</v>
      </c>
      <c r="AH157" s="4">
        <f t="shared" si="81"/>
        <v>13500</v>
      </c>
      <c r="AI157" s="8">
        <f t="shared" si="82"/>
        <v>920.3536039717194</v>
      </c>
      <c r="AJ157" s="10">
        <f t="shared" si="83"/>
        <v>17.090291463771575</v>
      </c>
    </row>
    <row r="158" spans="1:36" ht="12.75">
      <c r="A158" s="109"/>
      <c r="C158">
        <f t="shared" si="84"/>
        <v>135</v>
      </c>
      <c r="D158" s="4">
        <f t="shared" si="71"/>
        <v>5940</v>
      </c>
      <c r="E158" s="15">
        <f t="shared" si="85"/>
        <v>2.75</v>
      </c>
      <c r="F158" s="15">
        <f t="shared" si="72"/>
        <v>371.25</v>
      </c>
      <c r="H158" s="15">
        <f t="shared" si="86"/>
        <v>0</v>
      </c>
      <c r="I158" s="15">
        <f t="shared" si="73"/>
        <v>0</v>
      </c>
      <c r="J158" s="15"/>
      <c r="K158" s="15">
        <f t="shared" si="74"/>
        <v>2.75</v>
      </c>
      <c r="L158" s="15">
        <f t="shared" si="75"/>
        <v>371.25</v>
      </c>
      <c r="N158">
        <f t="shared" si="76"/>
        <v>5.19</v>
      </c>
      <c r="O158" s="15">
        <f>'Supply helium'!AM158</f>
        <v>77.39100895494647</v>
      </c>
      <c r="P158" s="15">
        <f t="shared" si="87"/>
        <v>26.979999999999507</v>
      </c>
      <c r="Q158" s="15">
        <f t="shared" si="77"/>
        <v>104.37100895494598</v>
      </c>
      <c r="R158" s="15">
        <f t="shared" si="88"/>
        <v>105.55738066313562</v>
      </c>
      <c r="S158" s="15">
        <f t="shared" si="89"/>
        <v>105.53311047566838</v>
      </c>
      <c r="U158" s="4">
        <f t="shared" si="90"/>
        <v>836.5087212250264</v>
      </c>
      <c r="W158" s="15">
        <f t="shared" si="91"/>
        <v>8.556434438697899</v>
      </c>
      <c r="Y158" s="3">
        <f t="shared" si="92"/>
        <v>0.007777883274456896</v>
      </c>
      <c r="AB158" s="1">
        <f t="shared" si="78"/>
        <v>9.790920881325143E-06</v>
      </c>
      <c r="AC158">
        <f t="shared" si="79"/>
        <v>16.27</v>
      </c>
      <c r="AD158">
        <f t="shared" si="80"/>
        <v>1</v>
      </c>
      <c r="AE158" s="8">
        <f t="shared" si="68"/>
        <v>517.3023264015751</v>
      </c>
      <c r="AF158" s="4">
        <f t="shared" si="69"/>
        <v>668605.3764656661</v>
      </c>
      <c r="AG158" s="5">
        <f t="shared" si="70"/>
        <v>0.011064811219564192</v>
      </c>
      <c r="AH158" s="4">
        <f t="shared" si="81"/>
        <v>13500</v>
      </c>
      <c r="AI158" s="8">
        <f t="shared" si="82"/>
        <v>955.4556058169385</v>
      </c>
      <c r="AJ158" s="10">
        <f t="shared" si="83"/>
        <v>17.080736907713405</v>
      </c>
    </row>
    <row r="159" spans="1:36" ht="12.75">
      <c r="A159" s="109"/>
      <c r="C159">
        <f t="shared" si="84"/>
        <v>135</v>
      </c>
      <c r="D159" s="4">
        <f t="shared" si="71"/>
        <v>6075</v>
      </c>
      <c r="E159" s="15">
        <f t="shared" si="85"/>
        <v>2.75</v>
      </c>
      <c r="F159" s="15">
        <f t="shared" si="72"/>
        <v>371.25</v>
      </c>
      <c r="H159" s="15">
        <f t="shared" si="86"/>
        <v>0</v>
      </c>
      <c r="I159" s="15">
        <f t="shared" si="73"/>
        <v>0</v>
      </c>
      <c r="J159" s="15"/>
      <c r="K159" s="15">
        <f t="shared" si="74"/>
        <v>2.75</v>
      </c>
      <c r="L159" s="15">
        <f t="shared" si="75"/>
        <v>371.25</v>
      </c>
      <c r="N159">
        <f t="shared" si="76"/>
        <v>5.19</v>
      </c>
      <c r="O159" s="15">
        <f>'Supply helium'!AM159</f>
        <v>77.38540123312445</v>
      </c>
      <c r="P159" s="15">
        <f t="shared" si="87"/>
        <v>26.979999999999507</v>
      </c>
      <c r="Q159" s="15">
        <f t="shared" si="77"/>
        <v>104.36540123312396</v>
      </c>
      <c r="R159" s="15">
        <f t="shared" si="88"/>
        <v>105.61862278425825</v>
      </c>
      <c r="S159" s="15">
        <f t="shared" si="89"/>
        <v>105.59349898663228</v>
      </c>
      <c r="U159" s="4">
        <f t="shared" si="90"/>
        <v>853.6215901024223</v>
      </c>
      <c r="W159" s="15">
        <f t="shared" si="91"/>
        <v>8.556434438697899</v>
      </c>
      <c r="Y159" s="3">
        <f t="shared" si="92"/>
        <v>0.0077688923208538724</v>
      </c>
      <c r="AB159" s="1">
        <f t="shared" si="78"/>
        <v>9.7945118237411E-06</v>
      </c>
      <c r="AC159">
        <f t="shared" si="79"/>
        <v>16.27</v>
      </c>
      <c r="AD159">
        <f t="shared" si="80"/>
        <v>1</v>
      </c>
      <c r="AE159" s="8">
        <f t="shared" si="68"/>
        <v>528.4959559551886</v>
      </c>
      <c r="AF159" s="4">
        <f t="shared" si="69"/>
        <v>682033.2201363151</v>
      </c>
      <c r="AG159" s="5">
        <f t="shared" si="70"/>
        <v>0.011009943560459805</v>
      </c>
      <c r="AH159" s="4">
        <f t="shared" si="81"/>
        <v>13500</v>
      </c>
      <c r="AI159" s="8">
        <f t="shared" si="82"/>
        <v>991.1599646030498</v>
      </c>
      <c r="AJ159" s="10">
        <f t="shared" si="83"/>
        <v>17.070825308067374</v>
      </c>
    </row>
    <row r="160" spans="1:36" ht="12.75">
      <c r="A160" s="109"/>
      <c r="C160">
        <f t="shared" si="84"/>
        <v>135</v>
      </c>
      <c r="D160" s="4">
        <f t="shared" si="71"/>
        <v>6210</v>
      </c>
      <c r="E160" s="15">
        <f t="shared" si="85"/>
        <v>2.75</v>
      </c>
      <c r="F160" s="15">
        <f t="shared" si="72"/>
        <v>371.25</v>
      </c>
      <c r="H160" s="15">
        <f t="shared" si="86"/>
        <v>0</v>
      </c>
      <c r="I160" s="15">
        <f t="shared" si="73"/>
        <v>0</v>
      </c>
      <c r="J160" s="15"/>
      <c r="K160" s="15">
        <f t="shared" si="74"/>
        <v>2.75</v>
      </c>
      <c r="L160" s="15">
        <f t="shared" si="75"/>
        <v>371.25</v>
      </c>
      <c r="N160">
        <f t="shared" si="76"/>
        <v>5.19</v>
      </c>
      <c r="O160" s="15">
        <f>'Supply helium'!AM160</f>
        <v>77.37962296975729</v>
      </c>
      <c r="P160" s="15">
        <f t="shared" si="87"/>
        <v>26.979999999999507</v>
      </c>
      <c r="Q160" s="15">
        <f t="shared" si="77"/>
        <v>104.3596229697568</v>
      </c>
      <c r="R160" s="15">
        <f t="shared" si="88"/>
        <v>105.67729699823006</v>
      </c>
      <c r="S160" s="15">
        <f t="shared" si="89"/>
        <v>105.65140025940242</v>
      </c>
      <c r="U160" s="4">
        <f t="shared" si="90"/>
        <v>870.7344589798181</v>
      </c>
      <c r="W160" s="15">
        <f t="shared" si="91"/>
        <v>8.556434438697899</v>
      </c>
      <c r="Y160" s="3">
        <f t="shared" si="92"/>
        <v>0.007759943771642293</v>
      </c>
      <c r="AB160" s="1">
        <f t="shared" si="78"/>
        <v>9.797954865025105E-06</v>
      </c>
      <c r="AC160">
        <f t="shared" si="79"/>
        <v>16.27</v>
      </c>
      <c r="AD160">
        <f t="shared" si="80"/>
        <v>1</v>
      </c>
      <c r="AE160" s="8">
        <f t="shared" si="68"/>
        <v>539.7125750567603</v>
      </c>
      <c r="AF160" s="4">
        <f t="shared" si="69"/>
        <v>695461.7192755669</v>
      </c>
      <c r="AG160" s="5">
        <f t="shared" si="70"/>
        <v>0.01095640726871624</v>
      </c>
      <c r="AH160" s="4">
        <f t="shared" si="81"/>
        <v>13500</v>
      </c>
      <c r="AI160" s="8">
        <f t="shared" si="82"/>
        <v>1027.4673632797635</v>
      </c>
      <c r="AJ160" s="10">
        <f t="shared" si="83"/>
        <v>17.060550634434577</v>
      </c>
    </row>
    <row r="161" spans="1:36" ht="12.75">
      <c r="A161" s="109"/>
      <c r="C161">
        <f t="shared" si="84"/>
        <v>135</v>
      </c>
      <c r="D161" s="4">
        <f t="shared" si="71"/>
        <v>6345</v>
      </c>
      <c r="E161" s="15">
        <f t="shared" si="85"/>
        <v>2.75</v>
      </c>
      <c r="F161" s="15">
        <f t="shared" si="72"/>
        <v>371.25</v>
      </c>
      <c r="H161" s="15">
        <f t="shared" si="86"/>
        <v>0</v>
      </c>
      <c r="I161" s="15">
        <f t="shared" si="73"/>
        <v>0</v>
      </c>
      <c r="J161" s="15"/>
      <c r="K161" s="15">
        <f t="shared" si="74"/>
        <v>2.75</v>
      </c>
      <c r="L161" s="15">
        <f t="shared" si="75"/>
        <v>371.25</v>
      </c>
      <c r="N161">
        <f t="shared" si="76"/>
        <v>5.19</v>
      </c>
      <c r="O161" s="15">
        <f>'Supply helium'!AM161</f>
        <v>77.37366346649874</v>
      </c>
      <c r="P161" s="15">
        <f t="shared" si="87"/>
        <v>26.979999999999507</v>
      </c>
      <c r="Q161" s="15">
        <f t="shared" si="77"/>
        <v>104.35366346649825</v>
      </c>
      <c r="R161" s="15">
        <f t="shared" si="88"/>
        <v>105.73355135744363</v>
      </c>
      <c r="S161" s="15">
        <f t="shared" si="89"/>
        <v>105.7069546219438</v>
      </c>
      <c r="U161" s="4">
        <f t="shared" si="90"/>
        <v>887.8473278572139</v>
      </c>
      <c r="W161" s="15">
        <f t="shared" si="91"/>
        <v>8.556434438697899</v>
      </c>
      <c r="Y161" s="3">
        <f t="shared" si="92"/>
        <v>0.007751022972172877</v>
      </c>
      <c r="AB161" s="1">
        <f t="shared" si="78"/>
        <v>9.801258349639265E-06</v>
      </c>
      <c r="AC161">
        <f t="shared" si="79"/>
        <v>16.27</v>
      </c>
      <c r="AD161">
        <f t="shared" si="80"/>
        <v>1</v>
      </c>
      <c r="AE161" s="8">
        <f t="shared" si="68"/>
        <v>550.9531209088542</v>
      </c>
      <c r="AF161" s="4">
        <f t="shared" si="69"/>
        <v>708890.87757552</v>
      </c>
      <c r="AG161" s="5">
        <f t="shared" si="70"/>
        <v>0.010904145249495664</v>
      </c>
      <c r="AH161" s="4">
        <f t="shared" si="81"/>
        <v>13500</v>
      </c>
      <c r="AI161" s="8">
        <f t="shared" si="82"/>
        <v>1064.3786799866762</v>
      </c>
      <c r="AJ161" s="10">
        <f t="shared" si="83"/>
        <v>17.04990684763471</v>
      </c>
    </row>
    <row r="162" spans="1:36" ht="12.75">
      <c r="A162" s="109"/>
      <c r="C162">
        <f t="shared" si="84"/>
        <v>135</v>
      </c>
      <c r="D162" s="4">
        <f t="shared" si="71"/>
        <v>6480</v>
      </c>
      <c r="E162" s="15">
        <f t="shared" si="85"/>
        <v>2.75</v>
      </c>
      <c r="F162" s="15">
        <f t="shared" si="72"/>
        <v>371.25</v>
      </c>
      <c r="H162" s="15">
        <f t="shared" si="86"/>
        <v>0</v>
      </c>
      <c r="I162" s="15">
        <f t="shared" si="73"/>
        <v>0</v>
      </c>
      <c r="J162" s="15"/>
      <c r="K162" s="15">
        <f t="shared" si="74"/>
        <v>2.75</v>
      </c>
      <c r="L162" s="15">
        <f t="shared" si="75"/>
        <v>371.25</v>
      </c>
      <c r="N162">
        <f t="shared" si="76"/>
        <v>5.19</v>
      </c>
      <c r="O162" s="15">
        <f>'Supply helium'!AM162</f>
        <v>77.36751098571774</v>
      </c>
      <c r="P162" s="15">
        <f t="shared" si="87"/>
        <v>26.979999999999507</v>
      </c>
      <c r="Q162" s="15">
        <f t="shared" si="77"/>
        <v>104.34751098571725</v>
      </c>
      <c r="R162" s="15">
        <f t="shared" si="88"/>
        <v>105.78752229350525</v>
      </c>
      <c r="S162" s="15">
        <f t="shared" si="89"/>
        <v>105.76029156581019</v>
      </c>
      <c r="U162" s="4">
        <f t="shared" si="90"/>
        <v>904.9601967346098</v>
      </c>
      <c r="W162" s="15">
        <f t="shared" si="91"/>
        <v>8.556434438697899</v>
      </c>
      <c r="Y162" s="3">
        <f t="shared" si="92"/>
        <v>0.007742116227010996</v>
      </c>
      <c r="AB162" s="1">
        <f t="shared" si="78"/>
        <v>9.804429977669338E-06</v>
      </c>
      <c r="AC162">
        <f t="shared" si="79"/>
        <v>16.27</v>
      </c>
      <c r="AD162">
        <f t="shared" si="80"/>
        <v>1</v>
      </c>
      <c r="AE162" s="8">
        <f t="shared" si="68"/>
        <v>562.2185498888437</v>
      </c>
      <c r="AF162" s="4">
        <f t="shared" si="69"/>
        <v>722320.7005359291</v>
      </c>
      <c r="AG162" s="5">
        <f t="shared" si="70"/>
        <v>0.010853103871564823</v>
      </c>
      <c r="AH162" s="4">
        <f t="shared" si="81"/>
        <v>13500</v>
      </c>
      <c r="AI162" s="8">
        <f t="shared" si="82"/>
        <v>1101.8949876403283</v>
      </c>
      <c r="AJ162" s="10">
        <f t="shared" si="83"/>
        <v>17.038887897758308</v>
      </c>
    </row>
    <row r="163" spans="1:36" ht="12.75">
      <c r="A163" s="109"/>
      <c r="C163">
        <f t="shared" si="84"/>
        <v>135</v>
      </c>
      <c r="D163" s="4">
        <f t="shared" si="71"/>
        <v>6615</v>
      </c>
      <c r="E163" s="15">
        <f t="shared" si="85"/>
        <v>2.75</v>
      </c>
      <c r="F163" s="15">
        <f t="shared" si="72"/>
        <v>371.25</v>
      </c>
      <c r="H163" s="15">
        <f t="shared" si="86"/>
        <v>0</v>
      </c>
      <c r="I163" s="15">
        <f t="shared" si="73"/>
        <v>0</v>
      </c>
      <c r="J163" s="15"/>
      <c r="K163" s="15">
        <f t="shared" si="74"/>
        <v>2.75</v>
      </c>
      <c r="L163" s="15">
        <f t="shared" si="75"/>
        <v>371.25</v>
      </c>
      <c r="N163">
        <f t="shared" si="76"/>
        <v>5.19</v>
      </c>
      <c r="O163" s="15">
        <f>'Supply helium'!AM163</f>
        <v>77.3611526113793</v>
      </c>
      <c r="P163" s="15">
        <f t="shared" si="87"/>
        <v>26.979999999999507</v>
      </c>
      <c r="Q163" s="15">
        <f t="shared" si="77"/>
        <v>104.3411526113788</v>
      </c>
      <c r="R163" s="15">
        <f t="shared" si="88"/>
        <v>105.83933569633176</v>
      </c>
      <c r="S163" s="15">
        <f t="shared" si="89"/>
        <v>105.81153072984559</v>
      </c>
      <c r="U163" s="4">
        <f t="shared" si="90"/>
        <v>922.0730656120056</v>
      </c>
      <c r="W163" s="15">
        <f t="shared" si="91"/>
        <v>8.556434438697899</v>
      </c>
      <c r="Y163" s="3">
        <f t="shared" si="92"/>
        <v>0.007733210706813102</v>
      </c>
      <c r="AB163" s="1">
        <f t="shared" si="78"/>
        <v>9.807476863319537E-06</v>
      </c>
      <c r="AC163">
        <f t="shared" si="79"/>
        <v>16.27</v>
      </c>
      <c r="AD163">
        <f t="shared" si="80"/>
        <v>1</v>
      </c>
      <c r="AE163" s="8">
        <f t="shared" si="68"/>
        <v>573.5098380003749</v>
      </c>
      <c r="AF163" s="4">
        <f t="shared" si="69"/>
        <v>735751.195480122</v>
      </c>
      <c r="AG163" s="5">
        <f t="shared" si="70"/>
        <v>0.01080323269722113</v>
      </c>
      <c r="AH163" s="4">
        <f t="shared" si="81"/>
        <v>13500</v>
      </c>
      <c r="AI163" s="8">
        <f t="shared" si="82"/>
        <v>1140.0175537698697</v>
      </c>
      <c r="AJ163" s="10">
        <f t="shared" si="83"/>
        <v>17.02748772222061</v>
      </c>
    </row>
    <row r="164" spans="1:36" ht="13.5" thickBot="1">
      <c r="A164" s="110"/>
      <c r="C164">
        <f t="shared" si="84"/>
        <v>135</v>
      </c>
      <c r="D164" s="4">
        <f t="shared" si="71"/>
        <v>6750</v>
      </c>
      <c r="E164" s="15">
        <f t="shared" si="85"/>
        <v>2.75</v>
      </c>
      <c r="F164" s="15">
        <f t="shared" si="72"/>
        <v>371.25</v>
      </c>
      <c r="H164" s="15">
        <f t="shared" si="86"/>
        <v>0</v>
      </c>
      <c r="I164" s="15">
        <f t="shared" si="73"/>
        <v>0</v>
      </c>
      <c r="J164" s="15"/>
      <c r="K164" s="15">
        <f t="shared" si="74"/>
        <v>2.75</v>
      </c>
      <c r="L164" s="15">
        <f t="shared" si="75"/>
        <v>371.25</v>
      </c>
      <c r="N164">
        <f t="shared" si="76"/>
        <v>5.19</v>
      </c>
      <c r="O164" s="15">
        <f>'Supply helium'!AM164</f>
        <v>77.35457408584102</v>
      </c>
      <c r="P164" s="15">
        <f t="shared" si="87"/>
        <v>26.979999999999507</v>
      </c>
      <c r="Q164" s="15">
        <f t="shared" si="77"/>
        <v>104.33457408584053</v>
      </c>
      <c r="R164" s="15">
        <f t="shared" si="88"/>
        <v>105.88910787050312</v>
      </c>
      <c r="S164" s="15">
        <f t="shared" si="89"/>
        <v>105.86078277336792</v>
      </c>
      <c r="U164" s="4">
        <f t="shared" si="90"/>
        <v>939.1859344894015</v>
      </c>
      <c r="W164" s="15">
        <f t="shared" si="91"/>
        <v>8.556434438697899</v>
      </c>
      <c r="Y164" s="3">
        <f t="shared" si="92"/>
        <v>0.007724294365926352</v>
      </c>
      <c r="AB164" s="1">
        <f t="shared" si="78"/>
        <v>9.81040558683555E-06</v>
      </c>
      <c r="AC164">
        <f t="shared" si="79"/>
        <v>16.27</v>
      </c>
      <c r="AD164">
        <f t="shared" si="80"/>
        <v>1</v>
      </c>
      <c r="AE164" s="8">
        <f t="shared" si="68"/>
        <v>584.8279813209227</v>
      </c>
      <c r="AF164" s="4">
        <f t="shared" si="69"/>
        <v>749182.3715931756</v>
      </c>
      <c r="AG164" s="5">
        <f t="shared" si="70"/>
        <v>0.010754484237684176</v>
      </c>
      <c r="AH164" s="4">
        <f t="shared" si="81"/>
        <v>13500</v>
      </c>
      <c r="AI164" s="8">
        <f t="shared" si="82"/>
        <v>1178.7478405830543</v>
      </c>
      <c r="AJ164" s="10">
        <f t="shared" si="83"/>
        <v>17.015700243814777</v>
      </c>
    </row>
    <row r="165" spans="1:36" ht="12.75">
      <c r="A165" s="108"/>
      <c r="C165">
        <f t="shared" si="84"/>
        <v>135</v>
      </c>
      <c r="D165" s="4">
        <f t="shared" si="71"/>
        <v>6885</v>
      </c>
      <c r="E165" s="15">
        <f t="shared" si="85"/>
        <v>2.75</v>
      </c>
      <c r="F165" s="15">
        <f t="shared" si="72"/>
        <v>371.25</v>
      </c>
      <c r="H165" s="15">
        <f t="shared" si="86"/>
        <v>0</v>
      </c>
      <c r="I165" s="15">
        <f t="shared" si="73"/>
        <v>0</v>
      </c>
      <c r="J165" s="15"/>
      <c r="K165" s="15">
        <f t="shared" si="74"/>
        <v>2.75</v>
      </c>
      <c r="L165" s="15">
        <f t="shared" si="75"/>
        <v>371.25</v>
      </c>
      <c r="N165">
        <f t="shared" si="76"/>
        <v>5.19</v>
      </c>
      <c r="O165" s="15">
        <f>'Supply helium'!AM165</f>
        <v>77.34775961738285</v>
      </c>
      <c r="P165" s="15">
        <f t="shared" si="87"/>
        <v>26.979999999999507</v>
      </c>
      <c r="Q165" s="15">
        <f t="shared" si="77"/>
        <v>104.32775961738236</v>
      </c>
      <c r="R165" s="15">
        <f t="shared" si="88"/>
        <v>105.93694638408724</v>
      </c>
      <c r="S165" s="15">
        <f t="shared" si="89"/>
        <v>105.90815015215541</v>
      </c>
      <c r="U165" s="4">
        <f t="shared" si="90"/>
        <v>956.2988033667973</v>
      </c>
      <c r="W165" s="15">
        <f t="shared" si="91"/>
        <v>8.556434438697899</v>
      </c>
      <c r="Y165" s="3">
        <f t="shared" si="92"/>
        <v>0.007715355869336962</v>
      </c>
      <c r="AB165" s="1">
        <f t="shared" si="78"/>
        <v>9.813222240647769E-06</v>
      </c>
      <c r="AC165">
        <f t="shared" si="79"/>
        <v>16.27</v>
      </c>
      <c r="AD165">
        <f t="shared" si="80"/>
        <v>1</v>
      </c>
      <c r="AE165" s="8">
        <f t="shared" si="68"/>
        <v>596.1739964451841</v>
      </c>
      <c r="AF165" s="4">
        <f t="shared" si="69"/>
        <v>762614.2399836045</v>
      </c>
      <c r="AG165" s="5">
        <f t="shared" si="70"/>
        <v>0.01070681373113497</v>
      </c>
      <c r="AH165" s="4">
        <f t="shared" si="81"/>
        <v>13500</v>
      </c>
      <c r="AI165" s="8">
        <f t="shared" si="82"/>
        <v>1218.0875052443996</v>
      </c>
      <c r="AJ165" s="10">
        <f t="shared" si="83"/>
        <v>17.003519368762333</v>
      </c>
    </row>
    <row r="166" spans="1:36" ht="12.75">
      <c r="A166" s="109"/>
      <c r="C166">
        <f t="shared" si="84"/>
        <v>135</v>
      </c>
      <c r="D166" s="4">
        <f t="shared" si="71"/>
        <v>7020</v>
      </c>
      <c r="E166" s="15">
        <f t="shared" si="85"/>
        <v>2.75</v>
      </c>
      <c r="F166" s="15">
        <f t="shared" si="72"/>
        <v>371.25</v>
      </c>
      <c r="H166" s="15">
        <f t="shared" si="86"/>
        <v>0</v>
      </c>
      <c r="I166" s="15">
        <f t="shared" si="73"/>
        <v>0</v>
      </c>
      <c r="J166" s="15"/>
      <c r="K166" s="15">
        <f t="shared" si="74"/>
        <v>2.75</v>
      </c>
      <c r="L166" s="15">
        <f t="shared" si="75"/>
        <v>371.25</v>
      </c>
      <c r="N166">
        <f t="shared" si="76"/>
        <v>5.19</v>
      </c>
      <c r="O166" s="15">
        <f>'Supply helium'!AM166</f>
        <v>77.34069165193735</v>
      </c>
      <c r="P166" s="15">
        <f t="shared" si="87"/>
        <v>26.979999999999507</v>
      </c>
      <c r="Q166" s="15">
        <f t="shared" si="77"/>
        <v>104.32069165193685</v>
      </c>
      <c r="R166" s="15">
        <f t="shared" si="88"/>
        <v>105.98295082288267</v>
      </c>
      <c r="S166" s="15">
        <f t="shared" si="89"/>
        <v>105.9537278085674</v>
      </c>
      <c r="U166" s="4">
        <f t="shared" si="90"/>
        <v>973.4116722441931</v>
      </c>
      <c r="W166" s="15">
        <f t="shared" si="91"/>
        <v>8.556434438697899</v>
      </c>
      <c r="Y166" s="3">
        <f t="shared" si="92"/>
        <v>0.007706384527800967</v>
      </c>
      <c r="AB166" s="1">
        <f t="shared" si="78"/>
        <v>9.81593247040865E-06</v>
      </c>
      <c r="AC166">
        <f t="shared" si="79"/>
        <v>16.27</v>
      </c>
      <c r="AD166">
        <f t="shared" si="80"/>
        <v>1</v>
      </c>
      <c r="AE166" s="8">
        <f t="shared" si="68"/>
        <v>607.5489209233092</v>
      </c>
      <c r="AF166" s="4">
        <f t="shared" si="69"/>
        <v>776046.8137705189</v>
      </c>
      <c r="AG166" s="5">
        <f t="shared" si="70"/>
        <v>0.01066017894093765</v>
      </c>
      <c r="AH166" s="4">
        <f t="shared" si="81"/>
        <v>13500</v>
      </c>
      <c r="AI166" s="8">
        <f t="shared" si="82"/>
        <v>1258.0384003468412</v>
      </c>
      <c r="AJ166" s="10">
        <f t="shared" si="83"/>
        <v>16.990938984758866</v>
      </c>
    </row>
    <row r="167" spans="1:36" ht="12.75">
      <c r="A167" s="109"/>
      <c r="C167">
        <f t="shared" si="84"/>
        <v>135</v>
      </c>
      <c r="D167" s="4">
        <f t="shared" si="71"/>
        <v>7155</v>
      </c>
      <c r="E167" s="15">
        <f t="shared" si="85"/>
        <v>2.75</v>
      </c>
      <c r="F167" s="15">
        <f t="shared" si="72"/>
        <v>371.25</v>
      </c>
      <c r="H167" s="15">
        <f t="shared" si="86"/>
        <v>0</v>
      </c>
      <c r="I167" s="15">
        <f t="shared" si="73"/>
        <v>0</v>
      </c>
      <c r="J167" s="15"/>
      <c r="K167" s="15">
        <f t="shared" si="74"/>
        <v>2.75</v>
      </c>
      <c r="L167" s="15">
        <f t="shared" si="75"/>
        <v>371.25</v>
      </c>
      <c r="N167">
        <f t="shared" si="76"/>
        <v>5.19</v>
      </c>
      <c r="O167" s="15">
        <f>'Supply helium'!AM167</f>
        <v>77.33335060072172</v>
      </c>
      <c r="P167" s="15">
        <f t="shared" si="87"/>
        <v>26.979999999999507</v>
      </c>
      <c r="Q167" s="15">
        <f t="shared" si="77"/>
        <v>104.31335060072122</v>
      </c>
      <c r="R167" s="15">
        <f t="shared" si="88"/>
        <v>106.02721346108952</v>
      </c>
      <c r="S167" s="15">
        <f t="shared" si="89"/>
        <v>105.997603785422</v>
      </c>
      <c r="U167" s="4">
        <f t="shared" si="90"/>
        <v>990.524541121589</v>
      </c>
      <c r="W167" s="15">
        <f t="shared" si="91"/>
        <v>8.556434438697899</v>
      </c>
      <c r="Y167" s="3">
        <f t="shared" si="92"/>
        <v>0.007697370240167041</v>
      </c>
      <c r="AB167" s="1">
        <f t="shared" si="78"/>
        <v>9.818541511496334E-06</v>
      </c>
      <c r="AC167">
        <f t="shared" si="79"/>
        <v>16.27</v>
      </c>
      <c r="AD167">
        <f t="shared" si="80"/>
        <v>1</v>
      </c>
      <c r="AE167" s="8">
        <f t="shared" si="68"/>
        <v>618.9538136921307</v>
      </c>
      <c r="AF167" s="4">
        <f t="shared" si="69"/>
        <v>789480.1081990122</v>
      </c>
      <c r="AG167" s="5">
        <f t="shared" si="70"/>
        <v>0.010614539971881519</v>
      </c>
      <c r="AH167" s="4">
        <f t="shared" si="81"/>
        <v>13500</v>
      </c>
      <c r="AI167" s="8">
        <f t="shared" si="82"/>
        <v>1298.6025745571517</v>
      </c>
      <c r="AJ167" s="10">
        <f t="shared" si="83"/>
        <v>16.977952959013294</v>
      </c>
    </row>
    <row r="168" spans="1:36" ht="12.75">
      <c r="A168" s="109"/>
      <c r="C168">
        <f t="shared" si="84"/>
        <v>135</v>
      </c>
      <c r="D168" s="4">
        <f t="shared" si="71"/>
        <v>7290</v>
      </c>
      <c r="E168" s="15">
        <f t="shared" si="85"/>
        <v>2.75</v>
      </c>
      <c r="F168" s="15">
        <f t="shared" si="72"/>
        <v>371.25</v>
      </c>
      <c r="H168" s="15">
        <f t="shared" si="86"/>
        <v>0</v>
      </c>
      <c r="I168" s="15">
        <f t="shared" si="73"/>
        <v>0</v>
      </c>
      <c r="J168" s="15"/>
      <c r="K168" s="15">
        <f t="shared" si="74"/>
        <v>2.75</v>
      </c>
      <c r="L168" s="15">
        <f t="shared" si="75"/>
        <v>371.25</v>
      </c>
      <c r="N168">
        <f t="shared" si="76"/>
        <v>5.19</v>
      </c>
      <c r="O168" s="15">
        <f>'Supply helium'!AM168</f>
        <v>77.32571451313743</v>
      </c>
      <c r="P168" s="15">
        <f t="shared" si="87"/>
        <v>26.979999999999507</v>
      </c>
      <c r="Q168" s="15">
        <f t="shared" si="77"/>
        <v>104.30571451313693</v>
      </c>
      <c r="R168" s="15">
        <f t="shared" si="88"/>
        <v>106.06981985775325</v>
      </c>
      <c r="S168" s="15">
        <f t="shared" si="89"/>
        <v>106.0398597717652</v>
      </c>
      <c r="U168" s="4">
        <f t="shared" si="90"/>
        <v>1007.6374099989848</v>
      </c>
      <c r="W168" s="15">
        <f t="shared" si="91"/>
        <v>8.556434438697899</v>
      </c>
      <c r="Y168" s="3">
        <f t="shared" si="92"/>
        <v>0.0076883034420511896</v>
      </c>
      <c r="AB168" s="1">
        <f t="shared" si="78"/>
        <v>9.821054221468244E-06</v>
      </c>
      <c r="AC168">
        <f t="shared" si="79"/>
        <v>16.27</v>
      </c>
      <c r="AD168">
        <f t="shared" si="80"/>
        <v>1</v>
      </c>
      <c r="AE168" s="8">
        <f t="shared" si="68"/>
        <v>630.389755496538</v>
      </c>
      <c r="AF168" s="4">
        <f t="shared" si="69"/>
        <v>802914.1407875409</v>
      </c>
      <c r="AG168" s="5">
        <f t="shared" si="70"/>
        <v>0.010569859102541301</v>
      </c>
      <c r="AH168" s="4">
        <f t="shared" si="81"/>
        <v>13500</v>
      </c>
      <c r="AI168" s="8">
        <f t="shared" si="82"/>
        <v>1339.782273413436</v>
      </c>
      <c r="AJ168" s="10">
        <f t="shared" si="83"/>
        <v>16.96455513627916</v>
      </c>
    </row>
    <row r="169" spans="1:36" ht="12.75">
      <c r="A169" s="109"/>
      <c r="C169">
        <f t="shared" si="84"/>
        <v>135</v>
      </c>
      <c r="D169" s="4">
        <f t="shared" si="71"/>
        <v>7425</v>
      </c>
      <c r="E169" s="15">
        <f t="shared" si="85"/>
        <v>2.75</v>
      </c>
      <c r="F169" s="15">
        <f t="shared" si="72"/>
        <v>371.25</v>
      </c>
      <c r="H169" s="15">
        <f t="shared" si="86"/>
        <v>0</v>
      </c>
      <c r="I169" s="15">
        <f t="shared" si="73"/>
        <v>0</v>
      </c>
      <c r="J169" s="15"/>
      <c r="K169" s="15">
        <f t="shared" si="74"/>
        <v>2.75</v>
      </c>
      <c r="L169" s="15">
        <f t="shared" si="75"/>
        <v>371.25</v>
      </c>
      <c r="N169">
        <f t="shared" si="76"/>
        <v>5.19</v>
      </c>
      <c r="O169" s="15">
        <f>'Supply helium'!AM169</f>
        <v>77.31775868118693</v>
      </c>
      <c r="P169" s="15">
        <f t="shared" si="87"/>
        <v>26.979999999999507</v>
      </c>
      <c r="Q169" s="15">
        <f t="shared" si="77"/>
        <v>104.29775868118644</v>
      </c>
      <c r="R169" s="15">
        <f t="shared" si="88"/>
        <v>106.11084938687644</v>
      </c>
      <c r="S169" s="15">
        <f t="shared" si="89"/>
        <v>106.0805715873492</v>
      </c>
      <c r="U169" s="4">
        <f t="shared" si="90"/>
        <v>1024.7502788763807</v>
      </c>
      <c r="W169" s="15">
        <f t="shared" si="91"/>
        <v>8.556434438697899</v>
      </c>
      <c r="Y169" s="3">
        <f t="shared" si="92"/>
        <v>0.007679175060152425</v>
      </c>
      <c r="AB169" s="1">
        <f t="shared" si="78"/>
        <v>9.823475108870132E-06</v>
      </c>
      <c r="AC169">
        <f t="shared" si="79"/>
        <v>16.27</v>
      </c>
      <c r="AD169">
        <f t="shared" si="80"/>
        <v>1</v>
      </c>
      <c r="AE169" s="8">
        <f t="shared" si="68"/>
        <v>641.8578492969199</v>
      </c>
      <c r="AF169" s="4">
        <f t="shared" si="69"/>
        <v>816348.9315122622</v>
      </c>
      <c r="AG169" s="5">
        <f t="shared" si="70"/>
        <v>0.010526100632077897</v>
      </c>
      <c r="AH169" s="4">
        <f t="shared" si="81"/>
        <v>13500</v>
      </c>
      <c r="AI169" s="8">
        <f t="shared" si="82"/>
        <v>1381.5799402501204</v>
      </c>
      <c r="AJ169" s="10">
        <f t="shared" si="83"/>
        <v>16.95073933687666</v>
      </c>
    </row>
    <row r="170" spans="1:36" ht="12.75">
      <c r="A170" s="109"/>
      <c r="C170">
        <f t="shared" si="84"/>
        <v>135</v>
      </c>
      <c r="D170" s="4">
        <f t="shared" si="71"/>
        <v>7560</v>
      </c>
      <c r="E170" s="15">
        <f t="shared" si="85"/>
        <v>2.75</v>
      </c>
      <c r="F170" s="15">
        <f t="shared" si="72"/>
        <v>371.25</v>
      </c>
      <c r="H170" s="15">
        <f t="shared" si="86"/>
        <v>0</v>
      </c>
      <c r="I170" s="15">
        <f t="shared" si="73"/>
        <v>0</v>
      </c>
      <c r="J170" s="15"/>
      <c r="K170" s="15">
        <f t="shared" si="74"/>
        <v>2.75</v>
      </c>
      <c r="L170" s="15">
        <f t="shared" si="75"/>
        <v>371.25</v>
      </c>
      <c r="N170">
        <f t="shared" si="76"/>
        <v>5.19</v>
      </c>
      <c r="O170" s="15">
        <f>'Supply helium'!AM170</f>
        <v>77.30945515744986</v>
      </c>
      <c r="P170" s="15">
        <f t="shared" si="87"/>
        <v>26.979999999999507</v>
      </c>
      <c r="Q170" s="15">
        <f t="shared" si="77"/>
        <v>104.28945515744937</v>
      </c>
      <c r="R170" s="15">
        <f t="shared" si="88"/>
        <v>106.15037570780862</v>
      </c>
      <c r="S170" s="15">
        <f t="shared" si="89"/>
        <v>106.11980961144731</v>
      </c>
      <c r="U170" s="4">
        <f t="shared" si="90"/>
        <v>1041.8631477537765</v>
      </c>
      <c r="W170" s="15">
        <f t="shared" si="91"/>
        <v>8.556434438697899</v>
      </c>
      <c r="Y170" s="3">
        <f t="shared" si="92"/>
        <v>0.007669976471611612</v>
      </c>
      <c r="AB170" s="1">
        <f t="shared" si="78"/>
        <v>9.825808358735103E-06</v>
      </c>
      <c r="AC170">
        <f t="shared" si="79"/>
        <v>16.27</v>
      </c>
      <c r="AD170">
        <f t="shared" si="80"/>
        <v>1</v>
      </c>
      <c r="AE170" s="8">
        <f t="shared" si="68"/>
        <v>653.3592206570559</v>
      </c>
      <c r="AF170" s="4">
        <f t="shared" si="69"/>
        <v>829784.5030348662</v>
      </c>
      <c r="AG170" s="5">
        <f t="shared" si="70"/>
        <v>0.010483230739995134</v>
      </c>
      <c r="AH170" s="4">
        <f t="shared" si="81"/>
        <v>13500</v>
      </c>
      <c r="AI170" s="8">
        <f t="shared" si="82"/>
        <v>1423.9982172216478</v>
      </c>
      <c r="AJ170" s="10">
        <f t="shared" si="83"/>
        <v>16.93649935470444</v>
      </c>
    </row>
    <row r="171" spans="1:36" ht="12.75">
      <c r="A171" s="109"/>
      <c r="C171">
        <f t="shared" si="84"/>
        <v>135</v>
      </c>
      <c r="D171" s="4">
        <f t="shared" si="71"/>
        <v>7695</v>
      </c>
      <c r="E171" s="15">
        <f t="shared" si="85"/>
        <v>2.75</v>
      </c>
      <c r="F171" s="15">
        <f t="shared" si="72"/>
        <v>371.25</v>
      </c>
      <c r="H171" s="15">
        <f t="shared" si="86"/>
        <v>0</v>
      </c>
      <c r="I171" s="15">
        <f t="shared" si="73"/>
        <v>0</v>
      </c>
      <c r="J171" s="15"/>
      <c r="K171" s="15">
        <f t="shared" si="74"/>
        <v>2.75</v>
      </c>
      <c r="L171" s="15">
        <f t="shared" si="75"/>
        <v>371.25</v>
      </c>
      <c r="N171">
        <f t="shared" si="76"/>
        <v>5.19</v>
      </c>
      <c r="O171" s="15">
        <f>'Supply helium'!AM171</f>
        <v>77.30077216291693</v>
      </c>
      <c r="P171" s="15">
        <f t="shared" si="87"/>
        <v>26.979999999999507</v>
      </c>
      <c r="Q171" s="15">
        <f t="shared" si="77"/>
        <v>104.28077216291643</v>
      </c>
      <c r="R171" s="15">
        <f t="shared" si="88"/>
        <v>106.1884671813611</v>
      </c>
      <c r="S171" s="15">
        <f t="shared" si="89"/>
        <v>106.15763916052211</v>
      </c>
      <c r="U171" s="4">
        <f t="shared" si="90"/>
        <v>1058.9760166311723</v>
      </c>
      <c r="W171" s="15">
        <f t="shared" si="91"/>
        <v>8.556434438697899</v>
      </c>
      <c r="Y171" s="3">
        <f t="shared" si="92"/>
        <v>0.007660699467916486</v>
      </c>
      <c r="AB171" s="1">
        <f t="shared" si="78"/>
        <v>9.828057855041287E-06</v>
      </c>
      <c r="AC171">
        <f t="shared" si="79"/>
        <v>16.27</v>
      </c>
      <c r="AD171">
        <f t="shared" si="80"/>
        <v>1</v>
      </c>
      <c r="AE171" s="8">
        <f t="shared" si="68"/>
        <v>664.8950181048644</v>
      </c>
      <c r="AF171" s="4">
        <f t="shared" si="69"/>
        <v>843220.8809824346</v>
      </c>
      <c r="AG171" s="5">
        <f t="shared" si="70"/>
        <v>0.010441217357534584</v>
      </c>
      <c r="AH171" s="4">
        <f t="shared" si="81"/>
        <v>13500</v>
      </c>
      <c r="AI171" s="8">
        <f t="shared" si="82"/>
        <v>1467.0399463902145</v>
      </c>
      <c r="AJ171" s="10">
        <f t="shared" si="83"/>
        <v>16.92182895524054</v>
      </c>
    </row>
    <row r="172" spans="1:36" ht="12.75">
      <c r="A172" s="109"/>
      <c r="C172">
        <f t="shared" si="84"/>
        <v>135</v>
      </c>
      <c r="D172" s="4">
        <f t="shared" si="71"/>
        <v>7830</v>
      </c>
      <c r="E172" s="15">
        <f t="shared" si="85"/>
        <v>2.75</v>
      </c>
      <c r="F172" s="15">
        <f t="shared" si="72"/>
        <v>371.25</v>
      </c>
      <c r="H172" s="15">
        <f t="shared" si="86"/>
        <v>0</v>
      </c>
      <c r="I172" s="15">
        <f t="shared" si="73"/>
        <v>0</v>
      </c>
      <c r="J172" s="15"/>
      <c r="K172" s="15">
        <f t="shared" si="74"/>
        <v>2.75</v>
      </c>
      <c r="L172" s="15">
        <f t="shared" si="75"/>
        <v>371.25</v>
      </c>
      <c r="N172">
        <f t="shared" si="76"/>
        <v>5.19</v>
      </c>
      <c r="O172" s="15">
        <f>'Supply helium'!AM172</f>
        <v>77.29167335303417</v>
      </c>
      <c r="P172" s="15">
        <f t="shared" si="87"/>
        <v>26.979999999999507</v>
      </c>
      <c r="Q172" s="15">
        <f t="shared" si="77"/>
        <v>104.27167335303368</v>
      </c>
      <c r="R172" s="15">
        <f t="shared" si="88"/>
        <v>106.22518723600645</v>
      </c>
      <c r="S172" s="15">
        <f t="shared" si="89"/>
        <v>106.1941208181857</v>
      </c>
      <c r="U172" s="4">
        <f t="shared" si="90"/>
        <v>1076.0888855085682</v>
      </c>
      <c r="W172" s="15">
        <f t="shared" si="91"/>
        <v>8.556434438697899</v>
      </c>
      <c r="Y172" s="3">
        <f t="shared" si="92"/>
        <v>0.007651336222947999</v>
      </c>
      <c r="AB172" s="1">
        <f t="shared" si="78"/>
        <v>9.830227200332594E-06</v>
      </c>
      <c r="AC172">
        <f t="shared" si="79"/>
        <v>16.27</v>
      </c>
      <c r="AD172">
        <f t="shared" si="80"/>
        <v>1</v>
      </c>
      <c r="AE172" s="8">
        <f t="shared" si="68"/>
        <v>676.4664134558412</v>
      </c>
      <c r="AF172" s="4">
        <f t="shared" si="69"/>
        <v>856658.0942905102</v>
      </c>
      <c r="AG172" s="5">
        <f t="shared" si="70"/>
        <v>0.010400030049533623</v>
      </c>
      <c r="AH172" s="4">
        <f t="shared" si="81"/>
        <v>13500</v>
      </c>
      <c r="AI172" s="8">
        <f t="shared" si="82"/>
        <v>1510.7081708346802</v>
      </c>
      <c r="AJ172" s="10">
        <f t="shared" si="83"/>
        <v>16.90672187353219</v>
      </c>
    </row>
    <row r="173" spans="1:36" ht="12.75">
      <c r="A173" s="109"/>
      <c r="C173">
        <f t="shared" si="84"/>
        <v>135</v>
      </c>
      <c r="D173" s="4">
        <f t="shared" si="71"/>
        <v>7965</v>
      </c>
      <c r="E173" s="15">
        <f t="shared" si="85"/>
        <v>2.75</v>
      </c>
      <c r="F173" s="15">
        <f t="shared" si="72"/>
        <v>371.25</v>
      </c>
      <c r="H173" s="15">
        <f t="shared" si="86"/>
        <v>0</v>
      </c>
      <c r="I173" s="15">
        <f t="shared" si="73"/>
        <v>0</v>
      </c>
      <c r="J173" s="15"/>
      <c r="K173" s="15">
        <f t="shared" si="74"/>
        <v>2.75</v>
      </c>
      <c r="L173" s="15">
        <f t="shared" si="75"/>
        <v>371.25</v>
      </c>
      <c r="N173">
        <f t="shared" si="76"/>
        <v>5.19</v>
      </c>
      <c r="O173" s="15">
        <f>'Supply helium'!AM173</f>
        <v>77.28211689916782</v>
      </c>
      <c r="P173" s="15">
        <f t="shared" si="87"/>
        <v>26.979999999999507</v>
      </c>
      <c r="Q173" s="15">
        <f t="shared" si="77"/>
        <v>104.26211689916732</v>
      </c>
      <c r="R173" s="15">
        <f t="shared" si="88"/>
        <v>106.26059468746435</v>
      </c>
      <c r="S173" s="15">
        <f t="shared" si="89"/>
        <v>106.22931071979022</v>
      </c>
      <c r="U173" s="4">
        <f t="shared" si="90"/>
        <v>1093.201754385964</v>
      </c>
      <c r="W173" s="15">
        <f t="shared" si="91"/>
        <v>8.556434438697899</v>
      </c>
      <c r="Y173" s="3">
        <f t="shared" si="92"/>
        <v>0.0076418792648507185</v>
      </c>
      <c r="AB173" s="1">
        <f t="shared" si="78"/>
        <v>9.832319732641606E-06</v>
      </c>
      <c r="AC173">
        <f t="shared" si="79"/>
        <v>16.27</v>
      </c>
      <c r="AD173">
        <f t="shared" si="80"/>
        <v>1</v>
      </c>
      <c r="AE173" s="8">
        <f t="shared" si="68"/>
        <v>688.0746020856235</v>
      </c>
      <c r="AF173" s="4">
        <f t="shared" si="69"/>
        <v>870096.1756241235</v>
      </c>
      <c r="AG173" s="5">
        <f t="shared" si="70"/>
        <v>0.010359639905694554</v>
      </c>
      <c r="AH173" s="4">
        <f t="shared" si="81"/>
        <v>13500</v>
      </c>
      <c r="AI173" s="8">
        <f t="shared" si="82"/>
        <v>1555.0061357266143</v>
      </c>
      <c r="AJ173" s="10">
        <f t="shared" si="83"/>
        <v>16.891171812174925</v>
      </c>
    </row>
    <row r="174" spans="1:36" ht="13.5" thickBot="1">
      <c r="A174" s="110"/>
      <c r="C174">
        <f t="shared" si="84"/>
        <v>135</v>
      </c>
      <c r="D174" s="4">
        <f t="shared" si="71"/>
        <v>8100</v>
      </c>
      <c r="E174" s="15">
        <f t="shared" si="85"/>
        <v>2.75</v>
      </c>
      <c r="F174" s="15">
        <f t="shared" si="72"/>
        <v>371.25</v>
      </c>
      <c r="H174" s="15">
        <f t="shared" si="86"/>
        <v>0</v>
      </c>
      <c r="I174" s="15">
        <f t="shared" si="73"/>
        <v>0</v>
      </c>
      <c r="J174" s="15"/>
      <c r="K174" s="15">
        <f t="shared" si="74"/>
        <v>2.75</v>
      </c>
      <c r="L174" s="15">
        <f t="shared" si="75"/>
        <v>371.25</v>
      </c>
      <c r="N174">
        <f t="shared" si="76"/>
        <v>5.19</v>
      </c>
      <c r="O174" s="15">
        <f>'Supply helium'!AM174</f>
        <v>77.27205432683695</v>
      </c>
      <c r="P174" s="15">
        <f t="shared" si="87"/>
        <v>26.979999999999507</v>
      </c>
      <c r="Q174" s="15">
        <f t="shared" si="77"/>
        <v>104.25205432683646</v>
      </c>
      <c r="R174" s="15">
        <f t="shared" si="88"/>
        <v>106.29474401389218</v>
      </c>
      <c r="S174" s="15">
        <f t="shared" si="89"/>
        <v>106.26326079279484</v>
      </c>
      <c r="U174" s="4">
        <f t="shared" si="90"/>
        <v>1110.3146232633599</v>
      </c>
      <c r="W174" s="15">
        <f t="shared" si="91"/>
        <v>8.556434438697899</v>
      </c>
      <c r="Y174" s="3">
        <f t="shared" si="92"/>
        <v>0.007632321451497013</v>
      </c>
      <c r="AB174" s="1">
        <f t="shared" si="78"/>
        <v>9.834338539782753E-06</v>
      </c>
      <c r="AC174">
        <f t="shared" si="79"/>
        <v>16.27</v>
      </c>
      <c r="AD174">
        <f t="shared" si="80"/>
        <v>1</v>
      </c>
      <c r="AE174" s="8">
        <f t="shared" si="68"/>
        <v>699.7208031335189</v>
      </c>
      <c r="AF174" s="4">
        <f t="shared" si="69"/>
        <v>883535.1618963506</v>
      </c>
      <c r="AG174" s="5">
        <f t="shared" si="70"/>
        <v>0.010320019440316026</v>
      </c>
      <c r="AH174" s="4">
        <f t="shared" si="81"/>
        <v>13500</v>
      </c>
      <c r="AI174" s="8">
        <f t="shared" si="82"/>
        <v>1599.9372893037407</v>
      </c>
      <c r="AJ174" s="10">
        <f t="shared" si="83"/>
        <v>16.875172439281886</v>
      </c>
    </row>
    <row r="175" spans="1:36" ht="12.75">
      <c r="A175" s="108"/>
      <c r="C175">
        <f t="shared" si="84"/>
        <v>135</v>
      </c>
      <c r="D175" s="4">
        <f t="shared" si="71"/>
        <v>8235</v>
      </c>
      <c r="E175" s="15">
        <f t="shared" si="85"/>
        <v>2.75</v>
      </c>
      <c r="F175" s="15">
        <f t="shared" si="72"/>
        <v>371.25</v>
      </c>
      <c r="H175" s="15">
        <f t="shared" si="86"/>
        <v>0</v>
      </c>
      <c r="I175" s="15">
        <f t="shared" si="73"/>
        <v>0</v>
      </c>
      <c r="K175" s="15">
        <f t="shared" si="74"/>
        <v>2.75</v>
      </c>
      <c r="L175" s="15">
        <f t="shared" si="75"/>
        <v>371.25</v>
      </c>
      <c r="N175">
        <f t="shared" si="76"/>
        <v>5.19</v>
      </c>
      <c r="O175" s="15">
        <f>'Supply helium'!AM175</f>
        <v>77.26142902910078</v>
      </c>
      <c r="P175" s="15">
        <f t="shared" si="87"/>
        <v>26.979999999999507</v>
      </c>
      <c r="Q175" s="15">
        <f t="shared" si="77"/>
        <v>104.24142902910029</v>
      </c>
      <c r="R175" s="15">
        <f t="shared" si="88"/>
        <v>106.32768558772123</v>
      </c>
      <c r="S175" s="15">
        <f t="shared" si="89"/>
        <v>106.29601895267716</v>
      </c>
      <c r="U175" s="4">
        <f t="shared" si="90"/>
        <v>1127.4274921407557</v>
      </c>
      <c r="W175" s="15">
        <f t="shared" si="91"/>
        <v>8.556434438697899</v>
      </c>
      <c r="Y175" s="3">
        <f t="shared" si="92"/>
        <v>0.007622655949406486</v>
      </c>
      <c r="AB175" s="1">
        <f t="shared" si="78"/>
        <v>9.836286471001994E-06</v>
      </c>
      <c r="AC175">
        <f t="shared" si="79"/>
        <v>16.27</v>
      </c>
      <c r="AD175">
        <f t="shared" si="80"/>
        <v>1</v>
      </c>
      <c r="AE175" s="8">
        <f t="shared" si="68"/>
        <v>711.4062596125754</v>
      </c>
      <c r="AF175" s="4">
        <f t="shared" si="69"/>
        <v>896975.0949107036</v>
      </c>
      <c r="AG175" s="5">
        <f t="shared" si="70"/>
        <v>0.010281142499624233</v>
      </c>
      <c r="AH175" s="4">
        <f t="shared" si="81"/>
        <v>13500</v>
      </c>
      <c r="AI175" s="8">
        <f t="shared" si="82"/>
        <v>1645.5052836494558</v>
      </c>
      <c r="AJ175" s="10">
        <f t="shared" si="83"/>
        <v>16.85871738644539</v>
      </c>
    </row>
    <row r="176" spans="1:36" ht="12.75">
      <c r="A176" s="109"/>
      <c r="C176">
        <f t="shared" si="84"/>
        <v>135</v>
      </c>
      <c r="D176" s="4">
        <f t="shared" si="71"/>
        <v>8370</v>
      </c>
      <c r="E176" s="15">
        <f t="shared" si="85"/>
        <v>2.75</v>
      </c>
      <c r="F176" s="15">
        <f t="shared" si="72"/>
        <v>371.25</v>
      </c>
      <c r="H176" s="15">
        <f t="shared" si="86"/>
        <v>0</v>
      </c>
      <c r="I176" s="15">
        <f t="shared" si="73"/>
        <v>0</v>
      </c>
      <c r="K176" s="15">
        <f t="shared" si="74"/>
        <v>2.75</v>
      </c>
      <c r="L176" s="15">
        <f t="shared" si="75"/>
        <v>371.25</v>
      </c>
      <c r="N176">
        <f t="shared" si="76"/>
        <v>5.19</v>
      </c>
      <c r="O176" s="15">
        <f>'Supply helium'!AM176</f>
        <v>77.25017433964685</v>
      </c>
      <c r="P176" s="15">
        <f t="shared" si="87"/>
        <v>26.979999999999507</v>
      </c>
      <c r="Q176" s="15">
        <f t="shared" si="77"/>
        <v>104.23017433964635</v>
      </c>
      <c r="R176" s="15">
        <f t="shared" si="88"/>
        <v>106.35946586381438</v>
      </c>
      <c r="S176" s="15">
        <f t="shared" si="89"/>
        <v>106.32762925245851</v>
      </c>
      <c r="U176" s="4">
        <f t="shared" si="90"/>
        <v>1144.5403610181515</v>
      </c>
      <c r="W176" s="15">
        <f t="shared" si="91"/>
        <v>8.556434438697899</v>
      </c>
      <c r="Y176" s="3">
        <f t="shared" si="92"/>
        <v>0.0076128762160852115</v>
      </c>
      <c r="AB176" s="1">
        <f t="shared" si="78"/>
        <v>9.838166145868193E-06</v>
      </c>
      <c r="AC176">
        <f t="shared" si="79"/>
        <v>16.27</v>
      </c>
      <c r="AD176">
        <f t="shared" si="80"/>
        <v>1</v>
      </c>
      <c r="AE176" s="8">
        <f t="shared" si="68"/>
        <v>723.1322383930552</v>
      </c>
      <c r="AF176" s="4">
        <f t="shared" si="69"/>
        <v>910416.0221631296</v>
      </c>
      <c r="AG176" s="5">
        <f t="shared" si="70"/>
        <v>0.010242984175909412</v>
      </c>
      <c r="AH176" s="4">
        <f t="shared" si="81"/>
        <v>13500</v>
      </c>
      <c r="AI176" s="8">
        <f t="shared" si="82"/>
        <v>1691.7139751564662</v>
      </c>
      <c r="AJ176" s="10">
        <f t="shared" si="83"/>
        <v>16.841800246693825</v>
      </c>
    </row>
    <row r="177" spans="1:36" ht="12.75">
      <c r="A177" s="109"/>
      <c r="C177">
        <f t="shared" si="84"/>
        <v>135</v>
      </c>
      <c r="D177" s="4">
        <f t="shared" si="71"/>
        <v>8505</v>
      </c>
      <c r="E177" s="15">
        <f t="shared" si="85"/>
        <v>2.75</v>
      </c>
      <c r="F177" s="15">
        <f t="shared" si="72"/>
        <v>371.25</v>
      </c>
      <c r="H177" s="15">
        <f t="shared" si="86"/>
        <v>0</v>
      </c>
      <c r="I177" s="15">
        <f t="shared" si="73"/>
        <v>0</v>
      </c>
      <c r="K177" s="15">
        <f t="shared" si="74"/>
        <v>2.75</v>
      </c>
      <c r="L177" s="15">
        <f t="shared" si="75"/>
        <v>371.25</v>
      </c>
      <c r="N177">
        <f t="shared" si="76"/>
        <v>5.19</v>
      </c>
      <c r="O177" s="15">
        <f>'Supply helium'!AM177</f>
        <v>77.23821099923967</v>
      </c>
      <c r="P177" s="15">
        <f t="shared" si="87"/>
        <v>26.979999999999507</v>
      </c>
      <c r="Q177" s="15">
        <f t="shared" si="77"/>
        <v>104.21821099923918</v>
      </c>
      <c r="R177" s="15">
        <f t="shared" si="88"/>
        <v>106.39012752193315</v>
      </c>
      <c r="S177" s="15">
        <f t="shared" si="89"/>
        <v>106.35813198169016</v>
      </c>
      <c r="U177" s="4">
        <f t="shared" si="90"/>
        <v>1161.6532298955474</v>
      </c>
      <c r="W177" s="15">
        <f t="shared" si="91"/>
        <v>8.556434438697899</v>
      </c>
      <c r="Y177" s="3">
        <f t="shared" si="92"/>
        <v>0.007602975985873509</v>
      </c>
      <c r="AB177" s="1">
        <f t="shared" si="78"/>
        <v>9.839979960159224E-06</v>
      </c>
      <c r="AC177">
        <f t="shared" si="79"/>
        <v>16.27</v>
      </c>
      <c r="AD177">
        <f t="shared" si="80"/>
        <v>1</v>
      </c>
      <c r="AE177" s="8">
        <f t="shared" si="68"/>
        <v>734.9000300138588</v>
      </c>
      <c r="AF177" s="4">
        <f t="shared" si="69"/>
        <v>923857.9978530358</v>
      </c>
      <c r="AG177" s="5">
        <f t="shared" si="70"/>
        <v>0.010205520727722852</v>
      </c>
      <c r="AH177" s="4">
        <f t="shared" si="81"/>
        <v>13500</v>
      </c>
      <c r="AI177" s="8">
        <f t="shared" si="82"/>
        <v>1738.5674245090477</v>
      </c>
      <c r="AJ177" s="10">
        <f t="shared" si="83"/>
        <v>16.824414572448735</v>
      </c>
    </row>
    <row r="178" spans="1:36" ht="12.75">
      <c r="A178" s="109"/>
      <c r="C178">
        <f t="shared" si="84"/>
        <v>135</v>
      </c>
      <c r="D178" s="4">
        <f t="shared" si="71"/>
        <v>8640</v>
      </c>
      <c r="E178" s="15">
        <f t="shared" si="85"/>
        <v>2.75</v>
      </c>
      <c r="F178" s="15">
        <f t="shared" si="72"/>
        <v>371.25</v>
      </c>
      <c r="H178" s="15">
        <f t="shared" si="86"/>
        <v>0</v>
      </c>
      <c r="I178" s="15">
        <f t="shared" si="73"/>
        <v>0</v>
      </c>
      <c r="K178" s="15">
        <f t="shared" si="74"/>
        <v>2.75</v>
      </c>
      <c r="L178" s="15">
        <f t="shared" si="75"/>
        <v>371.25</v>
      </c>
      <c r="N178">
        <f t="shared" si="76"/>
        <v>5.19</v>
      </c>
      <c r="O178" s="15">
        <f>'Supply helium'!AM178</f>
        <v>77.22544377094769</v>
      </c>
      <c r="P178" s="15">
        <f t="shared" si="87"/>
        <v>26.979999999999507</v>
      </c>
      <c r="Q178" s="15">
        <f t="shared" si="77"/>
        <v>104.2054437709472</v>
      </c>
      <c r="R178" s="15">
        <f t="shared" si="88"/>
        <v>106.41970955928959</v>
      </c>
      <c r="S178" s="15">
        <f t="shared" si="89"/>
        <v>106.38756370767825</v>
      </c>
      <c r="U178" s="4">
        <f t="shared" si="90"/>
        <v>1178.7660987729432</v>
      </c>
      <c r="W178" s="15">
        <f t="shared" si="91"/>
        <v>8.556434438697899</v>
      </c>
      <c r="Y178" s="3">
        <f t="shared" si="92"/>
        <v>0.007592949259550411</v>
      </c>
      <c r="AB178" s="1">
        <f t="shared" si="78"/>
        <v>9.84173008831338E-06</v>
      </c>
      <c r="AC178">
        <f t="shared" si="79"/>
        <v>16.27</v>
      </c>
      <c r="AD178">
        <f t="shared" si="80"/>
        <v>1</v>
      </c>
      <c r="AE178" s="8">
        <f aca="true" t="shared" si="93" ref="AE178:AE188">4*U178/(Y178*3.14159*AC178^2*AD178)</f>
        <v>746.7109482587193</v>
      </c>
      <c r="AF178" s="4">
        <f aca="true" t="shared" si="94" ref="AF178:AF188">Y178*AE178*AC178/AB178/10</f>
        <v>937301.0841727906</v>
      </c>
      <c r="AG178" s="5">
        <f aca="true" t="shared" si="95" ref="AG178:AG188">4*(0.0791/AF178^0.25)</f>
        <v>0.010168729505417294</v>
      </c>
      <c r="AH178" s="4">
        <f t="shared" si="81"/>
        <v>13500</v>
      </c>
      <c r="AI178" s="8">
        <f t="shared" si="82"/>
        <v>1786.0698959553033</v>
      </c>
      <c r="AJ178" s="10">
        <f t="shared" si="83"/>
        <v>16.806553873489182</v>
      </c>
    </row>
    <row r="179" spans="1:36" ht="12.75">
      <c r="A179" s="109"/>
      <c r="C179">
        <f t="shared" si="84"/>
        <v>135</v>
      </c>
      <c r="D179" s="4">
        <f aca="true" t="shared" si="96" ref="D179:D188">D178+C179</f>
        <v>8775</v>
      </c>
      <c r="E179" s="15">
        <f t="shared" si="85"/>
        <v>2.75</v>
      </c>
      <c r="F179" s="15">
        <f aca="true" t="shared" si="97" ref="F179:F188">E179*C179</f>
        <v>371.25</v>
      </c>
      <c r="H179" s="15">
        <f t="shared" si="86"/>
        <v>0</v>
      </c>
      <c r="I179" s="15">
        <f aca="true" t="shared" si="98" ref="I179:I188">H179*C179</f>
        <v>0</v>
      </c>
      <c r="K179" s="15">
        <f aca="true" t="shared" si="99" ref="K179:K188">H179+E179</f>
        <v>2.75</v>
      </c>
      <c r="L179" s="15">
        <f aca="true" t="shared" si="100" ref="L179:L188">K179*C179</f>
        <v>371.25</v>
      </c>
      <c r="N179">
        <f aca="true" t="shared" si="101" ref="N179:N188">N178</f>
        <v>5.19</v>
      </c>
      <c r="O179" s="15">
        <f>'Supply helium'!AM179</f>
        <v>77.2117568362341</v>
      </c>
      <c r="P179" s="15">
        <f t="shared" si="87"/>
        <v>26.979999999999507</v>
      </c>
      <c r="Q179" s="15">
        <f aca="true" t="shared" si="102" ref="Q179:Q188">O179+P179</f>
        <v>104.19175683623361</v>
      </c>
      <c r="R179" s="15">
        <f t="shared" si="88"/>
        <v>106.44824732589731</v>
      </c>
      <c r="S179" s="15">
        <f t="shared" si="89"/>
        <v>106.41595724728795</v>
      </c>
      <c r="U179" s="4">
        <f t="shared" si="90"/>
        <v>1195.878967650339</v>
      </c>
      <c r="W179" s="15">
        <f t="shared" si="91"/>
        <v>8.556434438697899</v>
      </c>
      <c r="Y179" s="3">
        <f t="shared" si="92"/>
        <v>0.00758279029816018</v>
      </c>
      <c r="AB179" s="1">
        <f aca="true" t="shared" si="103" ref="AB179:AB188">(3.5155+0.059464*S179)*10^-6</f>
        <v>9.84341848175273E-06</v>
      </c>
      <c r="AC179">
        <f aca="true" t="shared" si="104" ref="AC179:AC188">AC178</f>
        <v>16.27</v>
      </c>
      <c r="AD179">
        <f aca="true" t="shared" si="105" ref="AD179:AD188">AD178</f>
        <v>1</v>
      </c>
      <c r="AE179" s="8">
        <f t="shared" si="93"/>
        <v>758.5663294079216</v>
      </c>
      <c r="AF179" s="4">
        <f t="shared" si="94"/>
        <v>950745.3529752921</v>
      </c>
      <c r="AG179" s="5">
        <f t="shared" si="95"/>
        <v>0.010132588881312792</v>
      </c>
      <c r="AH179" s="4">
        <f aca="true" t="shared" si="106" ref="AH179:AH188">100*(D179-D178)</f>
        <v>13500</v>
      </c>
      <c r="AI179" s="8">
        <f aca="true" t="shared" si="107" ref="AI179:AI188">AG179*AH179/(AC179)*(Y179*AE179^2/2)*0.1</f>
        <v>1834.2258555474052</v>
      </c>
      <c r="AJ179" s="10">
        <f aca="true" t="shared" si="108" ref="AJ179:AJ188">AJ178-AI179/100000</f>
        <v>16.788211614933708</v>
      </c>
    </row>
    <row r="180" spans="1:36" ht="12.75">
      <c r="A180" s="109"/>
      <c r="C180">
        <f aca="true" t="shared" si="109" ref="C180:C188">C179</f>
        <v>135</v>
      </c>
      <c r="D180" s="4">
        <f t="shared" si="96"/>
        <v>8910</v>
      </c>
      <c r="E180" s="15">
        <f aca="true" t="shared" si="110" ref="E180:E188">E179</f>
        <v>2.75</v>
      </c>
      <c r="F180" s="15">
        <f t="shared" si="97"/>
        <v>371.25</v>
      </c>
      <c r="H180" s="15">
        <f aca="true" t="shared" si="111" ref="H180:H188">H179</f>
        <v>0</v>
      </c>
      <c r="I180" s="15">
        <f t="shared" si="98"/>
        <v>0</v>
      </c>
      <c r="K180" s="15">
        <f t="shared" si="99"/>
        <v>2.75</v>
      </c>
      <c r="L180" s="15">
        <f t="shared" si="100"/>
        <v>371.25</v>
      </c>
      <c r="N180">
        <f t="shared" si="101"/>
        <v>5.19</v>
      </c>
      <c r="O180" s="15">
        <f>'Supply helium'!AM180</f>
        <v>77.19700740407286</v>
      </c>
      <c r="P180" s="15">
        <f aca="true" t="shared" si="112" ref="P180:P188">P179</f>
        <v>26.979999999999507</v>
      </c>
      <c r="Q180" s="15">
        <f t="shared" si="102"/>
        <v>104.17700740407237</v>
      </c>
      <c r="R180" s="15">
        <f aca="true" t="shared" si="113" ref="R180:R188">S179+L180/(U179*N179)</f>
        <v>106.47577249100618</v>
      </c>
      <c r="S180" s="15">
        <f aca="true" t="shared" si="114" ref="S180:S188">(2*W179*Q180+U179*R180)/U180</f>
        <v>106.44334155097178</v>
      </c>
      <c r="U180" s="4">
        <f aca="true" t="shared" si="115" ref="U180:U188">U179+2*W179</f>
        <v>1212.991836527735</v>
      </c>
      <c r="W180" s="15">
        <f aca="true" t="shared" si="116" ref="W180:W186">W179</f>
        <v>8.556434438697899</v>
      </c>
      <c r="Y180" s="3">
        <f aca="true" t="shared" si="117" ref="Y180:Y188">0.00096*(100/S179)*(AJ179/2)</f>
        <v>0.00757249362183748</v>
      </c>
      <c r="AB180" s="1">
        <f t="shared" si="103"/>
        <v>9.845046861986986E-06</v>
      </c>
      <c r="AC180">
        <f t="shared" si="104"/>
        <v>16.27</v>
      </c>
      <c r="AD180">
        <f t="shared" si="105"/>
        <v>1</v>
      </c>
      <c r="AE180" s="8">
        <f t="shared" si="93"/>
        <v>770.4675310371259</v>
      </c>
      <c r="AF180" s="4">
        <f t="shared" si="94"/>
        <v>964190.8879656757</v>
      </c>
      <c r="AG180" s="5">
        <f t="shared" si="95"/>
        <v>0.010097078183729744</v>
      </c>
      <c r="AH180" s="4">
        <f t="shared" si="106"/>
        <v>13500</v>
      </c>
      <c r="AI180" s="8">
        <f t="shared" si="107"/>
        <v>1883.039967886969</v>
      </c>
      <c r="AJ180" s="10">
        <f t="shared" si="108"/>
        <v>16.76938121525484</v>
      </c>
    </row>
    <row r="181" spans="1:36" ht="12.75">
      <c r="A181" s="109"/>
      <c r="C181">
        <f t="shared" si="109"/>
        <v>135</v>
      </c>
      <c r="D181" s="4">
        <f t="shared" si="96"/>
        <v>9045</v>
      </c>
      <c r="E181" s="15">
        <f t="shared" si="110"/>
        <v>2.75</v>
      </c>
      <c r="F181" s="15">
        <f t="shared" si="97"/>
        <v>371.25</v>
      </c>
      <c r="H181" s="15">
        <f t="shared" si="111"/>
        <v>0</v>
      </c>
      <c r="I181" s="15">
        <f t="shared" si="98"/>
        <v>0</v>
      </c>
      <c r="K181" s="15">
        <f t="shared" si="99"/>
        <v>2.75</v>
      </c>
      <c r="L181" s="15">
        <f t="shared" si="100"/>
        <v>371.25</v>
      </c>
      <c r="N181">
        <f t="shared" si="101"/>
        <v>5.19</v>
      </c>
      <c r="O181" s="15">
        <f>'Supply helium'!AM181</f>
        <v>77.18101663071792</v>
      </c>
      <c r="P181" s="15">
        <f t="shared" si="112"/>
        <v>26.979999999999507</v>
      </c>
      <c r="Q181" s="15">
        <f t="shared" si="102"/>
        <v>104.16101663071743</v>
      </c>
      <c r="R181" s="15">
        <f t="shared" si="113"/>
        <v>106.50231292221552</v>
      </c>
      <c r="S181" s="15">
        <f t="shared" si="114"/>
        <v>106.4697414701566</v>
      </c>
      <c r="U181" s="4">
        <f t="shared" si="115"/>
        <v>1230.1047054051307</v>
      </c>
      <c r="W181" s="15">
        <f t="shared" si="116"/>
        <v>8.556434438697899</v>
      </c>
      <c r="Y181" s="3">
        <f t="shared" si="117"/>
        <v>0.007562054014874955</v>
      </c>
      <c r="AB181" s="1">
        <f t="shared" si="103"/>
        <v>9.846616706781393E-06</v>
      </c>
      <c r="AC181">
        <f t="shared" si="104"/>
        <v>16.27</v>
      </c>
      <c r="AD181">
        <f t="shared" si="105"/>
        <v>1</v>
      </c>
      <c r="AE181" s="8">
        <f t="shared" si="93"/>
        <v>782.4159301744266</v>
      </c>
      <c r="AF181" s="4">
        <f t="shared" si="94"/>
        <v>977637.7876371061</v>
      </c>
      <c r="AG181" s="5">
        <f t="shared" si="95"/>
        <v>0.010062177634028342</v>
      </c>
      <c r="AH181" s="4">
        <f t="shared" si="106"/>
        <v>13500</v>
      </c>
      <c r="AI181" s="8">
        <f t="shared" si="107"/>
        <v>1932.5170906941735</v>
      </c>
      <c r="AJ181" s="10">
        <f t="shared" si="108"/>
        <v>16.750056044347897</v>
      </c>
    </row>
    <row r="182" spans="1:36" ht="12.75">
      <c r="A182" s="109"/>
      <c r="C182">
        <f t="shared" si="109"/>
        <v>135</v>
      </c>
      <c r="D182" s="4">
        <f t="shared" si="96"/>
        <v>9180</v>
      </c>
      <c r="E182" s="15">
        <f t="shared" si="110"/>
        <v>2.75</v>
      </c>
      <c r="F182" s="15">
        <f t="shared" si="97"/>
        <v>371.25</v>
      </c>
      <c r="H182" s="15">
        <f t="shared" si="111"/>
        <v>0</v>
      </c>
      <c r="I182" s="15">
        <f t="shared" si="98"/>
        <v>0</v>
      </c>
      <c r="K182" s="15">
        <f t="shared" si="99"/>
        <v>2.75</v>
      </c>
      <c r="L182" s="15">
        <f t="shared" si="100"/>
        <v>371.25</v>
      </c>
      <c r="N182">
        <f t="shared" si="101"/>
        <v>5.19</v>
      </c>
      <c r="O182" s="15">
        <f>'Supply helium'!AM182</f>
        <v>77.16355636728237</v>
      </c>
      <c r="P182" s="15">
        <f t="shared" si="112"/>
        <v>26.979999999999507</v>
      </c>
      <c r="Q182" s="15">
        <f t="shared" si="102"/>
        <v>104.14355636728187</v>
      </c>
      <c r="R182" s="15">
        <f t="shared" si="113"/>
        <v>106.52789244835643</v>
      </c>
      <c r="S182" s="15">
        <f t="shared" si="114"/>
        <v>106.49517736194615</v>
      </c>
      <c r="U182" s="4">
        <f t="shared" si="115"/>
        <v>1247.2175742825266</v>
      </c>
      <c r="W182" s="15">
        <f t="shared" si="116"/>
        <v>8.556434438697899</v>
      </c>
      <c r="Y182" s="3">
        <f t="shared" si="117"/>
        <v>0.007551466539007803</v>
      </c>
      <c r="AB182" s="1">
        <f t="shared" si="103"/>
        <v>9.848129226650766E-06</v>
      </c>
      <c r="AC182">
        <f t="shared" si="104"/>
        <v>16.27</v>
      </c>
      <c r="AD182">
        <f t="shared" si="105"/>
        <v>1</v>
      </c>
      <c r="AE182" s="8">
        <f t="shared" si="93"/>
        <v>794.4129205307977</v>
      </c>
      <c r="AF182" s="4">
        <f t="shared" si="94"/>
        <v>991086.169291984</v>
      </c>
      <c r="AG182" s="5">
        <f t="shared" si="95"/>
        <v>0.010027868285589676</v>
      </c>
      <c r="AH182" s="4">
        <f t="shared" si="106"/>
        <v>13500</v>
      </c>
      <c r="AI182" s="8">
        <f t="shared" si="107"/>
        <v>1982.6622661707818</v>
      </c>
      <c r="AJ182" s="10">
        <f t="shared" si="108"/>
        <v>16.73022942168619</v>
      </c>
    </row>
    <row r="183" spans="1:36" ht="12.75">
      <c r="A183" s="109"/>
      <c r="C183">
        <f t="shared" si="109"/>
        <v>135</v>
      </c>
      <c r="D183" s="4">
        <f t="shared" si="96"/>
        <v>9315</v>
      </c>
      <c r="E183" s="15">
        <f t="shared" si="110"/>
        <v>2.75</v>
      </c>
      <c r="F183" s="15">
        <f t="shared" si="97"/>
        <v>371.25</v>
      </c>
      <c r="H183" s="15">
        <f t="shared" si="111"/>
        <v>0</v>
      </c>
      <c r="I183" s="15">
        <f t="shared" si="98"/>
        <v>0</v>
      </c>
      <c r="K183" s="15">
        <f t="shared" si="99"/>
        <v>2.75</v>
      </c>
      <c r="L183" s="15">
        <f t="shared" si="100"/>
        <v>371.25</v>
      </c>
      <c r="N183">
        <f t="shared" si="101"/>
        <v>5.19</v>
      </c>
      <c r="O183" s="15">
        <f>'Supply helium'!AM183</f>
        <v>77.14432920188376</v>
      </c>
      <c r="P183" s="15">
        <f t="shared" si="112"/>
        <v>26.979999999999507</v>
      </c>
      <c r="Q183" s="15">
        <f t="shared" si="102"/>
        <v>104.12432920188327</v>
      </c>
      <c r="R183" s="15">
        <f t="shared" si="113"/>
        <v>106.5525304600603</v>
      </c>
      <c r="S183" s="15">
        <f t="shared" si="114"/>
        <v>106.51966445579383</v>
      </c>
      <c r="U183" s="4">
        <f t="shared" si="115"/>
        <v>1264.3304431599224</v>
      </c>
      <c r="W183" s="15">
        <f t="shared" si="116"/>
        <v>8.556434438697899</v>
      </c>
      <c r="Y183" s="3">
        <f t="shared" si="117"/>
        <v>0.0075407265580825335</v>
      </c>
      <c r="AB183" s="1">
        <f t="shared" si="103"/>
        <v>9.849585327199324E-06</v>
      </c>
      <c r="AC183">
        <f t="shared" si="104"/>
        <v>16.27</v>
      </c>
      <c r="AD183">
        <f t="shared" si="105"/>
        <v>1</v>
      </c>
      <c r="AE183" s="8">
        <f t="shared" si="93"/>
        <v>806.4599083614409</v>
      </c>
      <c r="AF183" s="4">
        <f t="shared" si="94"/>
        <v>1004536.1746972676</v>
      </c>
      <c r="AG183" s="5">
        <f t="shared" si="95"/>
        <v>0.009994131963288421</v>
      </c>
      <c r="AH183" s="4">
        <f t="shared" si="106"/>
        <v>13500</v>
      </c>
      <c r="AI183" s="8">
        <f t="shared" si="107"/>
        <v>2033.48070755126</v>
      </c>
      <c r="AJ183" s="10">
        <f t="shared" si="108"/>
        <v>16.709894614610675</v>
      </c>
    </row>
    <row r="184" spans="1:36" ht="13.5" thickBot="1">
      <c r="A184" s="110"/>
      <c r="C184">
        <f t="shared" si="109"/>
        <v>135</v>
      </c>
      <c r="D184" s="4">
        <f t="shared" si="96"/>
        <v>9450</v>
      </c>
      <c r="E184" s="15">
        <f t="shared" si="110"/>
        <v>2.75</v>
      </c>
      <c r="F184" s="15">
        <f t="shared" si="97"/>
        <v>371.25</v>
      </c>
      <c r="H184" s="15">
        <f t="shared" si="111"/>
        <v>0</v>
      </c>
      <c r="I184" s="15">
        <f t="shared" si="98"/>
        <v>0</v>
      </c>
      <c r="K184" s="15">
        <f t="shared" si="99"/>
        <v>2.75</v>
      </c>
      <c r="L184" s="15">
        <f t="shared" si="100"/>
        <v>371.25</v>
      </c>
      <c r="N184">
        <f t="shared" si="101"/>
        <v>5.19</v>
      </c>
      <c r="O184" s="15">
        <f>'Supply helium'!AM184</f>
        <v>77.12293726660167</v>
      </c>
      <c r="P184" s="15">
        <f t="shared" si="112"/>
        <v>26.979999999999507</v>
      </c>
      <c r="Q184" s="15">
        <f t="shared" si="102"/>
        <v>104.10293726660117</v>
      </c>
      <c r="R184" s="15">
        <f t="shared" si="113"/>
        <v>106.57624127263352</v>
      </c>
      <c r="S184" s="15">
        <f t="shared" si="114"/>
        <v>106.54321185435838</v>
      </c>
      <c r="U184" s="4">
        <f t="shared" si="115"/>
        <v>1281.4433120373183</v>
      </c>
      <c r="W184" s="15">
        <f t="shared" si="116"/>
        <v>8.556434438697899</v>
      </c>
      <c r="Y184" s="3">
        <f t="shared" si="117"/>
        <v>0.0075298297793096915</v>
      </c>
      <c r="AB184" s="1">
        <f t="shared" si="103"/>
        <v>9.850985549707566E-06</v>
      </c>
      <c r="AC184">
        <f t="shared" si="104"/>
        <v>16.27</v>
      </c>
      <c r="AD184">
        <f t="shared" si="105"/>
        <v>1</v>
      </c>
      <c r="AE184" s="8">
        <f t="shared" si="93"/>
        <v>818.558306246482</v>
      </c>
      <c r="AF184" s="4">
        <f t="shared" si="94"/>
        <v>1017987.9782934254</v>
      </c>
      <c r="AG184" s="5">
        <f t="shared" si="95"/>
        <v>0.009960951201282691</v>
      </c>
      <c r="AH184" s="4">
        <f t="shared" si="106"/>
        <v>13500</v>
      </c>
      <c r="AI184" s="8">
        <f t="shared" si="107"/>
        <v>2084.9777782460783</v>
      </c>
      <c r="AJ184" s="10">
        <f t="shared" si="108"/>
        <v>16.689044836828213</v>
      </c>
    </row>
    <row r="185" spans="1:36" ht="12.75">
      <c r="A185" s="41"/>
      <c r="C185">
        <f t="shared" si="109"/>
        <v>135</v>
      </c>
      <c r="D185" s="4">
        <f t="shared" si="96"/>
        <v>9585</v>
      </c>
      <c r="E185" s="15">
        <f t="shared" si="110"/>
        <v>2.75</v>
      </c>
      <c r="F185" s="15">
        <f t="shared" si="97"/>
        <v>371.25</v>
      </c>
      <c r="H185" s="15">
        <f t="shared" si="111"/>
        <v>0</v>
      </c>
      <c r="I185" s="15">
        <f t="shared" si="98"/>
        <v>0</v>
      </c>
      <c r="K185" s="15">
        <f t="shared" si="99"/>
        <v>2.75</v>
      </c>
      <c r="L185" s="15">
        <f t="shared" si="100"/>
        <v>371.25</v>
      </c>
      <c r="N185">
        <f t="shared" si="101"/>
        <v>5.19</v>
      </c>
      <c r="O185" s="15">
        <f>'Supply helium'!AM185</f>
        <v>77.09883125654575</v>
      </c>
      <c r="P185" s="15">
        <f t="shared" si="112"/>
        <v>26.979999999999507</v>
      </c>
      <c r="Q185" s="15">
        <f t="shared" si="102"/>
        <v>104.07883125654526</v>
      </c>
      <c r="R185" s="15">
        <f t="shared" si="113"/>
        <v>106.59903312341926</v>
      </c>
      <c r="S185" s="15">
        <f t="shared" si="114"/>
        <v>106.56582094151581</v>
      </c>
      <c r="U185" s="4">
        <f t="shared" si="115"/>
        <v>1298.556180914714</v>
      </c>
      <c r="W185" s="15">
        <f t="shared" si="116"/>
        <v>8.556434438697899</v>
      </c>
      <c r="Y185" s="3">
        <f t="shared" si="117"/>
        <v>0.007518772319937196</v>
      </c>
      <c r="AB185" s="1">
        <f t="shared" si="103"/>
        <v>9.852329976466295E-06</v>
      </c>
      <c r="AC185">
        <f t="shared" si="104"/>
        <v>16.27</v>
      </c>
      <c r="AD185">
        <f t="shared" si="105"/>
        <v>1</v>
      </c>
      <c r="AE185" s="8">
        <f t="shared" si="93"/>
        <v>830.7095235987107</v>
      </c>
      <c r="AF185" s="4">
        <f t="shared" si="94"/>
        <v>1031441.79957671</v>
      </c>
      <c r="AG185" s="5">
        <f t="shared" si="95"/>
        <v>0.009928309175538537</v>
      </c>
      <c r="AH185" s="4">
        <f t="shared" si="106"/>
        <v>13500</v>
      </c>
      <c r="AI185" s="8">
        <f t="shared" si="107"/>
        <v>2137.1589591949896</v>
      </c>
      <c r="AJ185" s="10">
        <f t="shared" si="108"/>
        <v>16.667673247236262</v>
      </c>
    </row>
    <row r="186" spans="1:36" ht="12.75">
      <c r="A186" s="42"/>
      <c r="C186">
        <f t="shared" si="109"/>
        <v>135</v>
      </c>
      <c r="D186" s="4">
        <f t="shared" si="96"/>
        <v>9720</v>
      </c>
      <c r="E186" s="15">
        <f t="shared" si="110"/>
        <v>2.75</v>
      </c>
      <c r="F186" s="15">
        <f t="shared" si="97"/>
        <v>371.25</v>
      </c>
      <c r="H186" s="15">
        <f t="shared" si="111"/>
        <v>0</v>
      </c>
      <c r="I186" s="15">
        <f t="shared" si="98"/>
        <v>0</v>
      </c>
      <c r="K186" s="15">
        <f t="shared" si="99"/>
        <v>2.75</v>
      </c>
      <c r="L186" s="15">
        <f t="shared" si="100"/>
        <v>371.25</v>
      </c>
      <c r="N186">
        <f t="shared" si="101"/>
        <v>5.19</v>
      </c>
      <c r="O186" s="15">
        <f>'Supply helium'!AM186</f>
        <v>77.07122240879805</v>
      </c>
      <c r="P186" s="15">
        <f t="shared" si="112"/>
        <v>26.979999999999507</v>
      </c>
      <c r="Q186" s="15">
        <f t="shared" si="102"/>
        <v>104.05122240879756</v>
      </c>
      <c r="R186" s="15">
        <f t="shared" si="113"/>
        <v>106.62090657659178</v>
      </c>
      <c r="S186" s="15">
        <f t="shared" si="114"/>
        <v>106.5874827697258</v>
      </c>
      <c r="U186" s="4">
        <f t="shared" si="115"/>
        <v>1315.66904979211</v>
      </c>
      <c r="W186" s="15">
        <f t="shared" si="116"/>
        <v>8.556434438697899</v>
      </c>
      <c r="Y186" s="3">
        <f t="shared" si="117"/>
        <v>0.007507550815063055</v>
      </c>
      <c r="AB186" s="1">
        <f t="shared" si="103"/>
        <v>9.853618075418974E-06</v>
      </c>
      <c r="AC186">
        <f t="shared" si="104"/>
        <v>16.27</v>
      </c>
      <c r="AD186">
        <f t="shared" si="105"/>
        <v>1</v>
      </c>
      <c r="AE186" s="8">
        <f t="shared" si="93"/>
        <v>842.9149517991227</v>
      </c>
      <c r="AF186" s="4">
        <f t="shared" si="94"/>
        <v>1044897.9226868993</v>
      </c>
      <c r="AG186" s="5">
        <f t="shared" si="95"/>
        <v>0.009896189624621167</v>
      </c>
      <c r="AH186" s="4">
        <f t="shared" si="106"/>
        <v>13500</v>
      </c>
      <c r="AI186" s="8">
        <f t="shared" si="107"/>
        <v>2190.029796635138</v>
      </c>
      <c r="AJ186" s="10">
        <f t="shared" si="108"/>
        <v>16.64577294926991</v>
      </c>
    </row>
    <row r="187" spans="1:36" ht="12.75">
      <c r="A187" s="42"/>
      <c r="C187">
        <f t="shared" si="109"/>
        <v>135</v>
      </c>
      <c r="D187" s="4">
        <f t="shared" si="96"/>
        <v>9855</v>
      </c>
      <c r="E187" s="15">
        <f t="shared" si="110"/>
        <v>2.75</v>
      </c>
      <c r="F187" s="15">
        <f t="shared" si="97"/>
        <v>371.25</v>
      </c>
      <c r="H187" s="15">
        <f t="shared" si="111"/>
        <v>0</v>
      </c>
      <c r="I187" s="15">
        <f t="shared" si="98"/>
        <v>0</v>
      </c>
      <c r="K187" s="15">
        <f t="shared" si="99"/>
        <v>2.75</v>
      </c>
      <c r="L187" s="15">
        <f t="shared" si="100"/>
        <v>371.25</v>
      </c>
      <c r="N187">
        <f t="shared" si="101"/>
        <v>5.19</v>
      </c>
      <c r="O187" s="15">
        <f>'Supply helium'!AM187</f>
        <v>77.03891965708216</v>
      </c>
      <c r="P187" s="15">
        <f t="shared" si="112"/>
        <v>26.979999999999507</v>
      </c>
      <c r="Q187" s="15">
        <f t="shared" si="102"/>
        <v>104.01891965708167</v>
      </c>
      <c r="R187" s="15">
        <f t="shared" si="113"/>
        <v>106.64185190755633</v>
      </c>
      <c r="S187" s="15">
        <f t="shared" si="114"/>
        <v>106.60817355774687</v>
      </c>
      <c r="U187" s="4">
        <f t="shared" si="115"/>
        <v>1332.7819186695058</v>
      </c>
      <c r="W187" s="15">
        <f>W186</f>
        <v>8.556434438697899</v>
      </c>
      <c r="Y187" s="3">
        <f t="shared" si="117"/>
        <v>0.007496162596232136</v>
      </c>
      <c r="AB187" s="1">
        <f t="shared" si="103"/>
        <v>9.85484843243786E-06</v>
      </c>
      <c r="AC187">
        <f t="shared" si="104"/>
        <v>16.27</v>
      </c>
      <c r="AD187">
        <f t="shared" si="105"/>
        <v>1</v>
      </c>
      <c r="AE187" s="8">
        <f t="shared" si="93"/>
        <v>855.175940033193</v>
      </c>
      <c r="AF187" s="4">
        <f t="shared" si="94"/>
        <v>1058356.7293262419</v>
      </c>
      <c r="AG187" s="5">
        <f t="shared" si="95"/>
        <v>0.009864576745901334</v>
      </c>
      <c r="AH187" s="4">
        <f t="shared" si="106"/>
        <v>13500</v>
      </c>
      <c r="AI187" s="8">
        <f t="shared" si="107"/>
        <v>2243.595815488176</v>
      </c>
      <c r="AJ187" s="10">
        <f t="shared" si="108"/>
        <v>16.62333699111503</v>
      </c>
    </row>
    <row r="188" spans="1:36" ht="13.5" thickBot="1">
      <c r="A188" s="42"/>
      <c r="C188">
        <f t="shared" si="109"/>
        <v>135</v>
      </c>
      <c r="D188" s="4">
        <f t="shared" si="96"/>
        <v>9990</v>
      </c>
      <c r="E188" s="15">
        <f t="shared" si="110"/>
        <v>2.75</v>
      </c>
      <c r="F188" s="15">
        <f t="shared" si="97"/>
        <v>371.25</v>
      </c>
      <c r="H188" s="15">
        <f t="shared" si="111"/>
        <v>0</v>
      </c>
      <c r="I188" s="15">
        <f t="shared" si="98"/>
        <v>0</v>
      </c>
      <c r="K188" s="15">
        <f t="shared" si="99"/>
        <v>2.75</v>
      </c>
      <c r="L188" s="15">
        <f t="shared" si="100"/>
        <v>371.25</v>
      </c>
      <c r="N188">
        <f t="shared" si="101"/>
        <v>5.19</v>
      </c>
      <c r="O188" s="15">
        <f>'Supply helium'!AM188</f>
        <v>77</v>
      </c>
      <c r="P188" s="15">
        <f t="shared" si="112"/>
        <v>26.979999999999507</v>
      </c>
      <c r="Q188" s="15">
        <f t="shared" si="102"/>
        <v>103.9799999999995</v>
      </c>
      <c r="R188" s="15">
        <f t="shared" si="113"/>
        <v>106.66184459792643</v>
      </c>
      <c r="S188" s="15">
        <f t="shared" si="114"/>
        <v>106.62784635200588</v>
      </c>
      <c r="U188" s="4">
        <f t="shared" si="115"/>
        <v>1349.8947875469016</v>
      </c>
      <c r="W188" s="15">
        <f>W187</f>
        <v>8.556434438697899</v>
      </c>
      <c r="Y188" s="3">
        <f t="shared" si="117"/>
        <v>0.00748460600107091</v>
      </c>
      <c r="AB188" s="1">
        <f t="shared" si="103"/>
        <v>9.856018255475677E-06</v>
      </c>
      <c r="AC188">
        <f t="shared" si="104"/>
        <v>16.27</v>
      </c>
      <c r="AD188">
        <f t="shared" si="105"/>
        <v>1</v>
      </c>
      <c r="AE188" s="8">
        <f t="shared" si="93"/>
        <v>867.4937539012219</v>
      </c>
      <c r="AF188" s="4">
        <f t="shared" si="94"/>
        <v>1071818.7586652704</v>
      </c>
      <c r="AG188" s="5">
        <f t="shared" si="95"/>
        <v>0.00983345503868024</v>
      </c>
      <c r="AH188" s="4">
        <f t="shared" si="106"/>
        <v>13500</v>
      </c>
      <c r="AI188" s="8">
        <f t="shared" si="107"/>
        <v>2297.862367860766</v>
      </c>
      <c r="AJ188" s="10">
        <f t="shared" si="108"/>
        <v>16.60035836743642</v>
      </c>
    </row>
    <row r="189" ht="13.5" thickBot="1">
      <c r="A189" s="20" t="s">
        <v>151</v>
      </c>
    </row>
    <row r="190" spans="29:36" ht="12.75">
      <c r="AC190" t="s">
        <v>40</v>
      </c>
      <c r="AI190" s="3">
        <f>0.1*(Y174*AE174^2)/2</f>
        <v>186.84274089266296</v>
      </c>
      <c r="AJ190" s="10">
        <f>AJ188-AI190/100000</f>
        <v>16.598489940027495</v>
      </c>
    </row>
    <row r="191" spans="9:12" ht="12.75">
      <c r="I191" t="s">
        <v>39</v>
      </c>
      <c r="K191" s="15">
        <f>SUM(L115:L188)</f>
        <v>27472.5</v>
      </c>
      <c r="L191" t="s">
        <v>35</v>
      </c>
    </row>
    <row r="192" spans="34:35" ht="12.75">
      <c r="AH192" s="6" t="s">
        <v>66</v>
      </c>
      <c r="AI192" s="11">
        <f>SUM(AI115:AI190)</f>
        <v>65241.29932087503</v>
      </c>
    </row>
    <row r="193" spans="34:35" ht="12.75">
      <c r="AH193" s="25" t="s">
        <v>67</v>
      </c>
      <c r="AI193" s="26">
        <f>AI192/100000</f>
        <v>0.6524129932087502</v>
      </c>
    </row>
  </sheetData>
  <mergeCells count="14">
    <mergeCell ref="A75:A84"/>
    <mergeCell ref="A55:A64"/>
    <mergeCell ref="A65:A74"/>
    <mergeCell ref="A15:A24"/>
    <mergeCell ref="A25:A34"/>
    <mergeCell ref="A35:A44"/>
    <mergeCell ref="A45:A54"/>
    <mergeCell ref="A155:A164"/>
    <mergeCell ref="A165:A174"/>
    <mergeCell ref="A175:A184"/>
    <mergeCell ref="A115:A124"/>
    <mergeCell ref="A125:A134"/>
    <mergeCell ref="A135:A144"/>
    <mergeCell ref="A145:A15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I26" sqref="I26"/>
    </sheetView>
  </sheetViews>
  <sheetFormatPr defaultColWidth="9.00390625" defaultRowHeight="12.75"/>
  <cols>
    <col min="1" max="1" width="21.25390625" style="0" bestFit="1" customWidth="1"/>
    <col min="2" max="3" width="19.25390625" style="0" customWidth="1"/>
    <col min="4" max="4" width="12.75390625" style="0" bestFit="1" customWidth="1"/>
    <col min="5" max="5" width="2.875" style="0" customWidth="1"/>
    <col min="6" max="6" width="13.125" style="0" bestFit="1" customWidth="1"/>
    <col min="7" max="7" width="13.125" style="0" customWidth="1"/>
    <col min="8" max="16384" width="11.375" style="0" customWidth="1"/>
  </cols>
  <sheetData>
    <row r="2" spans="1:2" ht="12.75">
      <c r="A2" t="s">
        <v>113</v>
      </c>
      <c r="B2" t="s">
        <v>157</v>
      </c>
    </row>
    <row r="3" ht="12.75">
      <c r="A3" s="13">
        <v>36970</v>
      </c>
    </row>
    <row r="4" spans="2:8" ht="12.75">
      <c r="B4" s="123" t="s">
        <v>125</v>
      </c>
      <c r="C4" s="123"/>
      <c r="D4" s="124"/>
      <c r="E4" s="43"/>
      <c r="F4" s="44" t="s">
        <v>158</v>
      </c>
      <c r="G4" s="68"/>
      <c r="H4" s="22"/>
    </row>
    <row r="5" spans="2:7" ht="12.75">
      <c r="B5" s="123" t="s">
        <v>114</v>
      </c>
      <c r="C5" s="123"/>
      <c r="D5" s="124"/>
      <c r="E5" s="43"/>
      <c r="F5" s="22"/>
      <c r="G5" s="22"/>
    </row>
    <row r="6" spans="1:7" ht="12.75">
      <c r="A6" s="22"/>
      <c r="B6" s="22"/>
      <c r="C6" s="22"/>
      <c r="D6" s="22"/>
      <c r="E6" s="43"/>
      <c r="F6" s="22"/>
      <c r="G6" s="22"/>
    </row>
    <row r="7" spans="4:9" ht="12.75">
      <c r="D7" s="28" t="s">
        <v>110</v>
      </c>
      <c r="E7" s="28"/>
      <c r="F7" s="28" t="s">
        <v>110</v>
      </c>
      <c r="G7" t="s">
        <v>204</v>
      </c>
      <c r="H7" s="28" t="s">
        <v>97</v>
      </c>
      <c r="I7" t="s">
        <v>110</v>
      </c>
    </row>
    <row r="8" spans="2:9" ht="12.75">
      <c r="B8" s="33" t="s">
        <v>109</v>
      </c>
      <c r="C8" s="33" t="s">
        <v>124</v>
      </c>
      <c r="D8" s="28" t="s">
        <v>146</v>
      </c>
      <c r="E8" s="28"/>
      <c r="F8" s="28" t="s">
        <v>203</v>
      </c>
      <c r="H8" s="28" t="s">
        <v>143</v>
      </c>
      <c r="I8" t="s">
        <v>147</v>
      </c>
    </row>
    <row r="9" spans="1:9" ht="12.75">
      <c r="A9" s="29"/>
      <c r="B9" s="34"/>
      <c r="C9" s="34"/>
      <c r="D9" s="30"/>
      <c r="E9" s="30"/>
      <c r="F9" s="30"/>
      <c r="G9" s="29"/>
      <c r="H9" s="30" t="s">
        <v>154</v>
      </c>
      <c r="I9" s="34"/>
    </row>
    <row r="10" spans="1:9" ht="12.75">
      <c r="A10" t="s">
        <v>101</v>
      </c>
      <c r="B10" s="31">
        <f>'2-phase N2'!I6</f>
        <v>40</v>
      </c>
      <c r="C10" s="31">
        <f>'Subcooled N2'!I8</f>
        <v>40</v>
      </c>
      <c r="D10" s="35">
        <f>'Draft He Calcs'!I8</f>
        <v>6.8</v>
      </c>
      <c r="E10" s="31"/>
      <c r="F10" s="31">
        <f>'Supply helium'!H108</f>
        <v>0.125</v>
      </c>
      <c r="G10" s="15">
        <f>'Thermal shield'!I108</f>
        <v>5.25</v>
      </c>
      <c r="H10" s="31">
        <f>'Trace Tube Helium'!I108</f>
        <v>6.25</v>
      </c>
      <c r="I10" s="15">
        <f>'Return helium'!H108</f>
        <v>2.75</v>
      </c>
    </row>
    <row r="11" spans="1:9" ht="12.75">
      <c r="A11" t="s">
        <v>102</v>
      </c>
      <c r="B11" s="32">
        <f>'2-phase N2'!I8</f>
        <v>20000</v>
      </c>
      <c r="C11" s="32">
        <f>'Subcooled N2'!I10</f>
        <v>20000</v>
      </c>
      <c r="D11" s="32">
        <f>'Draft He Calcs'!I10</f>
        <v>135</v>
      </c>
      <c r="E11" s="32"/>
      <c r="F11" s="32">
        <f>'Supply helium'!H110</f>
        <v>9700</v>
      </c>
      <c r="G11" s="4">
        <f>'Thermal shield'!I110</f>
        <v>135</v>
      </c>
      <c r="H11" s="32">
        <f>'Trace Tube Helium'!I110</f>
        <v>135</v>
      </c>
      <c r="I11" s="4">
        <f>'Return helium'!H110</f>
        <v>9700</v>
      </c>
    </row>
    <row r="12" spans="1:9" ht="12.75">
      <c r="A12" t="s">
        <v>111</v>
      </c>
      <c r="B12" s="32">
        <f>'2-phase N2'!O75/1000</f>
        <v>800.0000000000001</v>
      </c>
      <c r="C12" s="32">
        <f>'Subcooled N2'!O77/1000</f>
        <v>800.0000000000001</v>
      </c>
      <c r="D12" s="32">
        <f>'Draft He Calcs'!O77/1000</f>
        <v>0.9180000000000003</v>
      </c>
      <c r="E12" s="32"/>
      <c r="F12" s="32">
        <f>'Supply helium'!K191/1000</f>
        <v>1.24875</v>
      </c>
      <c r="G12" s="4">
        <f>'Thermal shield'!O177</f>
        <v>708.75</v>
      </c>
      <c r="H12" s="32">
        <f>'Trace Tube Helium'!O177/1000*'Supply helium'!H110/('Trace Tube Helium'!I110)</f>
        <v>60.625</v>
      </c>
      <c r="I12" s="4">
        <f>'Return helium'!K191/1000</f>
        <v>27.4725</v>
      </c>
    </row>
    <row r="13" spans="1:9" ht="12.75">
      <c r="A13" t="s">
        <v>144</v>
      </c>
      <c r="B13" s="38">
        <f>'Subcooled N2'!AC14</f>
        <v>1</v>
      </c>
      <c r="C13" s="38">
        <f>'Subcooled N2'!AC14</f>
        <v>1</v>
      </c>
      <c r="D13" s="38">
        <f>'Draft He Calcs'!AC14</f>
        <v>1</v>
      </c>
      <c r="E13" s="38"/>
      <c r="F13" s="38">
        <f>'Supply helium'!AA114</f>
        <v>1</v>
      </c>
      <c r="G13" s="39">
        <f>'Thermal shield'!AC14</f>
        <v>1</v>
      </c>
      <c r="H13" s="38">
        <f>'Trace Tube Helium'!AC114</f>
        <v>5</v>
      </c>
      <c r="I13">
        <f>'Return helium'!AD114</f>
        <v>1</v>
      </c>
    </row>
    <row r="14" spans="2:8" ht="12.75">
      <c r="B14" s="28"/>
      <c r="C14" s="28"/>
      <c r="D14" s="28"/>
      <c r="E14" s="28"/>
      <c r="F14" s="28"/>
      <c r="H14" s="28"/>
    </row>
    <row r="15" spans="1:9" ht="12.75">
      <c r="A15" t="s">
        <v>103</v>
      </c>
      <c r="B15" s="32">
        <f>'2-phase N2'!J4</f>
        <v>5</v>
      </c>
      <c r="C15" s="32">
        <f>'Subcooled N2'!I4</f>
        <v>8</v>
      </c>
      <c r="D15" s="32">
        <f>'Draft He Calcs'!I4</f>
        <v>19.5</v>
      </c>
      <c r="E15" s="32"/>
      <c r="F15" s="32">
        <f>'Supply helium'!H104</f>
        <v>20</v>
      </c>
      <c r="G15" s="15">
        <f>'Thermal shield'!I104</f>
        <v>19.106309119300043</v>
      </c>
      <c r="H15" s="31">
        <f>'Trace Tube Helium'!I104</f>
        <v>19.027321352606062</v>
      </c>
      <c r="I15" s="4">
        <f>'Return helium'!H104</f>
        <v>17.25090293323625</v>
      </c>
    </row>
    <row r="16" spans="1:9" ht="12.75">
      <c r="A16" t="s">
        <v>104</v>
      </c>
      <c r="B16" s="31">
        <f>'2-phase N2'!AI73</f>
        <v>2.8007311124783</v>
      </c>
      <c r="C16" s="31">
        <f>'Subcooled N2'!AI75</f>
        <v>5.586817326533692</v>
      </c>
      <c r="D16" s="31">
        <f>'Draft He Calcs'!AI75</f>
        <v>19.493758380492206</v>
      </c>
      <c r="E16" s="31"/>
      <c r="F16" s="31">
        <f>'Supply helium'!AG190</f>
        <v>19.106309119300043</v>
      </c>
      <c r="G16" s="15">
        <f>'Thermal shield'!AI175</f>
        <v>19.027321352606062</v>
      </c>
      <c r="H16" s="31">
        <f>'Trace Tube Helium'!AI175</f>
        <v>17.25090293323625</v>
      </c>
      <c r="I16" s="15">
        <f>'Return helium'!AJ190</f>
        <v>16.598489940027495</v>
      </c>
    </row>
    <row r="17" spans="1:9" ht="12.75">
      <c r="A17" t="s">
        <v>105</v>
      </c>
      <c r="B17" s="31">
        <f>'2-phase N2'!AH76</f>
        <v>2.1992688875216992</v>
      </c>
      <c r="C17" s="31">
        <f>'Subcooled N2'!AH78</f>
        <v>2.413182673466306</v>
      </c>
      <c r="D17" s="31">
        <f>'Draft He Calcs'!AH78</f>
        <v>0.00624161950780241</v>
      </c>
      <c r="E17" s="31"/>
      <c r="F17" s="31">
        <f>'Supply helium'!AF193</f>
        <v>0.8936908806999582</v>
      </c>
      <c r="G17" s="31">
        <f>'Thermal shield'!AH178</f>
        <v>0.07898776669399044</v>
      </c>
      <c r="H17" s="31">
        <f>'Trace Tube Helium'!AH178</f>
        <v>1.7764184193698063</v>
      </c>
      <c r="I17" s="15">
        <f>'Return helium'!AI193</f>
        <v>0.6524129932087502</v>
      </c>
    </row>
    <row r="18" spans="2:8" ht="12.75">
      <c r="B18" s="28"/>
      <c r="C18" s="28"/>
      <c r="D18" s="28"/>
      <c r="E18" s="28"/>
      <c r="F18" s="28"/>
      <c r="H18" s="28"/>
    </row>
    <row r="19" spans="1:9" ht="12.75">
      <c r="A19" t="s">
        <v>106</v>
      </c>
      <c r="B19" s="32">
        <f>'2-phase N2'!AG78</f>
        <v>95.25568813181498</v>
      </c>
      <c r="C19" s="32">
        <f>'Subcooled N2'!I3</f>
        <v>70</v>
      </c>
      <c r="D19" s="32">
        <f>'Draft He Calcs'!I3</f>
        <v>65</v>
      </c>
      <c r="E19" s="32"/>
      <c r="F19" s="32">
        <f>'Supply helium'!H103</f>
        <v>77</v>
      </c>
      <c r="G19" s="4">
        <f>'Thermal shield'!I103</f>
        <v>77.54757562313371</v>
      </c>
      <c r="H19" s="32">
        <f>'Trace Tube Helium'!I103</f>
        <v>85.52757562313344</v>
      </c>
      <c r="I19" s="4">
        <f>'Return helium'!R114</f>
        <v>77.54757562313371</v>
      </c>
    </row>
    <row r="20" spans="1:9" ht="12.75">
      <c r="A20" t="s">
        <v>107</v>
      </c>
      <c r="B20" s="32">
        <f>'2-phase N2'!AI78</f>
        <v>87.60405104234566</v>
      </c>
      <c r="C20" s="32">
        <f>'Subcooled N2'!R74</f>
        <v>89.87908372035513</v>
      </c>
      <c r="D20" s="32">
        <f>'Draft He Calcs'!R74</f>
        <v>75.00000000000028</v>
      </c>
      <c r="E20" s="32"/>
      <c r="F20" s="32">
        <f>'Supply helium'!P188</f>
        <v>77.54757562313371</v>
      </c>
      <c r="G20" s="4">
        <f>'Thermal shield'!R174</f>
        <v>85.52757562313344</v>
      </c>
      <c r="H20" s="32">
        <f>'Trace Tube Helium'!R174</f>
        <v>104.52757562313322</v>
      </c>
      <c r="I20" s="4">
        <f>'Return helium'!S188</f>
        <v>106.62784635200588</v>
      </c>
    </row>
    <row r="21" spans="1:9" ht="12.75">
      <c r="A21" t="s">
        <v>112</v>
      </c>
      <c r="B21" s="32">
        <f>B20-B19</f>
        <v>-7.651637089469318</v>
      </c>
      <c r="C21" s="32">
        <f>C20-C19</f>
        <v>19.879083720355126</v>
      </c>
      <c r="D21" s="32">
        <f>'Draft He Calcs'!I7</f>
        <v>10</v>
      </c>
      <c r="E21" s="32"/>
      <c r="F21" s="32">
        <f>F20-F19</f>
        <v>0.5475756231337101</v>
      </c>
      <c r="G21" s="32">
        <f>G20-G19</f>
        <v>7.979999999999734</v>
      </c>
      <c r="H21" s="32">
        <f>'Trace Tube Helium'!I107</f>
        <v>19</v>
      </c>
      <c r="I21" s="4">
        <f>I20-I19</f>
        <v>29.080270728872165</v>
      </c>
    </row>
    <row r="22" spans="1:8" ht="12.75">
      <c r="A22" t="s">
        <v>128</v>
      </c>
      <c r="B22" s="32"/>
      <c r="C22" s="32">
        <f>'Subcooled N2'!AJ75-'Subcooled N2'!R74</f>
        <v>6.915343334436258</v>
      </c>
      <c r="D22" s="32"/>
      <c r="E22" s="32"/>
      <c r="F22" s="32"/>
      <c r="G22" s="4"/>
      <c r="H22" s="28"/>
    </row>
    <row r="23" spans="2:8" ht="12.75">
      <c r="B23" s="28"/>
      <c r="C23" s="28"/>
      <c r="D23" s="28"/>
      <c r="E23" s="28"/>
      <c r="F23" s="28"/>
      <c r="H23" s="28"/>
    </row>
    <row r="24" spans="1:9" ht="12.75">
      <c r="A24" t="s">
        <v>108</v>
      </c>
      <c r="B24" s="32">
        <f>'2-phase N2'!T12</f>
        <v>4822.460368041134</v>
      </c>
      <c r="C24" s="32">
        <f>'Subcooled N2'!T14</f>
        <v>19611.40010688213</v>
      </c>
      <c r="D24" s="32">
        <f>'Draft He Calcs'!T14</f>
        <v>17.687861271676304</v>
      </c>
      <c r="E24" s="32"/>
      <c r="F24" s="32">
        <f>'Supply helium'!R114</f>
        <v>1349.8947875469016</v>
      </c>
      <c r="G24" s="4">
        <f>'Thermal shield'!T114</f>
        <v>17.112868877395798</v>
      </c>
      <c r="H24" s="32">
        <f>'Trace Tube Helium'!T114</f>
        <v>8.556434438697899</v>
      </c>
      <c r="I24" s="4">
        <f>'Return helium'!U188</f>
        <v>1349.8947875469016</v>
      </c>
    </row>
    <row r="25" spans="2:8" ht="12.75">
      <c r="B25" s="28"/>
      <c r="C25" s="28"/>
      <c r="D25" s="28"/>
      <c r="E25" s="28"/>
      <c r="F25" s="28"/>
      <c r="H25" s="28"/>
    </row>
    <row r="26" spans="1:9" ht="12.75">
      <c r="A26" t="s">
        <v>115</v>
      </c>
      <c r="B26" s="31">
        <f>'2-phase N2'!I7</f>
        <v>21.35</v>
      </c>
      <c r="C26" s="31">
        <f>'Subcooled N2'!I9</f>
        <v>21.35</v>
      </c>
      <c r="D26" s="31">
        <f>'Draft He Calcs'!I9</f>
        <v>3.8</v>
      </c>
      <c r="E26" s="31"/>
      <c r="F26" s="31">
        <f>'Supply helium'!H109</f>
        <v>13.58</v>
      </c>
      <c r="G26" s="15">
        <f>'Thermal shield'!I109</f>
        <v>2.29</v>
      </c>
      <c r="H26" s="31">
        <f>'Trace Tube Helium'!I109</f>
        <v>0.533</v>
      </c>
      <c r="I26" s="15">
        <f>'Return helium'!H109</f>
        <v>16.27</v>
      </c>
    </row>
    <row r="27" spans="1:9" ht="12.75">
      <c r="A27" t="s">
        <v>116</v>
      </c>
      <c r="B27" s="31">
        <f>B26/2.54</f>
        <v>8.405511811023622</v>
      </c>
      <c r="C27" s="31">
        <f>C26/2.54</f>
        <v>8.405511811023622</v>
      </c>
      <c r="D27" s="31">
        <f>D26/2.54</f>
        <v>1.4960629921259843</v>
      </c>
      <c r="E27" s="31"/>
      <c r="F27" s="31">
        <f>F26/2.54</f>
        <v>5.346456692913386</v>
      </c>
      <c r="G27" s="31">
        <f>G26/2.54</f>
        <v>0.9015748031496063</v>
      </c>
      <c r="H27" s="31">
        <f>H26/2.54</f>
        <v>0.2098425196850394</v>
      </c>
      <c r="I27" s="31">
        <f>I26/2.54</f>
        <v>6.405511811023622</v>
      </c>
    </row>
  </sheetData>
  <mergeCells count="2">
    <mergeCell ref="B4:D4"/>
    <mergeCell ref="B5:D5"/>
  </mergeCells>
  <printOptions gridLines="1"/>
  <pageMargins left="0.75" right="0.75" top="1" bottom="1" header="0.5" footer="0.5"/>
  <pageSetup horizontalDpi="600" verticalDpi="600" orientation="landscape" scale="9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18"/>
  <sheetViews>
    <sheetView workbookViewId="0" topLeftCell="A1">
      <selection activeCell="B14" sqref="B14"/>
    </sheetView>
  </sheetViews>
  <sheetFormatPr defaultColWidth="9.00390625" defaultRowHeight="12.75"/>
  <cols>
    <col min="1" max="16384" width="11.375" style="0" customWidth="1"/>
  </cols>
  <sheetData>
    <row r="2" ht="12.75">
      <c r="B2" s="12" t="s">
        <v>136</v>
      </c>
    </row>
    <row r="3" ht="12.75">
      <c r="B3" s="36" t="s">
        <v>137</v>
      </c>
    </row>
    <row r="4" ht="12.75">
      <c r="B4" s="37">
        <v>36896</v>
      </c>
    </row>
    <row r="6" ht="12.75">
      <c r="B6" t="s">
        <v>130</v>
      </c>
    </row>
    <row r="7" ht="12.75">
      <c r="B7" t="s">
        <v>131</v>
      </c>
    </row>
    <row r="8" ht="12.75">
      <c r="B8" t="s">
        <v>132</v>
      </c>
    </row>
    <row r="9" ht="12.75">
      <c r="B9" t="s">
        <v>138</v>
      </c>
    </row>
    <row r="10" ht="12.75">
      <c r="B10" t="s">
        <v>139</v>
      </c>
    </row>
    <row r="11" ht="12.75">
      <c r="B11" t="s">
        <v>140</v>
      </c>
    </row>
    <row r="13" ht="12.75">
      <c r="B13" t="s">
        <v>141</v>
      </c>
    </row>
    <row r="14" ht="12.75">
      <c r="B14" t="s">
        <v>142</v>
      </c>
    </row>
    <row r="16" ht="12.75">
      <c r="B16" t="s">
        <v>133</v>
      </c>
    </row>
    <row r="17" ht="12.75">
      <c r="B17" t="s">
        <v>134</v>
      </c>
    </row>
    <row r="18" ht="12.75">
      <c r="B18" t="s">
        <v>135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J80"/>
  <sheetViews>
    <sheetView zoomScale="75" zoomScaleNormal="75" workbookViewId="0" topLeftCell="A1">
      <selection activeCell="I4" sqref="I4"/>
    </sheetView>
  </sheetViews>
  <sheetFormatPr defaultColWidth="9.00390625" defaultRowHeight="12.75"/>
  <cols>
    <col min="1" max="1" width="18.00390625" style="0" bestFit="1" customWidth="1"/>
    <col min="2" max="3" width="9.625" style="0" customWidth="1"/>
    <col min="4" max="4" width="6.00390625" style="0" customWidth="1"/>
    <col min="5" max="5" width="9.75390625" style="0" customWidth="1"/>
    <col min="6" max="6" width="11.25390625" style="0" customWidth="1"/>
    <col min="7" max="7" width="12.375" style="0" customWidth="1"/>
    <col min="10" max="12" width="11.125" style="0" customWidth="1"/>
    <col min="13" max="13" width="10.00390625" style="0" customWidth="1"/>
    <col min="14" max="14" width="17.625" style="0" bestFit="1" customWidth="1"/>
    <col min="15" max="15" width="9.625" style="0" bestFit="1" customWidth="1"/>
    <col min="16" max="16" width="14.625" style="0" customWidth="1"/>
    <col min="17" max="17" width="11.375" style="0" customWidth="1"/>
    <col min="18" max="18" width="9.875" style="0" customWidth="1"/>
    <col min="19" max="19" width="9.375" style="0" customWidth="1"/>
    <col min="21" max="21" width="6.125" style="0" customWidth="1"/>
    <col min="22" max="24" width="11.375" style="0" customWidth="1"/>
    <col min="25" max="27" width="13.125" style="0" customWidth="1"/>
    <col min="28" max="28" width="12.875" style="0" customWidth="1"/>
    <col min="29" max="29" width="10.875" style="0" customWidth="1"/>
    <col min="30" max="30" width="12.25390625" style="0" customWidth="1"/>
    <col min="31" max="31" width="13.875" style="0" customWidth="1"/>
    <col min="32" max="32" width="9.75390625" style="0" customWidth="1"/>
    <col min="33" max="33" width="9.625" style="0" customWidth="1"/>
    <col min="34" max="34" width="13.25390625" style="0" bestFit="1" customWidth="1"/>
    <col min="35" max="35" width="6.375" style="0" customWidth="1"/>
    <col min="36" max="36" width="11.375" style="5" customWidth="1"/>
    <col min="37" max="16384" width="11.375" style="0" customWidth="1"/>
  </cols>
  <sheetData>
    <row r="3" spans="4:10" ht="12.75">
      <c r="D3" t="s">
        <v>88</v>
      </c>
      <c r="I3" s="21">
        <v>65</v>
      </c>
      <c r="J3" t="s">
        <v>89</v>
      </c>
    </row>
    <row r="4" spans="4:10" ht="12.75">
      <c r="D4" t="s">
        <v>87</v>
      </c>
      <c r="I4" s="21">
        <v>19.5</v>
      </c>
      <c r="J4" s="3" t="s">
        <v>70</v>
      </c>
    </row>
    <row r="5" spans="4:32" ht="18">
      <c r="D5" t="s">
        <v>90</v>
      </c>
      <c r="P5" s="14" t="s">
        <v>92</v>
      </c>
      <c r="AF5" t="s">
        <v>0</v>
      </c>
    </row>
    <row r="6" spans="16:32" ht="18">
      <c r="P6" s="14" t="s">
        <v>93</v>
      </c>
      <c r="AF6" s="13">
        <v>36527</v>
      </c>
    </row>
    <row r="7" spans="6:10" ht="12.75">
      <c r="F7" t="s">
        <v>91</v>
      </c>
      <c r="I7" s="21">
        <v>10</v>
      </c>
      <c r="J7" t="s">
        <v>89</v>
      </c>
    </row>
    <row r="8" spans="6:24" ht="12.75">
      <c r="F8" t="s">
        <v>59</v>
      </c>
      <c r="H8" t="s">
        <v>60</v>
      </c>
      <c r="I8" s="17">
        <v>6.8</v>
      </c>
      <c r="J8" t="s">
        <v>28</v>
      </c>
      <c r="L8" s="3"/>
      <c r="O8" s="22"/>
      <c r="P8" s="22"/>
      <c r="Q8" s="22"/>
      <c r="R8" s="22" t="s">
        <v>94</v>
      </c>
      <c r="S8" s="22"/>
      <c r="T8" s="22"/>
      <c r="U8" s="22"/>
      <c r="V8" s="22"/>
      <c r="W8" s="22"/>
      <c r="X8" s="22"/>
    </row>
    <row r="9" spans="2:32" ht="12.75">
      <c r="B9" t="s">
        <v>64</v>
      </c>
      <c r="F9" t="s">
        <v>84</v>
      </c>
      <c r="H9" t="s">
        <v>85</v>
      </c>
      <c r="I9" s="17">
        <v>3.8</v>
      </c>
      <c r="J9" t="s">
        <v>86</v>
      </c>
      <c r="AF9" t="s">
        <v>27</v>
      </c>
    </row>
    <row r="10" spans="2:35" ht="12.75">
      <c r="B10" t="s">
        <v>65</v>
      </c>
      <c r="F10" t="s">
        <v>61</v>
      </c>
      <c r="H10" t="s">
        <v>62</v>
      </c>
      <c r="I10" s="21">
        <v>135</v>
      </c>
      <c r="J10" t="s">
        <v>63</v>
      </c>
      <c r="O10" t="s">
        <v>30</v>
      </c>
      <c r="R10" t="s">
        <v>97</v>
      </c>
      <c r="X10" s="16" t="s">
        <v>96</v>
      </c>
      <c r="Y10" s="16"/>
      <c r="Z10" s="16"/>
      <c r="AA10" s="16" t="s">
        <v>96</v>
      </c>
      <c r="AC10" s="16" t="s">
        <v>54</v>
      </c>
      <c r="AD10" s="19" t="s">
        <v>79</v>
      </c>
      <c r="AF10" t="s">
        <v>58</v>
      </c>
      <c r="AH10" s="5"/>
      <c r="AI10" s="5"/>
    </row>
    <row r="11" spans="2:36" s="2" customFormat="1" ht="12.75">
      <c r="B11" t="s">
        <v>29</v>
      </c>
      <c r="C11"/>
      <c r="D11" s="2" t="s">
        <v>24</v>
      </c>
      <c r="H11"/>
      <c r="I11"/>
      <c r="J11"/>
      <c r="K11"/>
      <c r="M11" t="s">
        <v>30</v>
      </c>
      <c r="N11"/>
      <c r="O11" t="s">
        <v>38</v>
      </c>
      <c r="P11"/>
      <c r="Q11" s="2" t="s">
        <v>95</v>
      </c>
      <c r="R11" t="s">
        <v>98</v>
      </c>
      <c r="S11"/>
      <c r="T11" s="2" t="s">
        <v>4</v>
      </c>
      <c r="U11"/>
      <c r="V11"/>
      <c r="W11"/>
      <c r="X11" s="16" t="s">
        <v>73</v>
      </c>
      <c r="Y11"/>
      <c r="Z11"/>
      <c r="AA11" s="2" t="s">
        <v>100</v>
      </c>
      <c r="AB11" s="2" t="s">
        <v>7</v>
      </c>
      <c r="AC11" s="16" t="s">
        <v>55</v>
      </c>
      <c r="AD11" s="19" t="s">
        <v>80</v>
      </c>
      <c r="AE11" s="2" t="s">
        <v>8</v>
      </c>
      <c r="AF11" s="2" t="s">
        <v>9</v>
      </c>
      <c r="AG11" s="2" t="s">
        <v>10</v>
      </c>
      <c r="AH11" s="7" t="s">
        <v>11</v>
      </c>
      <c r="AI11" s="7" t="s">
        <v>71</v>
      </c>
      <c r="AJ11" s="7"/>
    </row>
    <row r="12" spans="2:36" s="2" customFormat="1" ht="12.75">
      <c r="B12" s="2" t="s">
        <v>51</v>
      </c>
      <c r="C12"/>
      <c r="D12" s="2" t="s">
        <v>25</v>
      </c>
      <c r="E12"/>
      <c r="F12" s="2" t="s">
        <v>48</v>
      </c>
      <c r="G12" s="16" t="s">
        <v>48</v>
      </c>
      <c r="I12" s="2" t="s">
        <v>34</v>
      </c>
      <c r="J12" s="2" t="s">
        <v>36</v>
      </c>
      <c r="K12"/>
      <c r="L12" t="s">
        <v>30</v>
      </c>
      <c r="M12" t="s">
        <v>31</v>
      </c>
      <c r="N12"/>
      <c r="O12" t="s">
        <v>50</v>
      </c>
      <c r="P12"/>
      <c r="Q12" s="2" t="s">
        <v>123</v>
      </c>
      <c r="R12" t="s">
        <v>99</v>
      </c>
      <c r="S12"/>
      <c r="T12" s="2" t="s">
        <v>15</v>
      </c>
      <c r="U12"/>
      <c r="V12"/>
      <c r="W12"/>
      <c r="X12" s="2" t="s">
        <v>16</v>
      </c>
      <c r="Y12"/>
      <c r="Z12"/>
      <c r="AA12" s="2" t="s">
        <v>17</v>
      </c>
      <c r="AB12" s="2" t="s">
        <v>18</v>
      </c>
      <c r="AC12" s="16" t="s">
        <v>56</v>
      </c>
      <c r="AD12" s="7" t="s">
        <v>19</v>
      </c>
      <c r="AG12" s="2" t="s">
        <v>18</v>
      </c>
      <c r="AH12" s="7" t="s">
        <v>20</v>
      </c>
      <c r="AI12" s="7" t="s">
        <v>72</v>
      </c>
      <c r="AJ12" s="7"/>
    </row>
    <row r="13" spans="3:36" s="2" customFormat="1" ht="13.5" thickBot="1">
      <c r="C13"/>
      <c r="D13" t="s">
        <v>26</v>
      </c>
      <c r="E13" s="2" t="s">
        <v>23</v>
      </c>
      <c r="F13" s="2" t="s">
        <v>33</v>
      </c>
      <c r="G13" s="16" t="s">
        <v>32</v>
      </c>
      <c r="I13" s="2" t="s">
        <v>33</v>
      </c>
      <c r="J13" s="2" t="s">
        <v>37</v>
      </c>
      <c r="K13"/>
      <c r="L13" t="s">
        <v>33</v>
      </c>
      <c r="M13" s="2" t="s">
        <v>37</v>
      </c>
      <c r="N13"/>
      <c r="O13" s="2" t="s">
        <v>51</v>
      </c>
      <c r="P13"/>
      <c r="R13"/>
      <c r="S13"/>
      <c r="U13"/>
      <c r="V13"/>
      <c r="W13"/>
      <c r="Y13"/>
      <c r="Z13"/>
      <c r="AD13" s="7"/>
      <c r="AH13" s="7"/>
      <c r="AI13" s="7"/>
      <c r="AJ13" s="7"/>
    </row>
    <row r="14" spans="1:35" ht="13.5" thickBot="1">
      <c r="A14" s="20" t="s">
        <v>47</v>
      </c>
      <c r="B14" s="15"/>
      <c r="D14">
        <v>0</v>
      </c>
      <c r="E14" s="4">
        <v>0</v>
      </c>
      <c r="F14" s="15">
        <v>0</v>
      </c>
      <c r="G14" s="15">
        <v>0</v>
      </c>
      <c r="I14" s="15"/>
      <c r="L14">
        <v>0</v>
      </c>
      <c r="M14" s="15">
        <v>0</v>
      </c>
      <c r="O14" s="15"/>
      <c r="Q14">
        <v>5.19</v>
      </c>
      <c r="R14" s="4">
        <f>I3</f>
        <v>65</v>
      </c>
      <c r="T14" s="4">
        <f>O77/(Q14*I7)</f>
        <v>17.687861271676304</v>
      </c>
      <c r="X14" s="3">
        <f>0.00096*(100/R14)*(AI14/2)</f>
        <v>0.014400000000000001</v>
      </c>
      <c r="AA14" s="1">
        <f>(3.5155+0.059464*R14)*10^-6</f>
        <v>7.38066E-06</v>
      </c>
      <c r="AB14" s="27">
        <f>I9</f>
        <v>3.8</v>
      </c>
      <c r="AC14" s="9">
        <v>1</v>
      </c>
      <c r="AD14" s="8">
        <f aca="true" t="shared" si="0" ref="AD14:AD45">4*T14/(X14*3.14159*AB14^2*AC14)</f>
        <v>108.30689950504583</v>
      </c>
      <c r="AE14" s="4">
        <f aca="true" t="shared" si="1" ref="AE14:AE45">X14*AD14*AB14/AA14/10</f>
        <v>80298.42237572395</v>
      </c>
      <c r="AF14" s="5">
        <f aca="true" t="shared" si="2" ref="AF14:AF45">4*(0.0791/AE14^0.25)</f>
        <v>0.018795752672104496</v>
      </c>
      <c r="AG14" s="4">
        <v>0</v>
      </c>
      <c r="AH14" s="10">
        <f>AF14*AG14/(AB14)*(V14*AD14^2/2)*0.1</f>
        <v>0</v>
      </c>
      <c r="AI14" s="10">
        <f>I4</f>
        <v>19.5</v>
      </c>
    </row>
    <row r="15" spans="1:35" ht="12.75">
      <c r="A15" s="108" t="s">
        <v>42</v>
      </c>
      <c r="B15" s="113">
        <f>O15</f>
        <v>229.50000000000006</v>
      </c>
      <c r="D15">
        <f>I10/60</f>
        <v>2.25</v>
      </c>
      <c r="E15" s="4">
        <f aca="true" t="shared" si="3" ref="E15:E46">E14+D15</f>
        <v>2.25</v>
      </c>
      <c r="F15" s="15">
        <f>I8</f>
        <v>6.8</v>
      </c>
      <c r="G15" s="15">
        <f aca="true" t="shared" si="4" ref="G15:G46">F15*D15</f>
        <v>15.299999999999999</v>
      </c>
      <c r="I15" s="15">
        <v>0</v>
      </c>
      <c r="J15" s="15">
        <f aca="true" t="shared" si="5" ref="J15:J46">I15*D15</f>
        <v>0</v>
      </c>
      <c r="K15" s="15"/>
      <c r="L15" s="15">
        <f aca="true" t="shared" si="6" ref="L15:L46">I15+F15</f>
        <v>6.8</v>
      </c>
      <c r="M15" s="15">
        <f aca="true" t="shared" si="7" ref="M15:M46">L15*D15</f>
        <v>15.299999999999999</v>
      </c>
      <c r="O15" s="101">
        <f>SUM(M15:M29)</f>
        <v>229.50000000000006</v>
      </c>
      <c r="Q15">
        <f>Q14</f>
        <v>5.19</v>
      </c>
      <c r="R15" s="4">
        <f>R14+M15/(T15*Q15)</f>
        <v>65.16666666666667</v>
      </c>
      <c r="T15" s="4">
        <f>T14</f>
        <v>17.687861271676304</v>
      </c>
      <c r="X15" s="3">
        <f>0.00096*(100/R15)*(AI14/2)</f>
        <v>0.014363171355498722</v>
      </c>
      <c r="AA15" s="1">
        <f aca="true" t="shared" si="8" ref="AA15:AA74">(3.5155+0.059464*R15)*10^-6</f>
        <v>7.390570666666667E-06</v>
      </c>
      <c r="AB15">
        <f aca="true" t="shared" si="9" ref="AB15:AB46">AB14</f>
        <v>3.8</v>
      </c>
      <c r="AC15">
        <f aca="true" t="shared" si="10" ref="AC15:AC46">AC14</f>
        <v>1</v>
      </c>
      <c r="AD15" s="8">
        <f t="shared" si="0"/>
        <v>108.58460950377672</v>
      </c>
      <c r="AE15" s="4">
        <f t="shared" si="1"/>
        <v>80190.7431539266</v>
      </c>
      <c r="AF15" s="5">
        <f t="shared" si="2"/>
        <v>0.018802059178337344</v>
      </c>
      <c r="AG15" s="4">
        <f aca="true" t="shared" si="11" ref="AG15:AG46">100*(E15-E14)</f>
        <v>225</v>
      </c>
      <c r="AH15" s="8">
        <f>AF15*AG15/(AB15)*(X15*AD15^2/2)*0.1</f>
        <v>9.42673352341964</v>
      </c>
      <c r="AI15" s="10">
        <f aca="true" t="shared" si="12" ref="AI15:AI46">AI14-AH15/100000</f>
        <v>19.499905732664764</v>
      </c>
    </row>
    <row r="16" spans="1:35" ht="12.75">
      <c r="A16" s="111"/>
      <c r="B16" s="114"/>
      <c r="D16">
        <f aca="true" t="shared" si="13" ref="D16:D47">D15</f>
        <v>2.25</v>
      </c>
      <c r="E16" s="4">
        <f t="shared" si="3"/>
        <v>4.5</v>
      </c>
      <c r="F16" s="15">
        <f aca="true" t="shared" si="14" ref="F16:F47">F15</f>
        <v>6.8</v>
      </c>
      <c r="G16" s="15">
        <f t="shared" si="4"/>
        <v>15.299999999999999</v>
      </c>
      <c r="I16" s="15">
        <f aca="true" t="shared" si="15" ref="I16:I47">I15</f>
        <v>0</v>
      </c>
      <c r="J16" s="15">
        <f t="shared" si="5"/>
        <v>0</v>
      </c>
      <c r="K16" s="15"/>
      <c r="L16" s="15">
        <f t="shared" si="6"/>
        <v>6.8</v>
      </c>
      <c r="M16" s="15">
        <f t="shared" si="7"/>
        <v>15.299999999999999</v>
      </c>
      <c r="O16" s="121"/>
      <c r="Q16">
        <f aca="true" t="shared" si="16" ref="Q16:Q74">Q15</f>
        <v>5.19</v>
      </c>
      <c r="R16" s="4">
        <f aca="true" t="shared" si="17" ref="R16:R74">R15+M16/(T16*Q16)</f>
        <v>65.33333333333334</v>
      </c>
      <c r="T16" s="4">
        <f aca="true" t="shared" si="18" ref="T16:T74">T15</f>
        <v>17.687861271676304</v>
      </c>
      <c r="X16" s="3">
        <f aca="true" t="shared" si="19" ref="X16:X74">0.00096*(100/R16)*(AI15/2)</f>
        <v>0.014326461354610845</v>
      </c>
      <c r="AA16" s="1">
        <f t="shared" si="8"/>
        <v>7.400481333333333E-06</v>
      </c>
      <c r="AB16">
        <f t="shared" si="9"/>
        <v>3.8</v>
      </c>
      <c r="AC16">
        <f t="shared" si="10"/>
        <v>1</v>
      </c>
      <c r="AD16" s="8">
        <f t="shared" si="0"/>
        <v>108.86284576970645</v>
      </c>
      <c r="AE16" s="4">
        <f t="shared" si="1"/>
        <v>80083.35233847097</v>
      </c>
      <c r="AF16" s="5">
        <f t="shared" si="2"/>
        <v>0.01880835934504413</v>
      </c>
      <c r="AG16" s="4">
        <f t="shared" si="11"/>
        <v>225</v>
      </c>
      <c r="AH16" s="8">
        <f aca="true" t="shared" si="20" ref="AH16:AH74">AF16*AG16/(AB16)*(X16*AD16^2/2)*0.1</f>
        <v>9.454055294020794</v>
      </c>
      <c r="AI16" s="10">
        <f t="shared" si="12"/>
        <v>19.499811192111824</v>
      </c>
    </row>
    <row r="17" spans="1:35" ht="12.75">
      <c r="A17" s="111"/>
      <c r="B17" s="114"/>
      <c r="D17">
        <f t="shared" si="13"/>
        <v>2.25</v>
      </c>
      <c r="E17" s="4">
        <f t="shared" si="3"/>
        <v>6.75</v>
      </c>
      <c r="F17" s="15">
        <f t="shared" si="14"/>
        <v>6.8</v>
      </c>
      <c r="G17" s="15">
        <f t="shared" si="4"/>
        <v>15.299999999999999</v>
      </c>
      <c r="I17" s="15">
        <f t="shared" si="15"/>
        <v>0</v>
      </c>
      <c r="J17" s="15">
        <f t="shared" si="5"/>
        <v>0</v>
      </c>
      <c r="K17" s="15"/>
      <c r="L17" s="15">
        <f t="shared" si="6"/>
        <v>6.8</v>
      </c>
      <c r="M17" s="15">
        <f t="shared" si="7"/>
        <v>15.299999999999999</v>
      </c>
      <c r="O17" s="121"/>
      <c r="Q17">
        <f t="shared" si="16"/>
        <v>5.19</v>
      </c>
      <c r="R17" s="4">
        <f t="shared" si="17"/>
        <v>65.50000000000001</v>
      </c>
      <c r="T17" s="4">
        <f t="shared" si="18"/>
        <v>17.687861271676304</v>
      </c>
      <c r="X17" s="3">
        <f t="shared" si="19"/>
        <v>0.014289937972845303</v>
      </c>
      <c r="AA17" s="1">
        <f t="shared" si="8"/>
        <v>7.410392E-06</v>
      </c>
      <c r="AB17">
        <f t="shared" si="9"/>
        <v>3.8</v>
      </c>
      <c r="AC17">
        <f t="shared" si="10"/>
        <v>1</v>
      </c>
      <c r="AD17" s="8">
        <f t="shared" si="0"/>
        <v>109.14108625498258</v>
      </c>
      <c r="AE17" s="4">
        <f t="shared" si="1"/>
        <v>79976.24877221216</v>
      </c>
      <c r="AF17" s="5">
        <f t="shared" si="2"/>
        <v>0.018814653187074634</v>
      </c>
      <c r="AG17" s="4">
        <f t="shared" si="11"/>
        <v>225</v>
      </c>
      <c r="AH17" s="8">
        <f t="shared" si="20"/>
        <v>9.481390431564938</v>
      </c>
      <c r="AI17" s="10">
        <f t="shared" si="12"/>
        <v>19.49971637820751</v>
      </c>
    </row>
    <row r="18" spans="1:35" ht="12.75">
      <c r="A18" s="111"/>
      <c r="B18" s="114"/>
      <c r="D18">
        <f t="shared" si="13"/>
        <v>2.25</v>
      </c>
      <c r="E18" s="4">
        <f t="shared" si="3"/>
        <v>9</v>
      </c>
      <c r="F18" s="15">
        <f t="shared" si="14"/>
        <v>6.8</v>
      </c>
      <c r="G18" s="15">
        <f t="shared" si="4"/>
        <v>15.299999999999999</v>
      </c>
      <c r="I18" s="15">
        <f t="shared" si="15"/>
        <v>0</v>
      </c>
      <c r="J18" s="15">
        <f t="shared" si="5"/>
        <v>0</v>
      </c>
      <c r="K18" s="15"/>
      <c r="L18" s="15">
        <f t="shared" si="6"/>
        <v>6.8</v>
      </c>
      <c r="M18" s="15">
        <f t="shared" si="7"/>
        <v>15.299999999999999</v>
      </c>
      <c r="O18" s="121"/>
      <c r="Q18">
        <f t="shared" si="16"/>
        <v>5.19</v>
      </c>
      <c r="R18" s="4">
        <f t="shared" si="17"/>
        <v>65.66666666666669</v>
      </c>
      <c r="T18" s="4">
        <f t="shared" si="18"/>
        <v>17.687861271676304</v>
      </c>
      <c r="X18" s="3">
        <f t="shared" si="19"/>
        <v>0.0142535997891466</v>
      </c>
      <c r="AA18" s="1">
        <f t="shared" si="8"/>
        <v>7.4203026666666675E-06</v>
      </c>
      <c r="AB18">
        <f t="shared" si="9"/>
        <v>3.8</v>
      </c>
      <c r="AC18">
        <f t="shared" si="10"/>
        <v>1</v>
      </c>
      <c r="AD18" s="8">
        <f t="shared" si="0"/>
        <v>109.41933097211219</v>
      </c>
      <c r="AE18" s="4">
        <f t="shared" si="1"/>
        <v>79869.43130418725</v>
      </c>
      <c r="AF18" s="5">
        <f t="shared" si="2"/>
        <v>0.018820940719224046</v>
      </c>
      <c r="AG18" s="4">
        <f t="shared" si="11"/>
        <v>225</v>
      </c>
      <c r="AH18" s="8">
        <f t="shared" si="20"/>
        <v>9.508738920605373</v>
      </c>
      <c r="AI18" s="10">
        <f t="shared" si="12"/>
        <v>19.499621290818304</v>
      </c>
    </row>
    <row r="19" spans="1:35" ht="12.75">
      <c r="A19" s="111"/>
      <c r="B19" s="114"/>
      <c r="D19">
        <f t="shared" si="13"/>
        <v>2.25</v>
      </c>
      <c r="E19" s="4">
        <f t="shared" si="3"/>
        <v>11.25</v>
      </c>
      <c r="F19" s="15">
        <f t="shared" si="14"/>
        <v>6.8</v>
      </c>
      <c r="G19" s="15">
        <f t="shared" si="4"/>
        <v>15.299999999999999</v>
      </c>
      <c r="I19" s="15">
        <f t="shared" si="15"/>
        <v>0</v>
      </c>
      <c r="J19" s="15">
        <f t="shared" si="5"/>
        <v>0</v>
      </c>
      <c r="K19" s="15"/>
      <c r="L19" s="15">
        <f t="shared" si="6"/>
        <v>6.8</v>
      </c>
      <c r="M19" s="15">
        <f t="shared" si="7"/>
        <v>15.299999999999999</v>
      </c>
      <c r="O19" s="121"/>
      <c r="Q19">
        <f t="shared" si="16"/>
        <v>5.19</v>
      </c>
      <c r="R19" s="4">
        <f t="shared" si="17"/>
        <v>65.83333333333336</v>
      </c>
      <c r="T19" s="4">
        <f t="shared" si="18"/>
        <v>17.687861271676304</v>
      </c>
      <c r="X19" s="3">
        <f t="shared" si="19"/>
        <v>0.014217445396849797</v>
      </c>
      <c r="AA19" s="1">
        <f t="shared" si="8"/>
        <v>7.430213333333334E-06</v>
      </c>
      <c r="AB19">
        <f t="shared" si="9"/>
        <v>3.8</v>
      </c>
      <c r="AC19">
        <f t="shared" si="10"/>
        <v>1</v>
      </c>
      <c r="AD19" s="8">
        <f t="shared" si="0"/>
        <v>109.69757993360957</v>
      </c>
      <c r="AE19" s="4">
        <f t="shared" si="1"/>
        <v>79762.8987895741</v>
      </c>
      <c r="AF19" s="5">
        <f t="shared" si="2"/>
        <v>0.01882722195623324</v>
      </c>
      <c r="AG19" s="4">
        <f t="shared" si="11"/>
        <v>225</v>
      </c>
      <c r="AH19" s="8">
        <f t="shared" si="20"/>
        <v>9.536100745745257</v>
      </c>
      <c r="AI19" s="10">
        <f t="shared" si="12"/>
        <v>19.499525929810847</v>
      </c>
    </row>
    <row r="20" spans="1:35" ht="12.75">
      <c r="A20" s="111"/>
      <c r="B20" s="114"/>
      <c r="D20">
        <f t="shared" si="13"/>
        <v>2.25</v>
      </c>
      <c r="E20" s="4">
        <f t="shared" si="3"/>
        <v>13.5</v>
      </c>
      <c r="F20" s="15">
        <f t="shared" si="14"/>
        <v>6.8</v>
      </c>
      <c r="G20" s="15">
        <f t="shared" si="4"/>
        <v>15.299999999999999</v>
      </c>
      <c r="I20" s="15">
        <f t="shared" si="15"/>
        <v>0</v>
      </c>
      <c r="J20" s="15">
        <f t="shared" si="5"/>
        <v>0</v>
      </c>
      <c r="K20" s="15"/>
      <c r="L20" s="15">
        <f t="shared" si="6"/>
        <v>6.8</v>
      </c>
      <c r="M20" s="15">
        <f t="shared" si="7"/>
        <v>15.299999999999999</v>
      </c>
      <c r="O20" s="121"/>
      <c r="Q20">
        <f t="shared" si="16"/>
        <v>5.19</v>
      </c>
      <c r="R20" s="4">
        <f t="shared" si="17"/>
        <v>66.00000000000003</v>
      </c>
      <c r="T20" s="4">
        <f t="shared" si="18"/>
        <v>17.687861271676304</v>
      </c>
      <c r="X20" s="3">
        <f t="shared" si="19"/>
        <v>0.014181473403498793</v>
      </c>
      <c r="AA20" s="1">
        <f t="shared" si="8"/>
        <v>7.440124000000002E-06</v>
      </c>
      <c r="AB20">
        <f t="shared" si="9"/>
        <v>3.8</v>
      </c>
      <c r="AC20">
        <f t="shared" si="10"/>
        <v>1</v>
      </c>
      <c r="AD20" s="8">
        <f t="shared" si="0"/>
        <v>109.97583315199658</v>
      </c>
      <c r="AE20" s="4">
        <f t="shared" si="1"/>
        <v>79656.6500896505</v>
      </c>
      <c r="AF20" s="5">
        <f t="shared" si="2"/>
        <v>0.018833496912789037</v>
      </c>
      <c r="AG20" s="4">
        <f t="shared" si="11"/>
        <v>225</v>
      </c>
      <c r="AH20" s="8">
        <f t="shared" si="20"/>
        <v>9.563475891637435</v>
      </c>
      <c r="AI20" s="10">
        <f t="shared" si="12"/>
        <v>19.49943029505193</v>
      </c>
    </row>
    <row r="21" spans="1:35" ht="12.75">
      <c r="A21" s="111"/>
      <c r="B21" s="114"/>
      <c r="D21">
        <f t="shared" si="13"/>
        <v>2.25</v>
      </c>
      <c r="E21" s="4">
        <f t="shared" si="3"/>
        <v>15.75</v>
      </c>
      <c r="F21" s="15">
        <f t="shared" si="14"/>
        <v>6.8</v>
      </c>
      <c r="G21" s="15">
        <f t="shared" si="4"/>
        <v>15.299999999999999</v>
      </c>
      <c r="I21" s="15">
        <f t="shared" si="15"/>
        <v>0</v>
      </c>
      <c r="J21" s="15">
        <f t="shared" si="5"/>
        <v>0</v>
      </c>
      <c r="K21" s="15"/>
      <c r="L21" s="15">
        <f t="shared" si="6"/>
        <v>6.8</v>
      </c>
      <c r="M21" s="15">
        <f t="shared" si="7"/>
        <v>15.299999999999999</v>
      </c>
      <c r="O21" s="121"/>
      <c r="Q21">
        <f t="shared" si="16"/>
        <v>5.19</v>
      </c>
      <c r="R21" s="4">
        <f t="shared" si="17"/>
        <v>66.1666666666667</v>
      </c>
      <c r="T21" s="4">
        <f t="shared" si="18"/>
        <v>17.687861271676304</v>
      </c>
      <c r="X21" s="3">
        <f t="shared" si="19"/>
        <v>0.014145682430667387</v>
      </c>
      <c r="AA21" s="1">
        <f t="shared" si="8"/>
        <v>7.450034666666668E-06</v>
      </c>
      <c r="AB21">
        <f t="shared" si="9"/>
        <v>3.8</v>
      </c>
      <c r="AC21">
        <f t="shared" si="10"/>
        <v>1</v>
      </c>
      <c r="AD21" s="8">
        <f t="shared" si="0"/>
        <v>110.25409063980224</v>
      </c>
      <c r="AE21" s="4">
        <f t="shared" si="1"/>
        <v>79550.68407175339</v>
      </c>
      <c r="AF21" s="5">
        <f t="shared" si="2"/>
        <v>0.018839765603524503</v>
      </c>
      <c r="AG21" s="4">
        <f t="shared" si="11"/>
        <v>225</v>
      </c>
      <c r="AH21" s="8">
        <f t="shared" si="20"/>
        <v>9.590864342984187</v>
      </c>
      <c r="AI21" s="10">
        <f t="shared" si="12"/>
        <v>19.4993343864085</v>
      </c>
    </row>
    <row r="22" spans="1:35" ht="12.75">
      <c r="A22" s="111"/>
      <c r="B22" s="114"/>
      <c r="D22">
        <f t="shared" si="13"/>
        <v>2.25</v>
      </c>
      <c r="E22" s="4">
        <f t="shared" si="3"/>
        <v>18</v>
      </c>
      <c r="F22" s="15">
        <f t="shared" si="14"/>
        <v>6.8</v>
      </c>
      <c r="G22" s="15">
        <f t="shared" si="4"/>
        <v>15.299999999999999</v>
      </c>
      <c r="I22" s="15">
        <f t="shared" si="15"/>
        <v>0</v>
      </c>
      <c r="J22" s="15">
        <f t="shared" si="5"/>
        <v>0</v>
      </c>
      <c r="K22" s="15"/>
      <c r="L22" s="15">
        <f t="shared" si="6"/>
        <v>6.8</v>
      </c>
      <c r="M22" s="15">
        <f t="shared" si="7"/>
        <v>15.299999999999999</v>
      </c>
      <c r="O22" s="121"/>
      <c r="Q22">
        <f t="shared" si="16"/>
        <v>5.19</v>
      </c>
      <c r="R22" s="4">
        <f t="shared" si="17"/>
        <v>66.33333333333337</v>
      </c>
      <c r="T22" s="4">
        <f t="shared" si="18"/>
        <v>17.687861271676304</v>
      </c>
      <c r="X22" s="3">
        <f t="shared" si="19"/>
        <v>0.014110071113783026</v>
      </c>
      <c r="AA22" s="1">
        <f t="shared" si="8"/>
        <v>7.459945333333335E-06</v>
      </c>
      <c r="AB22">
        <f t="shared" si="9"/>
        <v>3.8</v>
      </c>
      <c r="AC22">
        <f t="shared" si="10"/>
        <v>1</v>
      </c>
      <c r="AD22" s="8">
        <f t="shared" si="0"/>
        <v>110.53235240956296</v>
      </c>
      <c r="AE22" s="4">
        <f t="shared" si="1"/>
        <v>79444.99960923896</v>
      </c>
      <c r="AF22" s="5">
        <f t="shared" si="2"/>
        <v>0.018846028043019193</v>
      </c>
      <c r="AG22" s="4">
        <f t="shared" si="11"/>
        <v>225</v>
      </c>
      <c r="AH22" s="8">
        <f t="shared" si="20"/>
        <v>9.61826608453704</v>
      </c>
      <c r="AI22" s="10">
        <f t="shared" si="12"/>
        <v>19.499238203747655</v>
      </c>
    </row>
    <row r="23" spans="1:35" ht="12.75">
      <c r="A23" s="111"/>
      <c r="B23" s="114"/>
      <c r="D23">
        <f t="shared" si="13"/>
        <v>2.25</v>
      </c>
      <c r="E23" s="4">
        <f t="shared" si="3"/>
        <v>20.25</v>
      </c>
      <c r="F23" s="15">
        <f t="shared" si="14"/>
        <v>6.8</v>
      </c>
      <c r="G23" s="15">
        <f t="shared" si="4"/>
        <v>15.299999999999999</v>
      </c>
      <c r="I23" s="15">
        <f t="shared" si="15"/>
        <v>0</v>
      </c>
      <c r="J23" s="15">
        <f t="shared" si="5"/>
        <v>0</v>
      </c>
      <c r="K23" s="15"/>
      <c r="L23" s="15">
        <f t="shared" si="6"/>
        <v>6.8</v>
      </c>
      <c r="M23" s="15">
        <f t="shared" si="7"/>
        <v>15.299999999999999</v>
      </c>
      <c r="O23" s="121"/>
      <c r="Q23">
        <f t="shared" si="16"/>
        <v>5.19</v>
      </c>
      <c r="R23" s="4">
        <f t="shared" si="17"/>
        <v>66.50000000000004</v>
      </c>
      <c r="T23" s="4">
        <f t="shared" si="18"/>
        <v>17.687861271676304</v>
      </c>
      <c r="X23" s="3">
        <f t="shared" si="19"/>
        <v>0.014074638101953186</v>
      </c>
      <c r="AA23" s="1">
        <f t="shared" si="8"/>
        <v>7.4698560000000024E-06</v>
      </c>
      <c r="AB23">
        <f t="shared" si="9"/>
        <v>3.8</v>
      </c>
      <c r="AC23">
        <f t="shared" si="10"/>
        <v>1</v>
      </c>
      <c r="AD23" s="8">
        <f t="shared" si="0"/>
        <v>110.81061847382253</v>
      </c>
      <c r="AE23" s="4">
        <f t="shared" si="1"/>
        <v>79339.59558144234</v>
      </c>
      <c r="AF23" s="5">
        <f t="shared" si="2"/>
        <v>0.018852284245799412</v>
      </c>
      <c r="AG23" s="4">
        <f t="shared" si="11"/>
        <v>225</v>
      </c>
      <c r="AH23" s="8">
        <f t="shared" si="20"/>
        <v>9.645681101096557</v>
      </c>
      <c r="AI23" s="10">
        <f t="shared" si="12"/>
        <v>19.499141746936644</v>
      </c>
    </row>
    <row r="24" spans="1:35" ht="12.75">
      <c r="A24" s="111"/>
      <c r="B24" s="114"/>
      <c r="D24">
        <f t="shared" si="13"/>
        <v>2.25</v>
      </c>
      <c r="E24" s="4">
        <f t="shared" si="3"/>
        <v>22.5</v>
      </c>
      <c r="F24" s="15">
        <f t="shared" si="14"/>
        <v>6.8</v>
      </c>
      <c r="G24" s="15">
        <f t="shared" si="4"/>
        <v>15.299999999999999</v>
      </c>
      <c r="I24" s="15">
        <f t="shared" si="15"/>
        <v>0</v>
      </c>
      <c r="J24" s="15">
        <f t="shared" si="5"/>
        <v>0</v>
      </c>
      <c r="K24" s="15"/>
      <c r="L24" s="15">
        <f t="shared" si="6"/>
        <v>6.8</v>
      </c>
      <c r="M24" s="15">
        <f t="shared" si="7"/>
        <v>15.299999999999999</v>
      </c>
      <c r="O24" s="121"/>
      <c r="Q24">
        <f t="shared" si="16"/>
        <v>5.19</v>
      </c>
      <c r="R24" s="4">
        <f t="shared" si="17"/>
        <v>66.66666666666671</v>
      </c>
      <c r="T24" s="4">
        <f t="shared" si="18"/>
        <v>17.687861271676304</v>
      </c>
      <c r="X24" s="3">
        <f t="shared" si="19"/>
        <v>0.014039382057794375</v>
      </c>
      <c r="AA24" s="1">
        <f t="shared" si="8"/>
        <v>7.47976666666667E-06</v>
      </c>
      <c r="AB24">
        <f t="shared" si="9"/>
        <v>3.8</v>
      </c>
      <c r="AC24">
        <f t="shared" si="10"/>
        <v>1</v>
      </c>
      <c r="AD24" s="8">
        <f t="shared" si="0"/>
        <v>111.08888884513202</v>
      </c>
      <c r="AE24" s="4">
        <f t="shared" si="1"/>
        <v>79234.47087363827</v>
      </c>
      <c r="AF24" s="5">
        <f t="shared" si="2"/>
        <v>0.0188585342263385</v>
      </c>
      <c r="AG24" s="4">
        <f t="shared" si="11"/>
        <v>225</v>
      </c>
      <c r="AH24" s="8">
        <f t="shared" si="20"/>
        <v>9.67310937751213</v>
      </c>
      <c r="AI24" s="10">
        <f t="shared" si="12"/>
        <v>19.499045015842867</v>
      </c>
    </row>
    <row r="25" spans="1:35" ht="12.75">
      <c r="A25" s="111"/>
      <c r="B25" s="114"/>
      <c r="D25">
        <f t="shared" si="13"/>
        <v>2.25</v>
      </c>
      <c r="E25" s="4">
        <f t="shared" si="3"/>
        <v>24.75</v>
      </c>
      <c r="F25" s="15">
        <f t="shared" si="14"/>
        <v>6.8</v>
      </c>
      <c r="G25" s="15">
        <f t="shared" si="4"/>
        <v>15.299999999999999</v>
      </c>
      <c r="I25" s="15">
        <f t="shared" si="15"/>
        <v>0</v>
      </c>
      <c r="J25" s="15">
        <f t="shared" si="5"/>
        <v>0</v>
      </c>
      <c r="K25" s="15"/>
      <c r="L25" s="15">
        <f t="shared" si="6"/>
        <v>6.8</v>
      </c>
      <c r="M25" s="15">
        <f t="shared" si="7"/>
        <v>15.299999999999999</v>
      </c>
      <c r="O25" s="121"/>
      <c r="Q25">
        <f t="shared" si="16"/>
        <v>5.19</v>
      </c>
      <c r="R25" s="4">
        <f t="shared" si="17"/>
        <v>66.83333333333339</v>
      </c>
      <c r="T25" s="4">
        <f t="shared" si="18"/>
        <v>17.687861271676304</v>
      </c>
      <c r="X25" s="3">
        <f t="shared" si="19"/>
        <v>0.014004301657263693</v>
      </c>
      <c r="AA25" s="1">
        <f t="shared" si="8"/>
        <v>7.489677333333336E-06</v>
      </c>
      <c r="AB25">
        <f t="shared" si="9"/>
        <v>3.8</v>
      </c>
      <c r="AC25">
        <f t="shared" si="10"/>
        <v>1</v>
      </c>
      <c r="AD25" s="8">
        <f t="shared" si="0"/>
        <v>111.36716353604989</v>
      </c>
      <c r="AE25" s="4">
        <f t="shared" si="1"/>
        <v>79129.62437700173</v>
      </c>
      <c r="AF25" s="5">
        <f t="shared" si="2"/>
        <v>0.01886477799905709</v>
      </c>
      <c r="AG25" s="4">
        <f t="shared" si="11"/>
        <v>225</v>
      </c>
      <c r="AH25" s="8">
        <f t="shared" si="20"/>
        <v>9.700550898681787</v>
      </c>
      <c r="AI25" s="10">
        <f t="shared" si="12"/>
        <v>19.49894801033388</v>
      </c>
    </row>
    <row r="26" spans="1:35" ht="12.75">
      <c r="A26" s="111"/>
      <c r="B26" s="114"/>
      <c r="D26">
        <f t="shared" si="13"/>
        <v>2.25</v>
      </c>
      <c r="E26" s="4">
        <f t="shared" si="3"/>
        <v>27</v>
      </c>
      <c r="F26" s="15">
        <f t="shared" si="14"/>
        <v>6.8</v>
      </c>
      <c r="G26" s="15">
        <f t="shared" si="4"/>
        <v>15.299999999999999</v>
      </c>
      <c r="I26" s="15">
        <f t="shared" si="15"/>
        <v>0</v>
      </c>
      <c r="J26" s="15">
        <f t="shared" si="5"/>
        <v>0</v>
      </c>
      <c r="K26" s="15"/>
      <c r="L26" s="15">
        <f t="shared" si="6"/>
        <v>6.8</v>
      </c>
      <c r="M26" s="15">
        <f t="shared" si="7"/>
        <v>15.299999999999999</v>
      </c>
      <c r="O26" s="121"/>
      <c r="Q26">
        <f t="shared" si="16"/>
        <v>5.19</v>
      </c>
      <c r="R26" s="4">
        <f t="shared" si="17"/>
        <v>67.00000000000006</v>
      </c>
      <c r="T26" s="4">
        <f t="shared" si="18"/>
        <v>17.687861271676304</v>
      </c>
      <c r="X26" s="3">
        <f t="shared" si="19"/>
        <v>0.013969395589492917</v>
      </c>
      <c r="AA26" s="1">
        <f t="shared" si="8"/>
        <v>7.499588000000002E-06</v>
      </c>
      <c r="AB26">
        <f t="shared" si="9"/>
        <v>3.8</v>
      </c>
      <c r="AC26">
        <f t="shared" si="10"/>
        <v>1</v>
      </c>
      <c r="AD26" s="8">
        <f t="shared" si="0"/>
        <v>111.6454425591418</v>
      </c>
      <c r="AE26" s="4">
        <f t="shared" si="1"/>
        <v>79025.0549885688</v>
      </c>
      <c r="AF26" s="5">
        <f t="shared" si="2"/>
        <v>0.01887101557832337</v>
      </c>
      <c r="AG26" s="4">
        <f t="shared" si="11"/>
        <v>225</v>
      </c>
      <c r="AH26" s="8">
        <f t="shared" si="20"/>
        <v>9.72800564955196</v>
      </c>
      <c r="AI26" s="10">
        <f t="shared" si="12"/>
        <v>19.498850730277386</v>
      </c>
    </row>
    <row r="27" spans="1:35" ht="12.75">
      <c r="A27" s="111"/>
      <c r="B27" s="114"/>
      <c r="D27">
        <f t="shared" si="13"/>
        <v>2.25</v>
      </c>
      <c r="E27" s="4">
        <f t="shared" si="3"/>
        <v>29.25</v>
      </c>
      <c r="F27" s="15">
        <f t="shared" si="14"/>
        <v>6.8</v>
      </c>
      <c r="G27" s="15">
        <f t="shared" si="4"/>
        <v>15.299999999999999</v>
      </c>
      <c r="I27" s="15">
        <f t="shared" si="15"/>
        <v>0</v>
      </c>
      <c r="J27" s="15">
        <f t="shared" si="5"/>
        <v>0</v>
      </c>
      <c r="K27" s="15"/>
      <c r="L27" s="15">
        <f t="shared" si="6"/>
        <v>6.8</v>
      </c>
      <c r="M27" s="15">
        <f t="shared" si="7"/>
        <v>15.299999999999999</v>
      </c>
      <c r="O27" s="121"/>
      <c r="Q27">
        <f t="shared" si="16"/>
        <v>5.19</v>
      </c>
      <c r="R27" s="4">
        <f t="shared" si="17"/>
        <v>67.16666666666673</v>
      </c>
      <c r="T27" s="4">
        <f t="shared" si="18"/>
        <v>17.687861271676304</v>
      </c>
      <c r="X27" s="3">
        <f t="shared" si="19"/>
        <v>0.013934662556625017</v>
      </c>
      <c r="AA27" s="1">
        <f t="shared" si="8"/>
        <v>7.509498666666671E-06</v>
      </c>
      <c r="AB27">
        <f t="shared" si="9"/>
        <v>3.8</v>
      </c>
      <c r="AC27">
        <f t="shared" si="10"/>
        <v>1</v>
      </c>
      <c r="AD27" s="8">
        <f t="shared" si="0"/>
        <v>111.92372592698081</v>
      </c>
      <c r="AE27" s="4">
        <f t="shared" si="1"/>
        <v>78920.76161119816</v>
      </c>
      <c r="AF27" s="5">
        <f t="shared" si="2"/>
        <v>0.0188772469784533</v>
      </c>
      <c r="AG27" s="4">
        <f t="shared" si="11"/>
        <v>225</v>
      </c>
      <c r="AH27" s="8">
        <f t="shared" si="20"/>
        <v>9.75547361511729</v>
      </c>
      <c r="AI27" s="10">
        <f t="shared" si="12"/>
        <v>19.498753175541236</v>
      </c>
    </row>
    <row r="28" spans="1:35" ht="12.75">
      <c r="A28" s="111"/>
      <c r="B28" s="114"/>
      <c r="D28">
        <f t="shared" si="13"/>
        <v>2.25</v>
      </c>
      <c r="E28" s="4">
        <f t="shared" si="3"/>
        <v>31.5</v>
      </c>
      <c r="F28" s="15">
        <f t="shared" si="14"/>
        <v>6.8</v>
      </c>
      <c r="G28" s="15">
        <f t="shared" si="4"/>
        <v>15.299999999999999</v>
      </c>
      <c r="I28" s="15">
        <f t="shared" si="15"/>
        <v>0</v>
      </c>
      <c r="J28" s="15">
        <f t="shared" si="5"/>
        <v>0</v>
      </c>
      <c r="K28" s="15"/>
      <c r="L28" s="15">
        <f t="shared" si="6"/>
        <v>6.8</v>
      </c>
      <c r="M28" s="15">
        <f t="shared" si="7"/>
        <v>15.299999999999999</v>
      </c>
      <c r="O28" s="121"/>
      <c r="Q28">
        <f t="shared" si="16"/>
        <v>5.19</v>
      </c>
      <c r="R28" s="4">
        <f t="shared" si="17"/>
        <v>67.3333333333334</v>
      </c>
      <c r="T28" s="4">
        <f t="shared" si="18"/>
        <v>17.687861271676304</v>
      </c>
      <c r="X28" s="3">
        <f t="shared" si="19"/>
        <v>0.013900101273653143</v>
      </c>
      <c r="AA28" s="1">
        <f t="shared" si="8"/>
        <v>7.519409333333337E-06</v>
      </c>
      <c r="AB28">
        <f t="shared" si="9"/>
        <v>3.8</v>
      </c>
      <c r="AC28">
        <f t="shared" si="10"/>
        <v>1</v>
      </c>
      <c r="AD28" s="8">
        <f t="shared" si="0"/>
        <v>112.2020136521473</v>
      </c>
      <c r="AE28" s="4">
        <f t="shared" si="1"/>
        <v>78816.74315353278</v>
      </c>
      <c r="AF28" s="5">
        <f t="shared" si="2"/>
        <v>0.018883472213710974</v>
      </c>
      <c r="AG28" s="4">
        <f t="shared" si="11"/>
        <v>225</v>
      </c>
      <c r="AH28" s="8">
        <f t="shared" si="20"/>
        <v>9.782954780420473</v>
      </c>
      <c r="AI28" s="10">
        <f t="shared" si="12"/>
        <v>19.49865534599343</v>
      </c>
    </row>
    <row r="29" spans="1:35" ht="13.5" thickBot="1">
      <c r="A29" s="112"/>
      <c r="B29" s="115"/>
      <c r="D29">
        <f t="shared" si="13"/>
        <v>2.25</v>
      </c>
      <c r="E29" s="4">
        <f t="shared" si="3"/>
        <v>33.75</v>
      </c>
      <c r="F29" s="15">
        <f t="shared" si="14"/>
        <v>6.8</v>
      </c>
      <c r="G29" s="15">
        <f t="shared" si="4"/>
        <v>15.299999999999999</v>
      </c>
      <c r="I29" s="15">
        <f t="shared" si="15"/>
        <v>0</v>
      </c>
      <c r="J29" s="15">
        <f t="shared" si="5"/>
        <v>0</v>
      </c>
      <c r="K29" s="15"/>
      <c r="L29" s="15">
        <f t="shared" si="6"/>
        <v>6.8</v>
      </c>
      <c r="M29" s="15">
        <f t="shared" si="7"/>
        <v>15.299999999999999</v>
      </c>
      <c r="O29" s="122"/>
      <c r="Q29">
        <f t="shared" si="16"/>
        <v>5.19</v>
      </c>
      <c r="R29" s="4">
        <f t="shared" si="17"/>
        <v>67.50000000000007</v>
      </c>
      <c r="T29" s="4">
        <f t="shared" si="18"/>
        <v>17.687861271676304</v>
      </c>
      <c r="X29" s="3">
        <f t="shared" si="19"/>
        <v>0.013865710468261981</v>
      </c>
      <c r="AA29" s="1">
        <f t="shared" si="8"/>
        <v>7.529320000000003E-06</v>
      </c>
      <c r="AB29">
        <f t="shared" si="9"/>
        <v>3.8</v>
      </c>
      <c r="AC29">
        <f t="shared" si="10"/>
        <v>1</v>
      </c>
      <c r="AD29" s="8">
        <f t="shared" si="0"/>
        <v>112.48030574722891</v>
      </c>
      <c r="AE29" s="4">
        <f t="shared" si="1"/>
        <v>78712.99852996161</v>
      </c>
      <c r="AF29" s="5">
        <f t="shared" si="2"/>
        <v>0.018889691298308753</v>
      </c>
      <c r="AG29" s="4">
        <f t="shared" si="11"/>
        <v>225</v>
      </c>
      <c r="AH29" s="8">
        <f t="shared" si="20"/>
        <v>9.810449130551984</v>
      </c>
      <c r="AI29" s="10">
        <f t="shared" si="12"/>
        <v>19.498557241502127</v>
      </c>
    </row>
    <row r="30" spans="1:35" ht="12.75">
      <c r="A30" s="108" t="s">
        <v>43</v>
      </c>
      <c r="B30" s="113">
        <f>O30</f>
        <v>229.50000000000006</v>
      </c>
      <c r="D30">
        <f t="shared" si="13"/>
        <v>2.25</v>
      </c>
      <c r="E30" s="4">
        <f t="shared" si="3"/>
        <v>36</v>
      </c>
      <c r="F30" s="15">
        <f t="shared" si="14"/>
        <v>6.8</v>
      </c>
      <c r="G30" s="15">
        <f t="shared" si="4"/>
        <v>15.299999999999999</v>
      </c>
      <c r="I30" s="15">
        <f t="shared" si="15"/>
        <v>0</v>
      </c>
      <c r="J30" s="15">
        <f t="shared" si="5"/>
        <v>0</v>
      </c>
      <c r="K30" s="15"/>
      <c r="L30" s="15">
        <f t="shared" si="6"/>
        <v>6.8</v>
      </c>
      <c r="M30" s="15">
        <f t="shared" si="7"/>
        <v>15.299999999999999</v>
      </c>
      <c r="O30" s="116">
        <f>SUM(M30:M44)</f>
        <v>229.50000000000006</v>
      </c>
      <c r="Q30">
        <f t="shared" si="16"/>
        <v>5.19</v>
      </c>
      <c r="R30" s="4">
        <f t="shared" si="17"/>
        <v>67.66666666666674</v>
      </c>
      <c r="T30" s="4">
        <f t="shared" si="18"/>
        <v>17.687861271676304</v>
      </c>
      <c r="X30" s="3">
        <f t="shared" si="19"/>
        <v>0.013831488880671443</v>
      </c>
      <c r="AA30" s="1">
        <f t="shared" si="8"/>
        <v>7.5392306666666715E-06</v>
      </c>
      <c r="AB30">
        <f t="shared" si="9"/>
        <v>3.8</v>
      </c>
      <c r="AC30">
        <f t="shared" si="10"/>
        <v>1</v>
      </c>
      <c r="AD30" s="8">
        <f t="shared" si="0"/>
        <v>112.75860222482059</v>
      </c>
      <c r="AE30" s="4">
        <f t="shared" si="1"/>
        <v>78609.52666058196</v>
      </c>
      <c r="AF30" s="5">
        <f t="shared" si="2"/>
        <v>0.0188959042464076</v>
      </c>
      <c r="AG30" s="4">
        <f t="shared" si="11"/>
        <v>225</v>
      </c>
      <c r="AH30" s="8">
        <f t="shared" si="20"/>
        <v>9.837956650649925</v>
      </c>
      <c r="AI30" s="10">
        <f t="shared" si="12"/>
        <v>19.49845886193562</v>
      </c>
    </row>
    <row r="31" spans="1:35" ht="12.75">
      <c r="A31" s="111"/>
      <c r="B31" s="114"/>
      <c r="D31">
        <f t="shared" si="13"/>
        <v>2.25</v>
      </c>
      <c r="E31" s="4">
        <f t="shared" si="3"/>
        <v>38.25</v>
      </c>
      <c r="F31" s="15">
        <f t="shared" si="14"/>
        <v>6.8</v>
      </c>
      <c r="G31" s="15">
        <f t="shared" si="4"/>
        <v>15.299999999999999</v>
      </c>
      <c r="I31" s="15">
        <f t="shared" si="15"/>
        <v>0</v>
      </c>
      <c r="J31" s="15">
        <f t="shared" si="5"/>
        <v>0</v>
      </c>
      <c r="K31" s="15"/>
      <c r="L31" s="15">
        <f t="shared" si="6"/>
        <v>6.8</v>
      </c>
      <c r="M31" s="15">
        <f t="shared" si="7"/>
        <v>15.299999999999999</v>
      </c>
      <c r="O31" s="117"/>
      <c r="Q31">
        <f t="shared" si="16"/>
        <v>5.19</v>
      </c>
      <c r="R31" s="4">
        <f t="shared" si="17"/>
        <v>67.83333333333341</v>
      </c>
      <c r="T31" s="4">
        <f t="shared" si="18"/>
        <v>17.687861271676304</v>
      </c>
      <c r="X31" s="3">
        <f t="shared" si="19"/>
        <v>0.013797435263482684</v>
      </c>
      <c r="AA31" s="1">
        <f t="shared" si="8"/>
        <v>7.549141333333338E-06</v>
      </c>
      <c r="AB31">
        <f t="shared" si="9"/>
        <v>3.8</v>
      </c>
      <c r="AC31">
        <f t="shared" si="10"/>
        <v>1</v>
      </c>
      <c r="AD31" s="8">
        <f t="shared" si="0"/>
        <v>113.03690309752453</v>
      </c>
      <c r="AE31" s="4">
        <f t="shared" si="1"/>
        <v>78506.32647116206</v>
      </c>
      <c r="AF31" s="5">
        <f t="shared" si="2"/>
        <v>0.018902111072117322</v>
      </c>
      <c r="AG31" s="4">
        <f t="shared" si="11"/>
        <v>225</v>
      </c>
      <c r="AH31" s="8">
        <f t="shared" si="20"/>
        <v>9.865477325899803</v>
      </c>
      <c r="AI31" s="10">
        <f t="shared" si="12"/>
        <v>19.498360207162364</v>
      </c>
    </row>
    <row r="32" spans="1:35" ht="12.75">
      <c r="A32" s="111"/>
      <c r="B32" s="114"/>
      <c r="D32">
        <f t="shared" si="13"/>
        <v>2.25</v>
      </c>
      <c r="E32" s="4">
        <f t="shared" si="3"/>
        <v>40.5</v>
      </c>
      <c r="F32" s="15">
        <f t="shared" si="14"/>
        <v>6.8</v>
      </c>
      <c r="G32" s="15">
        <f t="shared" si="4"/>
        <v>15.299999999999999</v>
      </c>
      <c r="I32" s="15">
        <f t="shared" si="15"/>
        <v>0</v>
      </c>
      <c r="J32" s="15">
        <f t="shared" si="5"/>
        <v>0</v>
      </c>
      <c r="K32" s="15"/>
      <c r="L32" s="15">
        <f t="shared" si="6"/>
        <v>6.8</v>
      </c>
      <c r="M32" s="15">
        <f t="shared" si="7"/>
        <v>15.299999999999999</v>
      </c>
      <c r="O32" s="117"/>
      <c r="Q32">
        <f t="shared" si="16"/>
        <v>5.19</v>
      </c>
      <c r="R32" s="4">
        <f t="shared" si="17"/>
        <v>68.00000000000009</v>
      </c>
      <c r="T32" s="4">
        <f t="shared" si="18"/>
        <v>17.687861271676304</v>
      </c>
      <c r="X32" s="3">
        <f t="shared" si="19"/>
        <v>0.013763548381526356</v>
      </c>
      <c r="AA32" s="1">
        <f t="shared" si="8"/>
        <v>7.559052000000005E-06</v>
      </c>
      <c r="AB32">
        <f t="shared" si="9"/>
        <v>3.8</v>
      </c>
      <c r="AC32">
        <f t="shared" si="10"/>
        <v>1</v>
      </c>
      <c r="AD32" s="8">
        <f t="shared" si="0"/>
        <v>113.31520837795033</v>
      </c>
      <c r="AE32" s="4">
        <f t="shared" si="1"/>
        <v>78403.39689310384</v>
      </c>
      <c r="AF32" s="5">
        <f t="shared" si="2"/>
        <v>0.01890831178949678</v>
      </c>
      <c r="AG32" s="4">
        <f t="shared" si="11"/>
        <v>225</v>
      </c>
      <c r="AH32" s="8">
        <f t="shared" si="20"/>
        <v>9.893011141534378</v>
      </c>
      <c r="AI32" s="10">
        <f t="shared" si="12"/>
        <v>19.498261277050947</v>
      </c>
    </row>
    <row r="33" spans="1:35" ht="12.75">
      <c r="A33" s="111"/>
      <c r="B33" s="114"/>
      <c r="D33">
        <f t="shared" si="13"/>
        <v>2.25</v>
      </c>
      <c r="E33" s="4">
        <f t="shared" si="3"/>
        <v>42.75</v>
      </c>
      <c r="F33" s="15">
        <f t="shared" si="14"/>
        <v>6.8</v>
      </c>
      <c r="G33" s="15">
        <f t="shared" si="4"/>
        <v>15.299999999999999</v>
      </c>
      <c r="I33" s="15">
        <f t="shared" si="15"/>
        <v>0</v>
      </c>
      <c r="J33" s="15">
        <f t="shared" si="5"/>
        <v>0</v>
      </c>
      <c r="K33" s="15"/>
      <c r="L33" s="15">
        <f t="shared" si="6"/>
        <v>6.8</v>
      </c>
      <c r="M33" s="15">
        <f t="shared" si="7"/>
        <v>15.299999999999999</v>
      </c>
      <c r="O33" s="117"/>
      <c r="Q33">
        <f t="shared" si="16"/>
        <v>5.19</v>
      </c>
      <c r="R33" s="4">
        <f t="shared" si="17"/>
        <v>68.16666666666676</v>
      </c>
      <c r="T33" s="4">
        <f t="shared" si="18"/>
        <v>17.687861271676304</v>
      </c>
      <c r="X33" s="3">
        <f t="shared" si="19"/>
        <v>0.01372982701171312</v>
      </c>
      <c r="AA33" s="1">
        <f t="shared" si="8"/>
        <v>7.568962666666672E-06</v>
      </c>
      <c r="AB33">
        <f t="shared" si="9"/>
        <v>3.8</v>
      </c>
      <c r="AC33">
        <f t="shared" si="10"/>
        <v>1</v>
      </c>
      <c r="AD33" s="8">
        <f t="shared" si="0"/>
        <v>113.59351807871474</v>
      </c>
      <c r="AE33" s="4">
        <f t="shared" si="1"/>
        <v>78300.736863406</v>
      </c>
      <c r="AF33" s="5">
        <f t="shared" si="2"/>
        <v>0.018914506412554214</v>
      </c>
      <c r="AG33" s="4">
        <f t="shared" si="11"/>
        <v>225</v>
      </c>
      <c r="AH33" s="8">
        <f t="shared" si="20"/>
        <v>9.92055808283341</v>
      </c>
      <c r="AI33" s="10">
        <f t="shared" si="12"/>
        <v>19.49816207147012</v>
      </c>
    </row>
    <row r="34" spans="1:35" ht="12.75">
      <c r="A34" s="111"/>
      <c r="B34" s="114"/>
      <c r="D34">
        <f t="shared" si="13"/>
        <v>2.25</v>
      </c>
      <c r="E34" s="4">
        <f t="shared" si="3"/>
        <v>45</v>
      </c>
      <c r="F34" s="15">
        <f t="shared" si="14"/>
        <v>6.8</v>
      </c>
      <c r="G34" s="15">
        <f t="shared" si="4"/>
        <v>15.299999999999999</v>
      </c>
      <c r="I34" s="15">
        <f t="shared" si="15"/>
        <v>0</v>
      </c>
      <c r="J34" s="15">
        <f t="shared" si="5"/>
        <v>0</v>
      </c>
      <c r="K34" s="15"/>
      <c r="L34" s="15">
        <f t="shared" si="6"/>
        <v>6.8</v>
      </c>
      <c r="M34" s="15">
        <f t="shared" si="7"/>
        <v>15.299999999999999</v>
      </c>
      <c r="O34" s="117"/>
      <c r="Q34">
        <f t="shared" si="16"/>
        <v>5.19</v>
      </c>
      <c r="R34" s="4">
        <f t="shared" si="17"/>
        <v>68.33333333333343</v>
      </c>
      <c r="T34" s="4">
        <f t="shared" si="18"/>
        <v>17.687861271676304</v>
      </c>
      <c r="X34" s="3">
        <f t="shared" si="19"/>
        <v>0.01369626994288631</v>
      </c>
      <c r="AA34" s="1">
        <f t="shared" si="8"/>
        <v>7.578873333333339E-06</v>
      </c>
      <c r="AB34">
        <f t="shared" si="9"/>
        <v>3.8</v>
      </c>
      <c r="AC34">
        <f t="shared" si="10"/>
        <v>1</v>
      </c>
      <c r="AD34" s="8">
        <f t="shared" si="0"/>
        <v>113.87183221244183</v>
      </c>
      <c r="AE34" s="4">
        <f t="shared" si="1"/>
        <v>78198.34532462744</v>
      </c>
      <c r="AF34" s="5">
        <f t="shared" si="2"/>
        <v>0.018920694955247404</v>
      </c>
      <c r="AG34" s="4">
        <f t="shared" si="11"/>
        <v>225</v>
      </c>
      <c r="AH34" s="8">
        <f t="shared" si="20"/>
        <v>9.94811813512348</v>
      </c>
      <c r="AI34" s="10">
        <f t="shared" si="12"/>
        <v>19.498062590288768</v>
      </c>
    </row>
    <row r="35" spans="1:35" ht="12.75">
      <c r="A35" s="111"/>
      <c r="B35" s="114"/>
      <c r="D35">
        <f t="shared" si="13"/>
        <v>2.25</v>
      </c>
      <c r="E35" s="4">
        <f t="shared" si="3"/>
        <v>47.25</v>
      </c>
      <c r="F35" s="15">
        <f t="shared" si="14"/>
        <v>6.8</v>
      </c>
      <c r="G35" s="15">
        <f t="shared" si="4"/>
        <v>15.299999999999999</v>
      </c>
      <c r="I35" s="15">
        <f t="shared" si="15"/>
        <v>0</v>
      </c>
      <c r="J35" s="15">
        <f t="shared" si="5"/>
        <v>0</v>
      </c>
      <c r="K35" s="15"/>
      <c r="L35" s="15">
        <f t="shared" si="6"/>
        <v>6.8</v>
      </c>
      <c r="M35" s="15">
        <f t="shared" si="7"/>
        <v>15.299999999999999</v>
      </c>
      <c r="O35" s="117"/>
      <c r="Q35">
        <f t="shared" si="16"/>
        <v>5.19</v>
      </c>
      <c r="R35" s="4">
        <f t="shared" si="17"/>
        <v>68.5000000000001</v>
      </c>
      <c r="T35" s="4">
        <f t="shared" si="18"/>
        <v>17.687861271676304</v>
      </c>
      <c r="X35" s="3">
        <f t="shared" si="19"/>
        <v>0.013662875975676782</v>
      </c>
      <c r="AA35" s="1">
        <f t="shared" si="8"/>
        <v>7.5887840000000056E-06</v>
      </c>
      <c r="AB35">
        <f t="shared" si="9"/>
        <v>3.8</v>
      </c>
      <c r="AC35">
        <f t="shared" si="10"/>
        <v>1</v>
      </c>
      <c r="AD35" s="8">
        <f t="shared" si="0"/>
        <v>114.15015079176295</v>
      </c>
      <c r="AE35" s="4">
        <f t="shared" si="1"/>
        <v>78096.22122485109</v>
      </c>
      <c r="AF35" s="5">
        <f t="shared" si="2"/>
        <v>0.018926877431483993</v>
      </c>
      <c r="AG35" s="4">
        <f t="shared" si="11"/>
        <v>225</v>
      </c>
      <c r="AH35" s="8">
        <f t="shared" si="20"/>
        <v>9.975691283777822</v>
      </c>
      <c r="AI35" s="10">
        <f t="shared" si="12"/>
        <v>19.49796283337593</v>
      </c>
    </row>
    <row r="36" spans="1:35" ht="12.75">
      <c r="A36" s="111"/>
      <c r="B36" s="114"/>
      <c r="D36">
        <f t="shared" si="13"/>
        <v>2.25</v>
      </c>
      <c r="E36" s="4">
        <f t="shared" si="3"/>
        <v>49.5</v>
      </c>
      <c r="F36" s="15">
        <f t="shared" si="14"/>
        <v>6.8</v>
      </c>
      <c r="G36" s="15">
        <f t="shared" si="4"/>
        <v>15.299999999999999</v>
      </c>
      <c r="I36" s="15">
        <f t="shared" si="15"/>
        <v>0</v>
      </c>
      <c r="J36" s="15">
        <f t="shared" si="5"/>
        <v>0</v>
      </c>
      <c r="K36" s="15"/>
      <c r="L36" s="15">
        <f t="shared" si="6"/>
        <v>6.8</v>
      </c>
      <c r="M36" s="15">
        <f t="shared" si="7"/>
        <v>15.299999999999999</v>
      </c>
      <c r="O36" s="117"/>
      <c r="Q36">
        <f t="shared" si="16"/>
        <v>5.19</v>
      </c>
      <c r="R36" s="4">
        <f t="shared" si="17"/>
        <v>68.66666666666677</v>
      </c>
      <c r="T36" s="4">
        <f t="shared" si="18"/>
        <v>17.687861271676304</v>
      </c>
      <c r="X36" s="3">
        <f t="shared" si="19"/>
        <v>0.013629643922359854</v>
      </c>
      <c r="AA36" s="1">
        <f t="shared" si="8"/>
        <v>7.598694666666672E-06</v>
      </c>
      <c r="AB36">
        <f t="shared" si="9"/>
        <v>3.8</v>
      </c>
      <c r="AC36">
        <f t="shared" si="10"/>
        <v>1</v>
      </c>
      <c r="AD36" s="8">
        <f t="shared" si="0"/>
        <v>114.42847382931672</v>
      </c>
      <c r="AE36" s="4">
        <f t="shared" si="1"/>
        <v>77994.36351764764</v>
      </c>
      <c r="AF36" s="5">
        <f t="shared" si="2"/>
        <v>0.01893305385512169</v>
      </c>
      <c r="AG36" s="4">
        <f t="shared" si="11"/>
        <v>225</v>
      </c>
      <c r="AH36" s="8">
        <f t="shared" si="20"/>
        <v>10.003277514216117</v>
      </c>
      <c r="AI36" s="10">
        <f t="shared" si="12"/>
        <v>19.49786280060079</v>
      </c>
    </row>
    <row r="37" spans="1:35" ht="12.75">
      <c r="A37" s="111"/>
      <c r="B37" s="114"/>
      <c r="D37">
        <f t="shared" si="13"/>
        <v>2.25</v>
      </c>
      <c r="E37" s="4">
        <f t="shared" si="3"/>
        <v>51.75</v>
      </c>
      <c r="F37" s="15">
        <f t="shared" si="14"/>
        <v>6.8</v>
      </c>
      <c r="G37" s="15">
        <f t="shared" si="4"/>
        <v>15.299999999999999</v>
      </c>
      <c r="I37" s="15">
        <f t="shared" si="15"/>
        <v>0</v>
      </c>
      <c r="J37" s="15">
        <f t="shared" si="5"/>
        <v>0</v>
      </c>
      <c r="K37" s="15"/>
      <c r="L37" s="15">
        <f t="shared" si="6"/>
        <v>6.8</v>
      </c>
      <c r="M37" s="15">
        <f t="shared" si="7"/>
        <v>15.299999999999999</v>
      </c>
      <c r="O37" s="117"/>
      <c r="Q37">
        <f t="shared" si="16"/>
        <v>5.19</v>
      </c>
      <c r="R37" s="4">
        <f t="shared" si="17"/>
        <v>68.83333333333344</v>
      </c>
      <c r="T37" s="4">
        <f t="shared" si="18"/>
        <v>17.687861271676304</v>
      </c>
      <c r="X37" s="3">
        <f t="shared" si="19"/>
        <v>0.013596572606714331</v>
      </c>
      <c r="AA37" s="1">
        <f t="shared" si="8"/>
        <v>7.60860533333334E-06</v>
      </c>
      <c r="AB37">
        <f t="shared" si="9"/>
        <v>3.8</v>
      </c>
      <c r="AC37">
        <f t="shared" si="10"/>
        <v>1</v>
      </c>
      <c r="AD37" s="8">
        <f t="shared" si="0"/>
        <v>114.70680133774894</v>
      </c>
      <c r="AE37" s="4">
        <f t="shared" si="1"/>
        <v>77892.77116203998</v>
      </c>
      <c r="AF37" s="5">
        <f t="shared" si="2"/>
        <v>0.018939224239968515</v>
      </c>
      <c r="AG37" s="4">
        <f t="shared" si="11"/>
        <v>225</v>
      </c>
      <c r="AH37" s="8">
        <f t="shared" si="20"/>
        <v>10.030876811904273</v>
      </c>
      <c r="AI37" s="10">
        <f t="shared" si="12"/>
        <v>19.49776249183267</v>
      </c>
    </row>
    <row r="38" spans="1:35" ht="12.75">
      <c r="A38" s="111"/>
      <c r="B38" s="114"/>
      <c r="D38">
        <f t="shared" si="13"/>
        <v>2.25</v>
      </c>
      <c r="E38" s="4">
        <f t="shared" si="3"/>
        <v>54</v>
      </c>
      <c r="F38" s="15">
        <f t="shared" si="14"/>
        <v>6.8</v>
      </c>
      <c r="G38" s="15">
        <f t="shared" si="4"/>
        <v>15.299999999999999</v>
      </c>
      <c r="I38" s="15">
        <f t="shared" si="15"/>
        <v>0</v>
      </c>
      <c r="J38" s="15">
        <f t="shared" si="5"/>
        <v>0</v>
      </c>
      <c r="K38" s="15"/>
      <c r="L38" s="15">
        <f t="shared" si="6"/>
        <v>6.8</v>
      </c>
      <c r="M38" s="15">
        <f t="shared" si="7"/>
        <v>15.299999999999999</v>
      </c>
      <c r="O38" s="117"/>
      <c r="Q38">
        <f t="shared" si="16"/>
        <v>5.19</v>
      </c>
      <c r="R38" s="4">
        <f t="shared" si="17"/>
        <v>69.00000000000011</v>
      </c>
      <c r="T38" s="4">
        <f t="shared" si="18"/>
        <v>17.687861271676304</v>
      </c>
      <c r="X38" s="3">
        <f t="shared" si="19"/>
        <v>0.013563660863883574</v>
      </c>
      <c r="AA38" s="1">
        <f t="shared" si="8"/>
        <v>7.618516000000006E-06</v>
      </c>
      <c r="AB38">
        <f t="shared" si="9"/>
        <v>3.8</v>
      </c>
      <c r="AC38">
        <f t="shared" si="10"/>
        <v>1</v>
      </c>
      <c r="AD38" s="8">
        <f t="shared" si="0"/>
        <v>114.9851333297128</v>
      </c>
      <c r="AE38" s="4">
        <f t="shared" si="1"/>
        <v>77791.44312246772</v>
      </c>
      <c r="AF38" s="5">
        <f t="shared" si="2"/>
        <v>0.018945388599783064</v>
      </c>
      <c r="AG38" s="4">
        <f t="shared" si="11"/>
        <v>225</v>
      </c>
      <c r="AH38" s="8">
        <f t="shared" si="20"/>
        <v>10.058489162354286</v>
      </c>
      <c r="AI38" s="10">
        <f t="shared" si="12"/>
        <v>19.497661906941048</v>
      </c>
    </row>
    <row r="39" spans="1:35" ht="12.75">
      <c r="A39" s="111"/>
      <c r="B39" s="114"/>
      <c r="D39">
        <f t="shared" si="13"/>
        <v>2.25</v>
      </c>
      <c r="E39" s="4">
        <f t="shared" si="3"/>
        <v>56.25</v>
      </c>
      <c r="F39" s="15">
        <f t="shared" si="14"/>
        <v>6.8</v>
      </c>
      <c r="G39" s="15">
        <f t="shared" si="4"/>
        <v>15.299999999999999</v>
      </c>
      <c r="I39" s="15">
        <f t="shared" si="15"/>
        <v>0</v>
      </c>
      <c r="J39" s="15">
        <f t="shared" si="5"/>
        <v>0</v>
      </c>
      <c r="K39" s="15"/>
      <c r="L39" s="15">
        <f t="shared" si="6"/>
        <v>6.8</v>
      </c>
      <c r="M39" s="15">
        <f t="shared" si="7"/>
        <v>15.299999999999999</v>
      </c>
      <c r="O39" s="117"/>
      <c r="Q39">
        <f t="shared" si="16"/>
        <v>5.19</v>
      </c>
      <c r="R39" s="4">
        <f t="shared" si="17"/>
        <v>69.16666666666679</v>
      </c>
      <c r="T39" s="4">
        <f t="shared" si="18"/>
        <v>17.687861271676304</v>
      </c>
      <c r="X39" s="3">
        <f t="shared" si="19"/>
        <v>0.013530907540238585</v>
      </c>
      <c r="AA39" s="1">
        <f t="shared" si="8"/>
        <v>7.628426666666673E-06</v>
      </c>
      <c r="AB39">
        <f t="shared" si="9"/>
        <v>3.8</v>
      </c>
      <c r="AC39">
        <f t="shared" si="10"/>
        <v>1</v>
      </c>
      <c r="AD39" s="8">
        <f t="shared" si="0"/>
        <v>115.26346981786857</v>
      </c>
      <c r="AE39" s="4">
        <f t="shared" si="1"/>
        <v>77690.37836875193</v>
      </c>
      <c r="AF39" s="5">
        <f t="shared" si="2"/>
        <v>0.018951546948274736</v>
      </c>
      <c r="AG39" s="4">
        <f t="shared" si="11"/>
        <v>225</v>
      </c>
      <c r="AH39" s="8">
        <f t="shared" si="20"/>
        <v>10.086114551124005</v>
      </c>
      <c r="AI39" s="10">
        <f t="shared" si="12"/>
        <v>19.497561045795536</v>
      </c>
    </row>
    <row r="40" spans="1:35" ht="12.75">
      <c r="A40" s="111"/>
      <c r="B40" s="114"/>
      <c r="D40">
        <f t="shared" si="13"/>
        <v>2.25</v>
      </c>
      <c r="E40" s="4">
        <f t="shared" si="3"/>
        <v>58.5</v>
      </c>
      <c r="F40" s="15">
        <f t="shared" si="14"/>
        <v>6.8</v>
      </c>
      <c r="G40" s="15">
        <f t="shared" si="4"/>
        <v>15.299999999999999</v>
      </c>
      <c r="I40" s="15">
        <f t="shared" si="15"/>
        <v>0</v>
      </c>
      <c r="J40" s="15">
        <f t="shared" si="5"/>
        <v>0</v>
      </c>
      <c r="K40" s="15"/>
      <c r="L40" s="15">
        <f t="shared" si="6"/>
        <v>6.8</v>
      </c>
      <c r="M40" s="15">
        <f t="shared" si="7"/>
        <v>15.299999999999999</v>
      </c>
      <c r="O40" s="117"/>
      <c r="Q40">
        <f t="shared" si="16"/>
        <v>5.19</v>
      </c>
      <c r="R40" s="4">
        <f t="shared" si="17"/>
        <v>69.33333333333346</v>
      </c>
      <c r="T40" s="4">
        <f t="shared" si="18"/>
        <v>17.687861271676304</v>
      </c>
      <c r="X40" s="3">
        <f t="shared" si="19"/>
        <v>0.01349831149324304</v>
      </c>
      <c r="AA40" s="1">
        <f t="shared" si="8"/>
        <v>7.63833733333334E-06</v>
      </c>
      <c r="AB40">
        <f t="shared" si="9"/>
        <v>3.8</v>
      </c>
      <c r="AC40">
        <f t="shared" si="10"/>
        <v>1</v>
      </c>
      <c r="AD40" s="8">
        <f t="shared" si="0"/>
        <v>115.54181081488389</v>
      </c>
      <c r="AE40" s="4">
        <f t="shared" si="1"/>
        <v>77589.57587606025</v>
      </c>
      <c r="AF40" s="5">
        <f t="shared" si="2"/>
        <v>0.018957699299103962</v>
      </c>
      <c r="AG40" s="4">
        <f t="shared" si="11"/>
        <v>225</v>
      </c>
      <c r="AH40" s="8">
        <f t="shared" si="20"/>
        <v>10.113752963816959</v>
      </c>
      <c r="AI40" s="10">
        <f t="shared" si="12"/>
        <v>19.4974599082659</v>
      </c>
    </row>
    <row r="41" spans="1:35" ht="12.75">
      <c r="A41" s="111"/>
      <c r="B41" s="114"/>
      <c r="D41">
        <f t="shared" si="13"/>
        <v>2.25</v>
      </c>
      <c r="E41" s="4">
        <f t="shared" si="3"/>
        <v>60.75</v>
      </c>
      <c r="F41" s="15">
        <f t="shared" si="14"/>
        <v>6.8</v>
      </c>
      <c r="G41" s="15">
        <f t="shared" si="4"/>
        <v>15.299999999999999</v>
      </c>
      <c r="I41" s="15">
        <f t="shared" si="15"/>
        <v>0</v>
      </c>
      <c r="J41" s="15">
        <f t="shared" si="5"/>
        <v>0</v>
      </c>
      <c r="K41" s="15"/>
      <c r="L41" s="15">
        <f t="shared" si="6"/>
        <v>6.8</v>
      </c>
      <c r="M41" s="15">
        <f t="shared" si="7"/>
        <v>15.299999999999999</v>
      </c>
      <c r="O41" s="117"/>
      <c r="Q41">
        <f t="shared" si="16"/>
        <v>5.19</v>
      </c>
      <c r="R41" s="4">
        <f t="shared" si="17"/>
        <v>69.50000000000013</v>
      </c>
      <c r="T41" s="4">
        <f t="shared" si="18"/>
        <v>17.687861271676304</v>
      </c>
      <c r="X41" s="3">
        <f t="shared" si="19"/>
        <v>0.01346587159132031</v>
      </c>
      <c r="AA41" s="1">
        <f t="shared" si="8"/>
        <v>7.648248000000007E-06</v>
      </c>
      <c r="AB41">
        <f t="shared" si="9"/>
        <v>3.8</v>
      </c>
      <c r="AC41">
        <f t="shared" si="10"/>
        <v>1</v>
      </c>
      <c r="AD41" s="8">
        <f t="shared" si="0"/>
        <v>115.82015633343356</v>
      </c>
      <c r="AE41" s="4">
        <f t="shared" si="1"/>
        <v>77489.03462487229</v>
      </c>
      <c r="AF41" s="5">
        <f t="shared" si="2"/>
        <v>0.018963845665882474</v>
      </c>
      <c r="AG41" s="4">
        <f t="shared" si="11"/>
        <v>225</v>
      </c>
      <c r="AH41" s="8">
        <f t="shared" si="20"/>
        <v>10.141404386082185</v>
      </c>
      <c r="AI41" s="10">
        <f t="shared" si="12"/>
        <v>19.497358494222038</v>
      </c>
    </row>
    <row r="42" spans="1:35" ht="12.75">
      <c r="A42" s="111"/>
      <c r="B42" s="114"/>
      <c r="D42">
        <f t="shared" si="13"/>
        <v>2.25</v>
      </c>
      <c r="E42" s="4">
        <f t="shared" si="3"/>
        <v>63</v>
      </c>
      <c r="F42" s="15">
        <f t="shared" si="14"/>
        <v>6.8</v>
      </c>
      <c r="G42" s="15">
        <f t="shared" si="4"/>
        <v>15.299999999999999</v>
      </c>
      <c r="I42" s="15">
        <f t="shared" si="15"/>
        <v>0</v>
      </c>
      <c r="J42" s="15">
        <f t="shared" si="5"/>
        <v>0</v>
      </c>
      <c r="K42" s="15"/>
      <c r="L42" s="15">
        <f t="shared" si="6"/>
        <v>6.8</v>
      </c>
      <c r="M42" s="15">
        <f t="shared" si="7"/>
        <v>15.299999999999999</v>
      </c>
      <c r="O42" s="117"/>
      <c r="Q42">
        <f t="shared" si="16"/>
        <v>5.19</v>
      </c>
      <c r="R42" s="4">
        <f t="shared" si="17"/>
        <v>69.6666666666668</v>
      </c>
      <c r="T42" s="4">
        <f t="shared" si="18"/>
        <v>17.687861271676304</v>
      </c>
      <c r="X42" s="3">
        <f t="shared" si="19"/>
        <v>0.013433586713722336</v>
      </c>
      <c r="AA42" s="1">
        <f t="shared" si="8"/>
        <v>7.658158666666674E-06</v>
      </c>
      <c r="AB42">
        <f t="shared" si="9"/>
        <v>3.8</v>
      </c>
      <c r="AC42">
        <f t="shared" si="10"/>
        <v>1</v>
      </c>
      <c r="AD42" s="8">
        <f t="shared" si="0"/>
        <v>116.09850638619972</v>
      </c>
      <c r="AE42" s="4">
        <f t="shared" si="1"/>
        <v>77388.75360094527</v>
      </c>
      <c r="AF42" s="5">
        <f t="shared" si="2"/>
        <v>0.0189699860621735</v>
      </c>
      <c r="AG42" s="4">
        <f t="shared" si="11"/>
        <v>225</v>
      </c>
      <c r="AH42" s="8">
        <f t="shared" si="20"/>
        <v>10.169068803614024</v>
      </c>
      <c r="AI42" s="10">
        <f t="shared" si="12"/>
        <v>19.497256803534</v>
      </c>
    </row>
    <row r="43" spans="1:35" ht="12.75">
      <c r="A43" s="111"/>
      <c r="B43" s="114"/>
      <c r="D43">
        <f t="shared" si="13"/>
        <v>2.25</v>
      </c>
      <c r="E43" s="4">
        <f t="shared" si="3"/>
        <v>65.25</v>
      </c>
      <c r="F43" s="15">
        <f t="shared" si="14"/>
        <v>6.8</v>
      </c>
      <c r="G43" s="15">
        <f t="shared" si="4"/>
        <v>15.299999999999999</v>
      </c>
      <c r="I43" s="15">
        <f t="shared" si="15"/>
        <v>0</v>
      </c>
      <c r="J43" s="15">
        <f t="shared" si="5"/>
        <v>0</v>
      </c>
      <c r="K43" s="15"/>
      <c r="L43" s="15">
        <f t="shared" si="6"/>
        <v>6.8</v>
      </c>
      <c r="M43" s="15">
        <f t="shared" si="7"/>
        <v>15.299999999999999</v>
      </c>
      <c r="O43" s="117"/>
      <c r="Q43">
        <f t="shared" si="16"/>
        <v>5.19</v>
      </c>
      <c r="R43" s="4">
        <f t="shared" si="17"/>
        <v>69.83333333333347</v>
      </c>
      <c r="T43" s="4">
        <f t="shared" si="18"/>
        <v>17.687861271676304</v>
      </c>
      <c r="X43" s="3">
        <f t="shared" si="19"/>
        <v>0.01340145575040043</v>
      </c>
      <c r="AA43" s="1">
        <f t="shared" si="8"/>
        <v>7.668069333333342E-06</v>
      </c>
      <c r="AB43">
        <f t="shared" si="9"/>
        <v>3.8</v>
      </c>
      <c r="AC43">
        <f t="shared" si="10"/>
        <v>1</v>
      </c>
      <c r="AD43" s="8">
        <f t="shared" si="0"/>
        <v>116.37686098587157</v>
      </c>
      <c r="AE43" s="4">
        <f t="shared" si="1"/>
        <v>77288.7317952798</v>
      </c>
      <c r="AF43" s="5">
        <f t="shared" si="2"/>
        <v>0.01897612050149205</v>
      </c>
      <c r="AG43" s="4">
        <f t="shared" si="11"/>
        <v>225</v>
      </c>
      <c r="AH43" s="8">
        <f t="shared" si="20"/>
        <v>10.196746202151951</v>
      </c>
      <c r="AI43" s="10">
        <f t="shared" si="12"/>
        <v>19.497154836071978</v>
      </c>
    </row>
    <row r="44" spans="1:35" ht="13.5" thickBot="1">
      <c r="A44" s="112"/>
      <c r="B44" s="115"/>
      <c r="D44">
        <f t="shared" si="13"/>
        <v>2.25</v>
      </c>
      <c r="E44" s="4">
        <f t="shared" si="3"/>
        <v>67.5</v>
      </c>
      <c r="F44" s="15">
        <f t="shared" si="14"/>
        <v>6.8</v>
      </c>
      <c r="G44" s="15">
        <f t="shared" si="4"/>
        <v>15.299999999999999</v>
      </c>
      <c r="I44" s="15">
        <f t="shared" si="15"/>
        <v>0</v>
      </c>
      <c r="J44" s="15">
        <f t="shared" si="5"/>
        <v>0</v>
      </c>
      <c r="K44" s="15"/>
      <c r="L44" s="15">
        <f t="shared" si="6"/>
        <v>6.8</v>
      </c>
      <c r="M44" s="15">
        <f t="shared" si="7"/>
        <v>15.299999999999999</v>
      </c>
      <c r="O44" s="118"/>
      <c r="Q44">
        <f t="shared" si="16"/>
        <v>5.19</v>
      </c>
      <c r="R44" s="4">
        <f t="shared" si="17"/>
        <v>70.00000000000014</v>
      </c>
      <c r="T44" s="4">
        <f t="shared" si="18"/>
        <v>17.687861271676304</v>
      </c>
      <c r="X44" s="3">
        <f t="shared" si="19"/>
        <v>0.013369477601877903</v>
      </c>
      <c r="AA44" s="1">
        <f t="shared" si="8"/>
        <v>7.677980000000009E-06</v>
      </c>
      <c r="AB44">
        <f t="shared" si="9"/>
        <v>3.8</v>
      </c>
      <c r="AC44">
        <f t="shared" si="10"/>
        <v>1</v>
      </c>
      <c r="AD44" s="8">
        <f t="shared" si="0"/>
        <v>116.65522014514562</v>
      </c>
      <c r="AE44" s="4">
        <f t="shared" si="1"/>
        <v>77188.96820408625</v>
      </c>
      <c r="AF44" s="5">
        <f t="shared" si="2"/>
        <v>0.018982248997305086</v>
      </c>
      <c r="AG44" s="4">
        <f t="shared" si="11"/>
        <v>225</v>
      </c>
      <c r="AH44" s="8">
        <f t="shared" si="20"/>
        <v>10.224436567480346</v>
      </c>
      <c r="AI44" s="10">
        <f t="shared" si="12"/>
        <v>19.497052591706304</v>
      </c>
    </row>
    <row r="45" spans="1:35" ht="12.75">
      <c r="A45" s="108" t="s">
        <v>44</v>
      </c>
      <c r="B45" s="113">
        <f>O45</f>
        <v>229.50000000000006</v>
      </c>
      <c r="D45">
        <f t="shared" si="13"/>
        <v>2.25</v>
      </c>
      <c r="E45" s="4">
        <f t="shared" si="3"/>
        <v>69.75</v>
      </c>
      <c r="F45" s="15">
        <f t="shared" si="14"/>
        <v>6.8</v>
      </c>
      <c r="G45" s="15">
        <f t="shared" si="4"/>
        <v>15.299999999999999</v>
      </c>
      <c r="I45" s="15">
        <f t="shared" si="15"/>
        <v>0</v>
      </c>
      <c r="J45" s="15">
        <f t="shared" si="5"/>
        <v>0</v>
      </c>
      <c r="K45" s="15"/>
      <c r="L45" s="15">
        <f t="shared" si="6"/>
        <v>6.8</v>
      </c>
      <c r="M45" s="15">
        <f t="shared" si="7"/>
        <v>15.299999999999999</v>
      </c>
      <c r="O45" s="116">
        <f>SUM(M45:M59)</f>
        <v>229.50000000000006</v>
      </c>
      <c r="Q45">
        <f t="shared" si="16"/>
        <v>5.19</v>
      </c>
      <c r="R45" s="4">
        <f t="shared" si="17"/>
        <v>70.16666666666681</v>
      </c>
      <c r="T45" s="4">
        <f t="shared" si="18"/>
        <v>17.687861271676304</v>
      </c>
      <c r="X45" s="3">
        <f t="shared" si="19"/>
        <v>0.013337651179124475</v>
      </c>
      <c r="AA45" s="1">
        <f t="shared" si="8"/>
        <v>7.687890666666675E-06</v>
      </c>
      <c r="AB45">
        <f t="shared" si="9"/>
        <v>3.8</v>
      </c>
      <c r="AC45">
        <f t="shared" si="10"/>
        <v>1</v>
      </c>
      <c r="AD45" s="8">
        <f t="shared" si="0"/>
        <v>116.93358387672562</v>
      </c>
      <c r="AE45" s="4">
        <f t="shared" si="1"/>
        <v>77089.46182875088</v>
      </c>
      <c r="AF45" s="5">
        <f t="shared" si="2"/>
        <v>0.01898837156303182</v>
      </c>
      <c r="AG45" s="4">
        <f t="shared" si="11"/>
        <v>225</v>
      </c>
      <c r="AH45" s="8">
        <f t="shared" si="20"/>
        <v>10.25213988542839</v>
      </c>
      <c r="AI45" s="10">
        <f t="shared" si="12"/>
        <v>19.49695007030745</v>
      </c>
    </row>
    <row r="46" spans="1:35" ht="12.75">
      <c r="A46" s="111"/>
      <c r="B46" s="114"/>
      <c r="D46">
        <f t="shared" si="13"/>
        <v>2.25</v>
      </c>
      <c r="E46" s="4">
        <f t="shared" si="3"/>
        <v>72</v>
      </c>
      <c r="F46" s="15">
        <f t="shared" si="14"/>
        <v>6.8</v>
      </c>
      <c r="G46" s="15">
        <f t="shared" si="4"/>
        <v>15.299999999999999</v>
      </c>
      <c r="I46" s="15">
        <f t="shared" si="15"/>
        <v>0</v>
      </c>
      <c r="J46" s="15">
        <f t="shared" si="5"/>
        <v>0</v>
      </c>
      <c r="K46" s="15"/>
      <c r="L46" s="15">
        <f t="shared" si="6"/>
        <v>6.8</v>
      </c>
      <c r="M46" s="15">
        <f t="shared" si="7"/>
        <v>15.299999999999999</v>
      </c>
      <c r="O46" s="117"/>
      <c r="Q46">
        <f t="shared" si="16"/>
        <v>5.19</v>
      </c>
      <c r="R46" s="4">
        <f t="shared" si="17"/>
        <v>70.33333333333348</v>
      </c>
      <c r="T46" s="4">
        <f t="shared" si="18"/>
        <v>17.687861271676304</v>
      </c>
      <c r="X46" s="3">
        <f t="shared" si="19"/>
        <v>0.013305975403432544</v>
      </c>
      <c r="AA46" s="1">
        <f t="shared" si="8"/>
        <v>7.697801333333344E-06</v>
      </c>
      <c r="AB46">
        <f t="shared" si="9"/>
        <v>3.8</v>
      </c>
      <c r="AC46">
        <f t="shared" si="10"/>
        <v>1</v>
      </c>
      <c r="AD46" s="8">
        <f aca="true" t="shared" si="21" ref="AD46:AD74">4*T46/(X46*3.14159*AB46^2*AC46)</f>
        <v>117.21195219332249</v>
      </c>
      <c r="AE46" s="4">
        <f aca="true" t="shared" si="22" ref="AE46:AE74">X46*AD46*AB46/AA46/10</f>
        <v>76990.21167580276</v>
      </c>
      <c r="AF46" s="5">
        <f aca="true" t="shared" si="23" ref="AF46:AF74">4*(0.0791/AE46^0.25)</f>
        <v>0.018994488212043893</v>
      </c>
      <c r="AG46" s="4">
        <f t="shared" si="11"/>
        <v>225</v>
      </c>
      <c r="AH46" s="8">
        <f t="shared" si="20"/>
        <v>10.2798561418698</v>
      </c>
      <c r="AI46" s="10">
        <f t="shared" si="12"/>
        <v>19.49684727174603</v>
      </c>
    </row>
    <row r="47" spans="1:35" ht="12.75">
      <c r="A47" s="111"/>
      <c r="B47" s="114"/>
      <c r="D47">
        <f t="shared" si="13"/>
        <v>2.25</v>
      </c>
      <c r="E47" s="4">
        <f aca="true" t="shared" si="24" ref="E47:E74">E46+D47</f>
        <v>74.25</v>
      </c>
      <c r="F47" s="15">
        <f t="shared" si="14"/>
        <v>6.8</v>
      </c>
      <c r="G47" s="15">
        <f aca="true" t="shared" si="25" ref="G47:G74">F47*D47</f>
        <v>15.299999999999999</v>
      </c>
      <c r="I47" s="15">
        <f t="shared" si="15"/>
        <v>0</v>
      </c>
      <c r="J47" s="15">
        <f aca="true" t="shared" si="26" ref="J47:J74">I47*D47</f>
        <v>0</v>
      </c>
      <c r="K47" s="15"/>
      <c r="L47" s="15">
        <f aca="true" t="shared" si="27" ref="L47:L74">I47+F47</f>
        <v>6.8</v>
      </c>
      <c r="M47" s="15">
        <f aca="true" t="shared" si="28" ref="M47:M74">L47*D47</f>
        <v>15.299999999999999</v>
      </c>
      <c r="O47" s="117"/>
      <c r="Q47">
        <f t="shared" si="16"/>
        <v>5.19</v>
      </c>
      <c r="R47" s="4">
        <f t="shared" si="17"/>
        <v>70.50000000000016</v>
      </c>
      <c r="T47" s="4">
        <f t="shared" si="18"/>
        <v>17.687861271676304</v>
      </c>
      <c r="X47" s="3">
        <f t="shared" si="19"/>
        <v>0.013274449206295141</v>
      </c>
      <c r="AA47" s="1">
        <f t="shared" si="8"/>
        <v>7.707712000000009E-06</v>
      </c>
      <c r="AB47">
        <f aca="true" t="shared" si="29" ref="AB47:AB74">AB46</f>
        <v>3.8</v>
      </c>
      <c r="AC47">
        <f aca="true" t="shared" si="30" ref="AC47:AC74">AC46</f>
        <v>1</v>
      </c>
      <c r="AD47" s="8">
        <f t="shared" si="21"/>
        <v>117.49032510765433</v>
      </c>
      <c r="AE47" s="4">
        <f t="shared" si="22"/>
        <v>76891.21675688066</v>
      </c>
      <c r="AF47" s="5">
        <f t="shared" si="23"/>
        <v>0.019000598957665652</v>
      </c>
      <c r="AG47" s="4">
        <f aca="true" t="shared" si="31" ref="AG47:AG74">100*(E47-E46)</f>
        <v>225</v>
      </c>
      <c r="AH47" s="8">
        <f t="shared" si="20"/>
        <v>10.307585322722717</v>
      </c>
      <c r="AI47" s="10">
        <f aca="true" t="shared" si="32" ref="AI47:AI75">AI46-AH47/100000</f>
        <v>19.496744195892802</v>
      </c>
    </row>
    <row r="48" spans="1:35" ht="12.75">
      <c r="A48" s="111"/>
      <c r="B48" s="114"/>
      <c r="D48">
        <f aca="true" t="shared" si="33" ref="D48:D74">D47</f>
        <v>2.25</v>
      </c>
      <c r="E48" s="4">
        <f t="shared" si="24"/>
        <v>76.5</v>
      </c>
      <c r="F48" s="15">
        <f aca="true" t="shared" si="34" ref="F48:F74">F47</f>
        <v>6.8</v>
      </c>
      <c r="G48" s="15">
        <f t="shared" si="25"/>
        <v>15.299999999999999</v>
      </c>
      <c r="I48" s="15">
        <f aca="true" t="shared" si="35" ref="I48:I74">I47</f>
        <v>0</v>
      </c>
      <c r="J48" s="15">
        <f t="shared" si="26"/>
        <v>0</v>
      </c>
      <c r="K48" s="15"/>
      <c r="L48" s="15">
        <f t="shared" si="27"/>
        <v>6.8</v>
      </c>
      <c r="M48" s="15">
        <f t="shared" si="28"/>
        <v>15.299999999999999</v>
      </c>
      <c r="O48" s="117"/>
      <c r="Q48">
        <f t="shared" si="16"/>
        <v>5.19</v>
      </c>
      <c r="R48" s="4">
        <f t="shared" si="17"/>
        <v>70.66666666666683</v>
      </c>
      <c r="T48" s="4">
        <f t="shared" si="18"/>
        <v>17.687861271676304</v>
      </c>
      <c r="X48" s="3">
        <f t="shared" si="19"/>
        <v>0.013243071529285647</v>
      </c>
      <c r="AA48" s="1">
        <f t="shared" si="8"/>
        <v>7.717622666666675E-06</v>
      </c>
      <c r="AB48">
        <f t="shared" si="29"/>
        <v>3.8</v>
      </c>
      <c r="AC48">
        <f t="shared" si="30"/>
        <v>1</v>
      </c>
      <c r="AD48" s="8">
        <f t="shared" si="21"/>
        <v>117.76870263244652</v>
      </c>
      <c r="AE48" s="4">
        <f t="shared" si="22"/>
        <v>76792.47608870013</v>
      </c>
      <c r="AF48" s="5">
        <f t="shared" si="23"/>
        <v>0.01900670381317433</v>
      </c>
      <c r="AG48" s="4">
        <f t="shared" si="31"/>
        <v>225</v>
      </c>
      <c r="AH48" s="8">
        <f t="shared" si="20"/>
        <v>10.335327413949477</v>
      </c>
      <c r="AI48" s="10">
        <f t="shared" si="32"/>
        <v>19.496640842618664</v>
      </c>
    </row>
    <row r="49" spans="1:35" ht="12.75">
      <c r="A49" s="111"/>
      <c r="B49" s="114"/>
      <c r="D49">
        <f t="shared" si="33"/>
        <v>2.25</v>
      </c>
      <c r="E49" s="4">
        <f t="shared" si="24"/>
        <v>78.75</v>
      </c>
      <c r="F49" s="15">
        <f t="shared" si="34"/>
        <v>6.8</v>
      </c>
      <c r="G49" s="15">
        <f t="shared" si="25"/>
        <v>15.299999999999999</v>
      </c>
      <c r="I49" s="15">
        <f t="shared" si="35"/>
        <v>0</v>
      </c>
      <c r="J49" s="15">
        <f t="shared" si="26"/>
        <v>0</v>
      </c>
      <c r="K49" s="15"/>
      <c r="L49" s="15">
        <f t="shared" si="27"/>
        <v>6.8</v>
      </c>
      <c r="M49" s="15">
        <f t="shared" si="28"/>
        <v>15.299999999999999</v>
      </c>
      <c r="O49" s="117"/>
      <c r="Q49">
        <f t="shared" si="16"/>
        <v>5.19</v>
      </c>
      <c r="R49" s="4">
        <f t="shared" si="17"/>
        <v>70.8333333333335</v>
      </c>
      <c r="T49" s="4">
        <f t="shared" si="18"/>
        <v>17.687861271676304</v>
      </c>
      <c r="X49" s="3">
        <f t="shared" si="19"/>
        <v>0.013211841323939206</v>
      </c>
      <c r="AA49" s="1">
        <f t="shared" si="8"/>
        <v>7.727533333333342E-06</v>
      </c>
      <c r="AB49">
        <f t="shared" si="29"/>
        <v>3.8</v>
      </c>
      <c r="AC49">
        <f t="shared" si="30"/>
        <v>1</v>
      </c>
      <c r="AD49" s="8">
        <f t="shared" si="21"/>
        <v>118.04708478043153</v>
      </c>
      <c r="AE49" s="4">
        <f t="shared" si="22"/>
        <v>76693.98869302108</v>
      </c>
      <c r="AF49" s="5">
        <f t="shared" si="23"/>
        <v>0.019012802791800305</v>
      </c>
      <c r="AG49" s="4">
        <f t="shared" si="31"/>
        <v>225</v>
      </c>
      <c r="AH49" s="8">
        <f t="shared" si="20"/>
        <v>10.36308240155645</v>
      </c>
      <c r="AI49" s="10">
        <f t="shared" si="32"/>
        <v>19.49653721179465</v>
      </c>
    </row>
    <row r="50" spans="1:35" ht="12.75">
      <c r="A50" s="111"/>
      <c r="B50" s="114"/>
      <c r="D50">
        <f t="shared" si="33"/>
        <v>2.25</v>
      </c>
      <c r="E50" s="4">
        <f t="shared" si="24"/>
        <v>81</v>
      </c>
      <c r="F50" s="15">
        <f t="shared" si="34"/>
        <v>6.8</v>
      </c>
      <c r="G50" s="15">
        <f t="shared" si="25"/>
        <v>15.299999999999999</v>
      </c>
      <c r="I50" s="15">
        <f t="shared" si="35"/>
        <v>0</v>
      </c>
      <c r="J50" s="15">
        <f t="shared" si="26"/>
        <v>0</v>
      </c>
      <c r="K50" s="15"/>
      <c r="L50" s="15">
        <f t="shared" si="27"/>
        <v>6.8</v>
      </c>
      <c r="M50" s="15">
        <f t="shared" si="28"/>
        <v>15.299999999999999</v>
      </c>
      <c r="O50" s="117"/>
      <c r="Q50">
        <f t="shared" si="16"/>
        <v>5.19</v>
      </c>
      <c r="R50" s="4">
        <f t="shared" si="17"/>
        <v>71.00000000000017</v>
      </c>
      <c r="T50" s="4">
        <f t="shared" si="18"/>
        <v>17.687861271676304</v>
      </c>
      <c r="X50" s="3">
        <f t="shared" si="19"/>
        <v>0.013180757551635787</v>
      </c>
      <c r="AA50" s="1">
        <f t="shared" si="8"/>
        <v>7.73744400000001E-06</v>
      </c>
      <c r="AB50">
        <f t="shared" si="29"/>
        <v>3.8</v>
      </c>
      <c r="AC50">
        <f t="shared" si="30"/>
        <v>1</v>
      </c>
      <c r="AD50" s="8">
        <f t="shared" si="21"/>
        <v>118.32547156434913</v>
      </c>
      <c r="AE50" s="4">
        <f t="shared" si="22"/>
        <v>76595.75359661537</v>
      </c>
      <c r="AF50" s="5">
        <f t="shared" si="23"/>
        <v>0.019018895906727295</v>
      </c>
      <c r="AG50" s="4">
        <f t="shared" si="31"/>
        <v>225</v>
      </c>
      <c r="AH50" s="8">
        <f t="shared" si="20"/>
        <v>10.390850271593862</v>
      </c>
      <c r="AI50" s="10">
        <f t="shared" si="32"/>
        <v>19.496433303291933</v>
      </c>
    </row>
    <row r="51" spans="1:35" ht="12.75">
      <c r="A51" s="111"/>
      <c r="B51" s="114"/>
      <c r="D51">
        <f t="shared" si="33"/>
        <v>2.25</v>
      </c>
      <c r="E51" s="4">
        <f t="shared" si="24"/>
        <v>83.25</v>
      </c>
      <c r="F51" s="15">
        <f t="shared" si="34"/>
        <v>6.8</v>
      </c>
      <c r="G51" s="15">
        <f t="shared" si="25"/>
        <v>15.299999999999999</v>
      </c>
      <c r="I51" s="15">
        <f t="shared" si="35"/>
        <v>0</v>
      </c>
      <c r="J51" s="15">
        <f t="shared" si="26"/>
        <v>0</v>
      </c>
      <c r="K51" s="15"/>
      <c r="L51" s="15">
        <f t="shared" si="27"/>
        <v>6.8</v>
      </c>
      <c r="M51" s="15">
        <f t="shared" si="28"/>
        <v>15.299999999999999</v>
      </c>
      <c r="O51" s="117"/>
      <c r="Q51">
        <f t="shared" si="16"/>
        <v>5.19</v>
      </c>
      <c r="R51" s="4">
        <f t="shared" si="17"/>
        <v>71.16666666666684</v>
      </c>
      <c r="T51" s="4">
        <f t="shared" si="18"/>
        <v>17.687861271676304</v>
      </c>
      <c r="X51" s="3">
        <f t="shared" si="19"/>
        <v>0.013149819183484925</v>
      </c>
      <c r="AA51" s="1">
        <f t="shared" si="8"/>
        <v>7.747354666666677E-06</v>
      </c>
      <c r="AB51">
        <f t="shared" si="29"/>
        <v>3.8</v>
      </c>
      <c r="AC51">
        <f t="shared" si="30"/>
        <v>1</v>
      </c>
      <c r="AD51" s="8">
        <f t="shared" si="21"/>
        <v>118.60386299694615</v>
      </c>
      <c r="AE51" s="4">
        <f t="shared" si="22"/>
        <v>76497.76983123488</v>
      </c>
      <c r="AF51" s="5">
        <f t="shared" si="23"/>
        <v>0.019024983171092635</v>
      </c>
      <c r="AG51" s="4">
        <f t="shared" si="31"/>
        <v>225</v>
      </c>
      <c r="AH51" s="8">
        <f t="shared" si="20"/>
        <v>10.418631010155622</v>
      </c>
      <c r="AI51" s="10">
        <f t="shared" si="32"/>
        <v>19.496329116981833</v>
      </c>
    </row>
    <row r="52" spans="1:35" ht="12.75">
      <c r="A52" s="111"/>
      <c r="B52" s="114"/>
      <c r="D52">
        <f t="shared" si="33"/>
        <v>2.25</v>
      </c>
      <c r="E52" s="4">
        <f t="shared" si="24"/>
        <v>85.5</v>
      </c>
      <c r="F52" s="15">
        <f t="shared" si="34"/>
        <v>6.8</v>
      </c>
      <c r="G52" s="15">
        <f t="shared" si="25"/>
        <v>15.299999999999999</v>
      </c>
      <c r="I52" s="15">
        <f t="shared" si="35"/>
        <v>0</v>
      </c>
      <c r="J52" s="15">
        <f t="shared" si="26"/>
        <v>0</v>
      </c>
      <c r="K52" s="15"/>
      <c r="L52" s="15">
        <f t="shared" si="27"/>
        <v>6.8</v>
      </c>
      <c r="M52" s="15">
        <f t="shared" si="28"/>
        <v>15.299999999999999</v>
      </c>
      <c r="O52" s="117"/>
      <c r="Q52">
        <f t="shared" si="16"/>
        <v>5.19</v>
      </c>
      <c r="R52" s="4">
        <f t="shared" si="17"/>
        <v>71.33333333333351</v>
      </c>
      <c r="T52" s="4">
        <f t="shared" si="18"/>
        <v>17.687861271676304</v>
      </c>
      <c r="X52" s="3">
        <f t="shared" si="19"/>
        <v>0.01311902520021204</v>
      </c>
      <c r="AA52" s="1">
        <f t="shared" si="8"/>
        <v>7.757265333333344E-06</v>
      </c>
      <c r="AB52">
        <f t="shared" si="29"/>
        <v>3.8</v>
      </c>
      <c r="AC52">
        <f t="shared" si="30"/>
        <v>1</v>
      </c>
      <c r="AD52" s="8">
        <f t="shared" si="21"/>
        <v>118.88225909097667</v>
      </c>
      <c r="AE52" s="4">
        <f t="shared" si="22"/>
        <v>76400.03643357952</v>
      </c>
      <c r="AF52" s="5">
        <f t="shared" si="23"/>
        <v>0.019031064597987448</v>
      </c>
      <c r="AG52" s="4">
        <f t="shared" si="31"/>
        <v>225</v>
      </c>
      <c r="AH52" s="8">
        <f t="shared" si="20"/>
        <v>10.446424603379135</v>
      </c>
      <c r="AI52" s="10">
        <f t="shared" si="32"/>
        <v>19.4962246527358</v>
      </c>
    </row>
    <row r="53" spans="1:35" ht="12.75">
      <c r="A53" s="111"/>
      <c r="B53" s="114"/>
      <c r="D53">
        <f t="shared" si="33"/>
        <v>2.25</v>
      </c>
      <c r="E53" s="4">
        <f t="shared" si="24"/>
        <v>87.75</v>
      </c>
      <c r="F53" s="15">
        <f t="shared" si="34"/>
        <v>6.8</v>
      </c>
      <c r="G53" s="15">
        <f t="shared" si="25"/>
        <v>15.299999999999999</v>
      </c>
      <c r="I53" s="15">
        <f t="shared" si="35"/>
        <v>0</v>
      </c>
      <c r="J53" s="15">
        <f t="shared" si="26"/>
        <v>0</v>
      </c>
      <c r="K53" s="15"/>
      <c r="L53" s="15">
        <f t="shared" si="27"/>
        <v>6.8</v>
      </c>
      <c r="M53" s="15">
        <f t="shared" si="28"/>
        <v>15.299999999999999</v>
      </c>
      <c r="O53" s="117"/>
      <c r="Q53">
        <f t="shared" si="16"/>
        <v>5.19</v>
      </c>
      <c r="R53" s="4">
        <f t="shared" si="17"/>
        <v>71.50000000000018</v>
      </c>
      <c r="T53" s="4">
        <f t="shared" si="18"/>
        <v>17.687861271676304</v>
      </c>
      <c r="X53" s="3">
        <f t="shared" si="19"/>
        <v>0.013088374592046379</v>
      </c>
      <c r="AA53" s="1">
        <f t="shared" si="8"/>
        <v>7.767176000000012E-06</v>
      </c>
      <c r="AB53">
        <f t="shared" si="29"/>
        <v>3.8</v>
      </c>
      <c r="AC53">
        <f t="shared" si="30"/>
        <v>1</v>
      </c>
      <c r="AD53" s="8">
        <f t="shared" si="21"/>
        <v>119.16065985920197</v>
      </c>
      <c r="AE53" s="4">
        <f t="shared" si="22"/>
        <v>76302.55244526578</v>
      </c>
      <c r="AF53" s="5">
        <f t="shared" si="23"/>
        <v>0.019037140200456885</v>
      </c>
      <c r="AG53" s="4">
        <f t="shared" si="31"/>
        <v>225</v>
      </c>
      <c r="AH53" s="8">
        <f t="shared" si="20"/>
        <v>10.474231037445143</v>
      </c>
      <c r="AI53" s="10">
        <f t="shared" si="32"/>
        <v>19.496119910425428</v>
      </c>
    </row>
    <row r="54" spans="1:35" ht="12.75">
      <c r="A54" s="111"/>
      <c r="B54" s="114"/>
      <c r="D54">
        <f t="shared" si="33"/>
        <v>2.25</v>
      </c>
      <c r="E54" s="4">
        <f t="shared" si="24"/>
        <v>90</v>
      </c>
      <c r="F54" s="15">
        <f t="shared" si="34"/>
        <v>6.8</v>
      </c>
      <c r="G54" s="15">
        <f t="shared" si="25"/>
        <v>15.299999999999999</v>
      </c>
      <c r="I54" s="15">
        <f t="shared" si="35"/>
        <v>0</v>
      </c>
      <c r="J54" s="15">
        <f t="shared" si="26"/>
        <v>0</v>
      </c>
      <c r="K54" s="15"/>
      <c r="L54" s="15">
        <f t="shared" si="27"/>
        <v>6.8</v>
      </c>
      <c r="M54" s="15">
        <f t="shared" si="28"/>
        <v>15.299999999999999</v>
      </c>
      <c r="O54" s="117"/>
      <c r="Q54">
        <f t="shared" si="16"/>
        <v>5.19</v>
      </c>
      <c r="R54" s="4">
        <f t="shared" si="17"/>
        <v>71.66666666666686</v>
      </c>
      <c r="T54" s="4">
        <f t="shared" si="18"/>
        <v>17.687861271676304</v>
      </c>
      <c r="X54" s="3">
        <f t="shared" si="19"/>
        <v>0.013057866358610483</v>
      </c>
      <c r="AA54" s="1">
        <f t="shared" si="8"/>
        <v>7.777086666666677E-06</v>
      </c>
      <c r="AB54">
        <f t="shared" si="29"/>
        <v>3.8</v>
      </c>
      <c r="AC54">
        <f t="shared" si="30"/>
        <v>1</v>
      </c>
      <c r="AD54" s="8">
        <f t="shared" si="21"/>
        <v>119.43906531439052</v>
      </c>
      <c r="AE54" s="4">
        <f t="shared" si="22"/>
        <v>76205.31691279553</v>
      </c>
      <c r="AF54" s="5">
        <f t="shared" si="23"/>
        <v>0.01904320999150033</v>
      </c>
      <c r="AG54" s="4">
        <f t="shared" si="31"/>
        <v>225</v>
      </c>
      <c r="AH54" s="8">
        <f t="shared" si="20"/>
        <v>10.502050298577531</v>
      </c>
      <c r="AI54" s="10">
        <f t="shared" si="32"/>
        <v>19.496014889922442</v>
      </c>
    </row>
    <row r="55" spans="1:35" ht="12.75">
      <c r="A55" s="111"/>
      <c r="B55" s="114"/>
      <c r="D55">
        <f t="shared" si="33"/>
        <v>2.25</v>
      </c>
      <c r="E55" s="4">
        <f t="shared" si="24"/>
        <v>92.25</v>
      </c>
      <c r="F55" s="15">
        <f t="shared" si="34"/>
        <v>6.8</v>
      </c>
      <c r="G55" s="15">
        <f t="shared" si="25"/>
        <v>15.299999999999999</v>
      </c>
      <c r="I55" s="15">
        <f t="shared" si="35"/>
        <v>0</v>
      </c>
      <c r="J55" s="15">
        <f t="shared" si="26"/>
        <v>0</v>
      </c>
      <c r="K55" s="15"/>
      <c r="L55" s="15">
        <f t="shared" si="27"/>
        <v>6.8</v>
      </c>
      <c r="M55" s="15">
        <f t="shared" si="28"/>
        <v>15.299999999999999</v>
      </c>
      <c r="O55" s="117"/>
      <c r="Q55">
        <f t="shared" si="16"/>
        <v>5.19</v>
      </c>
      <c r="R55" s="4">
        <f t="shared" si="17"/>
        <v>71.83333333333353</v>
      </c>
      <c r="T55" s="4">
        <f t="shared" si="18"/>
        <v>17.687861271676304</v>
      </c>
      <c r="X55" s="3">
        <f t="shared" si="19"/>
        <v>0.01302749950881125</v>
      </c>
      <c r="AA55" s="1">
        <f t="shared" si="8"/>
        <v>7.786997333333344E-06</v>
      </c>
      <c r="AB55">
        <f t="shared" si="29"/>
        <v>3.8</v>
      </c>
      <c r="AC55">
        <f t="shared" si="30"/>
        <v>1</v>
      </c>
      <c r="AD55" s="8">
        <f t="shared" si="21"/>
        <v>119.71747546931778</v>
      </c>
      <c r="AE55" s="4">
        <f t="shared" si="22"/>
        <v>76108.32888752455</v>
      </c>
      <c r="AF55" s="5">
        <f t="shared" si="23"/>
        <v>0.019049273984071666</v>
      </c>
      <c r="AG55" s="4">
        <f t="shared" si="31"/>
        <v>225</v>
      </c>
      <c r="AH55" s="8">
        <f t="shared" si="20"/>
        <v>10.529882373043158</v>
      </c>
      <c r="AI55" s="10">
        <f t="shared" si="32"/>
        <v>19.495909591098712</v>
      </c>
    </row>
    <row r="56" spans="1:35" ht="12.75">
      <c r="A56" s="111"/>
      <c r="B56" s="114"/>
      <c r="D56">
        <f t="shared" si="33"/>
        <v>2.25</v>
      </c>
      <c r="E56" s="4">
        <f t="shared" si="24"/>
        <v>94.5</v>
      </c>
      <c r="F56" s="15">
        <f t="shared" si="34"/>
        <v>6.8</v>
      </c>
      <c r="G56" s="15">
        <f t="shared" si="25"/>
        <v>15.299999999999999</v>
      </c>
      <c r="I56" s="15">
        <f t="shared" si="35"/>
        <v>0</v>
      </c>
      <c r="J56" s="15">
        <f t="shared" si="26"/>
        <v>0</v>
      </c>
      <c r="K56" s="15"/>
      <c r="L56" s="15">
        <f t="shared" si="27"/>
        <v>6.8</v>
      </c>
      <c r="M56" s="15">
        <f t="shared" si="28"/>
        <v>15.299999999999999</v>
      </c>
      <c r="O56" s="117"/>
      <c r="Q56">
        <f t="shared" si="16"/>
        <v>5.19</v>
      </c>
      <c r="R56" s="4">
        <f t="shared" si="17"/>
        <v>72.0000000000002</v>
      </c>
      <c r="T56" s="4">
        <f t="shared" si="18"/>
        <v>17.687861271676304</v>
      </c>
      <c r="X56" s="3">
        <f t="shared" si="19"/>
        <v>0.012997273060732438</v>
      </c>
      <c r="AA56" s="1">
        <f t="shared" si="8"/>
        <v>7.796908000000012E-06</v>
      </c>
      <c r="AB56">
        <f t="shared" si="29"/>
        <v>3.8</v>
      </c>
      <c r="AC56">
        <f t="shared" si="30"/>
        <v>1</v>
      </c>
      <c r="AD56" s="8">
        <f t="shared" si="21"/>
        <v>119.99589033676658</v>
      </c>
      <c r="AE56" s="4">
        <f t="shared" si="22"/>
        <v>76011.58742563204</v>
      </c>
      <c r="AF56" s="5">
        <f t="shared" si="23"/>
        <v>0.01905533219107944</v>
      </c>
      <c r="AG56" s="4">
        <f t="shared" si="31"/>
        <v>225</v>
      </c>
      <c r="AH56" s="8">
        <f t="shared" si="20"/>
        <v>10.557727247151703</v>
      </c>
      <c r="AI56" s="10">
        <f t="shared" si="32"/>
        <v>19.49580401382624</v>
      </c>
    </row>
    <row r="57" spans="1:35" ht="12.75">
      <c r="A57" s="111"/>
      <c r="B57" s="114"/>
      <c r="D57">
        <f t="shared" si="33"/>
        <v>2.25</v>
      </c>
      <c r="E57" s="4">
        <f t="shared" si="24"/>
        <v>96.75</v>
      </c>
      <c r="F57" s="15">
        <f t="shared" si="34"/>
        <v>6.8</v>
      </c>
      <c r="G57" s="15">
        <f t="shared" si="25"/>
        <v>15.299999999999999</v>
      </c>
      <c r="I57" s="15">
        <f t="shared" si="35"/>
        <v>0</v>
      </c>
      <c r="J57" s="15">
        <f t="shared" si="26"/>
        <v>0</v>
      </c>
      <c r="K57" s="15"/>
      <c r="L57" s="15">
        <f t="shared" si="27"/>
        <v>6.8</v>
      </c>
      <c r="M57" s="15">
        <f t="shared" si="28"/>
        <v>15.299999999999999</v>
      </c>
      <c r="O57" s="117"/>
      <c r="Q57">
        <f t="shared" si="16"/>
        <v>5.19</v>
      </c>
      <c r="R57" s="4">
        <f t="shared" si="17"/>
        <v>72.16666666666687</v>
      </c>
      <c r="T57" s="4">
        <f t="shared" si="18"/>
        <v>17.687861271676304</v>
      </c>
      <c r="X57" s="3">
        <f t="shared" si="19"/>
        <v>0.012967186041528732</v>
      </c>
      <c r="AA57" s="1">
        <f t="shared" si="8"/>
        <v>7.806818666666679E-06</v>
      </c>
      <c r="AB57">
        <f t="shared" si="29"/>
        <v>3.8</v>
      </c>
      <c r="AC57">
        <f t="shared" si="30"/>
        <v>1</v>
      </c>
      <c r="AD57" s="8">
        <f t="shared" si="21"/>
        <v>120.27430992952675</v>
      </c>
      <c r="AE57" s="4">
        <f t="shared" si="22"/>
        <v>75915.09158808988</v>
      </c>
      <c r="AF57" s="5">
        <f t="shared" si="23"/>
        <v>0.019061384625387104</v>
      </c>
      <c r="AG57" s="4">
        <f t="shared" si="31"/>
        <v>225</v>
      </c>
      <c r="AH57" s="8">
        <f t="shared" si="20"/>
        <v>10.585584907255473</v>
      </c>
      <c r="AI57" s="10">
        <f t="shared" si="32"/>
        <v>19.49569815797717</v>
      </c>
    </row>
    <row r="58" spans="1:35" ht="12.75">
      <c r="A58" s="111"/>
      <c r="B58" s="114"/>
      <c r="D58">
        <f t="shared" si="33"/>
        <v>2.25</v>
      </c>
      <c r="E58" s="4">
        <f t="shared" si="24"/>
        <v>99</v>
      </c>
      <c r="F58" s="15">
        <f t="shared" si="34"/>
        <v>6.8</v>
      </c>
      <c r="G58" s="15">
        <f t="shared" si="25"/>
        <v>15.299999999999999</v>
      </c>
      <c r="I58" s="15">
        <f t="shared" si="35"/>
        <v>0</v>
      </c>
      <c r="J58" s="15">
        <f t="shared" si="26"/>
        <v>0</v>
      </c>
      <c r="K58" s="15"/>
      <c r="L58" s="15">
        <f t="shared" si="27"/>
        <v>6.8</v>
      </c>
      <c r="M58" s="15">
        <f t="shared" si="28"/>
        <v>15.299999999999999</v>
      </c>
      <c r="O58" s="117"/>
      <c r="Q58">
        <f t="shared" si="16"/>
        <v>5.19</v>
      </c>
      <c r="R58" s="4">
        <f t="shared" si="17"/>
        <v>72.33333333333354</v>
      </c>
      <c r="T58" s="4">
        <f t="shared" si="18"/>
        <v>17.687861271676304</v>
      </c>
      <c r="X58" s="3">
        <f t="shared" si="19"/>
        <v>0.012937237487321219</v>
      </c>
      <c r="AA58" s="1">
        <f t="shared" si="8"/>
        <v>7.816729333333345E-06</v>
      </c>
      <c r="AB58">
        <f t="shared" si="29"/>
        <v>3.8</v>
      </c>
      <c r="AC58">
        <f t="shared" si="30"/>
        <v>1</v>
      </c>
      <c r="AD58" s="8">
        <f t="shared" si="21"/>
        <v>120.55273426039537</v>
      </c>
      <c r="AE58" s="4">
        <f t="shared" si="22"/>
        <v>75818.84044063228</v>
      </c>
      <c r="AF58" s="5">
        <f t="shared" si="23"/>
        <v>0.01906743129981322</v>
      </c>
      <c r="AG58" s="4">
        <f t="shared" si="31"/>
        <v>225</v>
      </c>
      <c r="AH58" s="8">
        <f t="shared" si="20"/>
        <v>10.613455339749244</v>
      </c>
      <c r="AI58" s="10">
        <f t="shared" si="32"/>
        <v>19.49559202342377</v>
      </c>
    </row>
    <row r="59" spans="1:35" ht="13.5" thickBot="1">
      <c r="A59" s="112"/>
      <c r="B59" s="115"/>
      <c r="D59">
        <f t="shared" si="33"/>
        <v>2.25</v>
      </c>
      <c r="E59" s="4">
        <f t="shared" si="24"/>
        <v>101.25</v>
      </c>
      <c r="F59" s="15">
        <f t="shared" si="34"/>
        <v>6.8</v>
      </c>
      <c r="G59" s="15">
        <f t="shared" si="25"/>
        <v>15.299999999999999</v>
      </c>
      <c r="I59" s="15">
        <f t="shared" si="35"/>
        <v>0</v>
      </c>
      <c r="J59" s="15">
        <f t="shared" si="26"/>
        <v>0</v>
      </c>
      <c r="K59" s="15"/>
      <c r="L59" s="15">
        <f t="shared" si="27"/>
        <v>6.8</v>
      </c>
      <c r="M59" s="15">
        <f t="shared" si="28"/>
        <v>15.299999999999999</v>
      </c>
      <c r="O59" s="118"/>
      <c r="Q59">
        <f t="shared" si="16"/>
        <v>5.19</v>
      </c>
      <c r="R59" s="4">
        <f t="shared" si="17"/>
        <v>72.50000000000021</v>
      </c>
      <c r="T59" s="4">
        <f t="shared" si="18"/>
        <v>17.687861271676304</v>
      </c>
      <c r="X59" s="3">
        <f t="shared" si="19"/>
        <v>0.012907426443094321</v>
      </c>
      <c r="AA59" s="1">
        <f t="shared" si="8"/>
        <v>7.826640000000014E-06</v>
      </c>
      <c r="AB59">
        <f t="shared" si="29"/>
        <v>3.8</v>
      </c>
      <c r="AC59">
        <f t="shared" si="30"/>
        <v>1</v>
      </c>
      <c r="AD59" s="8">
        <f t="shared" si="21"/>
        <v>120.83116334217664</v>
      </c>
      <c r="AE59" s="4">
        <f t="shared" si="22"/>
        <v>75722.83305372544</v>
      </c>
      <c r="AF59" s="5">
        <f t="shared" si="23"/>
        <v>0.019073472227131665</v>
      </c>
      <c r="AG59" s="4">
        <f t="shared" si="31"/>
        <v>225</v>
      </c>
      <c r="AH59" s="8">
        <f t="shared" si="20"/>
        <v>10.641338531070085</v>
      </c>
      <c r="AI59" s="10">
        <f t="shared" si="32"/>
        <v>19.49548561003846</v>
      </c>
    </row>
    <row r="60" spans="1:35" ht="12.75">
      <c r="A60" s="119" t="s">
        <v>45</v>
      </c>
      <c r="B60" s="113">
        <f>O60</f>
        <v>229.50000000000006</v>
      </c>
      <c r="D60">
        <f t="shared" si="33"/>
        <v>2.25</v>
      </c>
      <c r="E60" s="4">
        <f t="shared" si="24"/>
        <v>103.5</v>
      </c>
      <c r="F60" s="15">
        <f t="shared" si="34"/>
        <v>6.8</v>
      </c>
      <c r="G60" s="15">
        <f t="shared" si="25"/>
        <v>15.299999999999999</v>
      </c>
      <c r="I60" s="15">
        <f t="shared" si="35"/>
        <v>0</v>
      </c>
      <c r="J60" s="15">
        <f t="shared" si="26"/>
        <v>0</v>
      </c>
      <c r="K60" s="15"/>
      <c r="L60" s="15">
        <f t="shared" si="27"/>
        <v>6.8</v>
      </c>
      <c r="M60" s="15">
        <f t="shared" si="28"/>
        <v>15.299999999999999</v>
      </c>
      <c r="O60" s="116">
        <f>SUM(M60:M74)</f>
        <v>229.50000000000006</v>
      </c>
      <c r="Q60">
        <f t="shared" si="16"/>
        <v>5.19</v>
      </c>
      <c r="R60" s="4">
        <f t="shared" si="17"/>
        <v>72.66666666666688</v>
      </c>
      <c r="T60" s="4">
        <f t="shared" si="18"/>
        <v>17.687861271676304</v>
      </c>
      <c r="X60" s="3">
        <f t="shared" si="19"/>
        <v>0.012877751962594176</v>
      </c>
      <c r="AA60" s="1">
        <f t="shared" si="8"/>
        <v>7.83655066666668E-06</v>
      </c>
      <c r="AB60">
        <f t="shared" si="29"/>
        <v>3.8</v>
      </c>
      <c r="AC60">
        <f t="shared" si="30"/>
        <v>1</v>
      </c>
      <c r="AD60" s="8">
        <f t="shared" si="21"/>
        <v>121.10959718768186</v>
      </c>
      <c r="AE60" s="4">
        <f t="shared" si="22"/>
        <v>75627.068502538</v>
      </c>
      <c r="AF60" s="5">
        <f t="shared" si="23"/>
        <v>0.01907950742007188</v>
      </c>
      <c r="AG60" s="4">
        <f t="shared" si="31"/>
        <v>225</v>
      </c>
      <c r="AH60" s="8">
        <f t="shared" si="20"/>
        <v>10.669234467697187</v>
      </c>
      <c r="AI60" s="10">
        <f t="shared" si="32"/>
        <v>19.495378917693785</v>
      </c>
    </row>
    <row r="61" spans="1:35" ht="12.75">
      <c r="A61" s="120"/>
      <c r="B61" s="114"/>
      <c r="D61">
        <f t="shared" si="33"/>
        <v>2.25</v>
      </c>
      <c r="E61" s="4">
        <f t="shared" si="24"/>
        <v>105.75</v>
      </c>
      <c r="F61" s="15">
        <f t="shared" si="34"/>
        <v>6.8</v>
      </c>
      <c r="G61" s="15">
        <f t="shared" si="25"/>
        <v>15.299999999999999</v>
      </c>
      <c r="I61" s="15">
        <f t="shared" si="35"/>
        <v>0</v>
      </c>
      <c r="J61" s="15">
        <f t="shared" si="26"/>
        <v>0</v>
      </c>
      <c r="K61" s="15"/>
      <c r="L61" s="15">
        <f t="shared" si="27"/>
        <v>6.8</v>
      </c>
      <c r="M61" s="15">
        <f t="shared" si="28"/>
        <v>15.299999999999999</v>
      </c>
      <c r="O61" s="117"/>
      <c r="Q61">
        <f t="shared" si="16"/>
        <v>5.19</v>
      </c>
      <c r="R61" s="4">
        <f t="shared" si="17"/>
        <v>72.83333333333356</v>
      </c>
      <c r="T61" s="4">
        <f t="shared" si="18"/>
        <v>17.687861271676304</v>
      </c>
      <c r="X61" s="3">
        <f t="shared" si="19"/>
        <v>0.01284821310822836</v>
      </c>
      <c r="AA61" s="1">
        <f t="shared" si="8"/>
        <v>7.846461333333347E-06</v>
      </c>
      <c r="AB61">
        <f t="shared" si="29"/>
        <v>3.8</v>
      </c>
      <c r="AC61">
        <f t="shared" si="30"/>
        <v>1</v>
      </c>
      <c r="AD61" s="8">
        <f t="shared" si="21"/>
        <v>121.3880358097295</v>
      </c>
      <c r="AE61" s="4">
        <f t="shared" si="22"/>
        <v>75531.54586691092</v>
      </c>
      <c r="AF61" s="5">
        <f t="shared" si="23"/>
        <v>0.01908553689131904</v>
      </c>
      <c r="AG61" s="4">
        <f t="shared" si="31"/>
        <v>225</v>
      </c>
      <c r="AH61" s="8">
        <f t="shared" si="20"/>
        <v>10.697143136151706</v>
      </c>
      <c r="AI61" s="10">
        <f t="shared" si="32"/>
        <v>19.495271946262424</v>
      </c>
    </row>
    <row r="62" spans="1:35" ht="12.75">
      <c r="A62" s="120"/>
      <c r="B62" s="114"/>
      <c r="D62">
        <f t="shared" si="33"/>
        <v>2.25</v>
      </c>
      <c r="E62" s="4">
        <f t="shared" si="24"/>
        <v>108</v>
      </c>
      <c r="F62" s="15">
        <f t="shared" si="34"/>
        <v>6.8</v>
      </c>
      <c r="G62" s="15">
        <f t="shared" si="25"/>
        <v>15.299999999999999</v>
      </c>
      <c r="I62" s="15">
        <f t="shared" si="35"/>
        <v>0</v>
      </c>
      <c r="J62" s="15">
        <f t="shared" si="26"/>
        <v>0</v>
      </c>
      <c r="K62" s="15"/>
      <c r="L62" s="15">
        <f t="shared" si="27"/>
        <v>6.8</v>
      </c>
      <c r="M62" s="15">
        <f t="shared" si="28"/>
        <v>15.299999999999999</v>
      </c>
      <c r="O62" s="117"/>
      <c r="Q62">
        <f t="shared" si="16"/>
        <v>5.19</v>
      </c>
      <c r="R62" s="4">
        <f t="shared" si="17"/>
        <v>73.00000000000023</v>
      </c>
      <c r="T62" s="4">
        <f t="shared" si="18"/>
        <v>17.687861271676304</v>
      </c>
      <c r="X62" s="3">
        <f t="shared" si="19"/>
        <v>0.012818808950967034</v>
      </c>
      <c r="AA62" s="1">
        <f t="shared" si="8"/>
        <v>7.856372000000012E-06</v>
      </c>
      <c r="AB62">
        <f t="shared" si="29"/>
        <v>3.8</v>
      </c>
      <c r="AC62">
        <f t="shared" si="30"/>
        <v>1</v>
      </c>
      <c r="AD62" s="8">
        <f t="shared" si="21"/>
        <v>121.66647922114514</v>
      </c>
      <c r="AE62" s="4">
        <f t="shared" si="22"/>
        <v>75436.26423132837</v>
      </c>
      <c r="AF62" s="5">
        <f t="shared" si="23"/>
        <v>0.019091560653514274</v>
      </c>
      <c r="AG62" s="4">
        <f t="shared" si="31"/>
        <v>225</v>
      </c>
      <c r="AH62" s="8">
        <f t="shared" si="20"/>
        <v>10.72506452299658</v>
      </c>
      <c r="AI62" s="10">
        <f t="shared" si="32"/>
        <v>19.495164695617195</v>
      </c>
    </row>
    <row r="63" spans="1:35" ht="12.75">
      <c r="A63" s="120"/>
      <c r="B63" s="114"/>
      <c r="D63">
        <f t="shared" si="33"/>
        <v>2.25</v>
      </c>
      <c r="E63" s="4">
        <f t="shared" si="24"/>
        <v>110.25</v>
      </c>
      <c r="F63" s="15">
        <f t="shared" si="34"/>
        <v>6.8</v>
      </c>
      <c r="G63" s="15">
        <f t="shared" si="25"/>
        <v>15.299999999999999</v>
      </c>
      <c r="I63" s="15">
        <f t="shared" si="35"/>
        <v>0</v>
      </c>
      <c r="J63" s="15">
        <f t="shared" si="26"/>
        <v>0</v>
      </c>
      <c r="K63" s="15"/>
      <c r="L63" s="15">
        <f t="shared" si="27"/>
        <v>6.8</v>
      </c>
      <c r="M63" s="15">
        <f t="shared" si="28"/>
        <v>15.299999999999999</v>
      </c>
      <c r="O63" s="117"/>
      <c r="Q63">
        <f t="shared" si="16"/>
        <v>5.19</v>
      </c>
      <c r="R63" s="4">
        <f t="shared" si="17"/>
        <v>73.1666666666669</v>
      </c>
      <c r="T63" s="4">
        <f t="shared" si="18"/>
        <v>17.687861271676304</v>
      </c>
      <c r="X63" s="3">
        <f t="shared" si="19"/>
        <v>0.01278953857024541</v>
      </c>
      <c r="AA63" s="1">
        <f t="shared" si="8"/>
        <v>7.86628266666668E-06</v>
      </c>
      <c r="AB63">
        <f t="shared" si="29"/>
        <v>3.8</v>
      </c>
      <c r="AC63">
        <f t="shared" si="30"/>
        <v>1</v>
      </c>
      <c r="AD63" s="8">
        <f t="shared" si="21"/>
        <v>121.94492743476154</v>
      </c>
      <c r="AE63" s="4">
        <f t="shared" si="22"/>
        <v>75341.22268488824</v>
      </c>
      <c r="AF63" s="5">
        <f t="shared" si="23"/>
        <v>0.01909757871925491</v>
      </c>
      <c r="AG63" s="4">
        <f t="shared" si="31"/>
        <v>225</v>
      </c>
      <c r="AH63" s="8">
        <f t="shared" si="20"/>
        <v>10.752998614836406</v>
      </c>
      <c r="AI63" s="10">
        <f t="shared" si="32"/>
        <v>19.495057165631046</v>
      </c>
    </row>
    <row r="64" spans="1:35" ht="12.75">
      <c r="A64" s="120"/>
      <c r="B64" s="114"/>
      <c r="D64">
        <f t="shared" si="33"/>
        <v>2.25</v>
      </c>
      <c r="E64" s="4">
        <f t="shared" si="24"/>
        <v>112.5</v>
      </c>
      <c r="F64" s="15">
        <f t="shared" si="34"/>
        <v>6.8</v>
      </c>
      <c r="G64" s="15">
        <f t="shared" si="25"/>
        <v>15.299999999999999</v>
      </c>
      <c r="I64" s="15">
        <f t="shared" si="35"/>
        <v>0</v>
      </c>
      <c r="J64" s="15">
        <f t="shared" si="26"/>
        <v>0</v>
      </c>
      <c r="K64" s="15"/>
      <c r="L64" s="15">
        <f t="shared" si="27"/>
        <v>6.8</v>
      </c>
      <c r="M64" s="15">
        <f t="shared" si="28"/>
        <v>15.299999999999999</v>
      </c>
      <c r="O64" s="117"/>
      <c r="Q64">
        <f t="shared" si="16"/>
        <v>5.19</v>
      </c>
      <c r="R64" s="4">
        <f t="shared" si="17"/>
        <v>73.33333333333357</v>
      </c>
      <c r="T64" s="4">
        <f t="shared" si="18"/>
        <v>17.687861271676304</v>
      </c>
      <c r="X64" s="3">
        <f t="shared" si="19"/>
        <v>0.012760401053867554</v>
      </c>
      <c r="AA64" s="1">
        <f t="shared" si="8"/>
        <v>7.876193333333347E-06</v>
      </c>
      <c r="AB64">
        <f t="shared" si="29"/>
        <v>3.8</v>
      </c>
      <c r="AC64">
        <f t="shared" si="30"/>
        <v>1</v>
      </c>
      <c r="AD64" s="8">
        <f t="shared" si="21"/>
        <v>122.22338046341848</v>
      </c>
      <c r="AE64" s="4">
        <f t="shared" si="22"/>
        <v>75246.42032127318</v>
      </c>
      <c r="AF64" s="5">
        <f t="shared" si="23"/>
        <v>0.019103591101094605</v>
      </c>
      <c r="AG64" s="4">
        <f t="shared" si="31"/>
        <v>225</v>
      </c>
      <c r="AH64" s="8">
        <f t="shared" si="20"/>
        <v>10.780945398317186</v>
      </c>
      <c r="AI64" s="10">
        <f t="shared" si="32"/>
        <v>19.494949356177063</v>
      </c>
    </row>
    <row r="65" spans="1:35" ht="12.75">
      <c r="A65" s="120"/>
      <c r="B65" s="114"/>
      <c r="D65">
        <f t="shared" si="33"/>
        <v>2.25</v>
      </c>
      <c r="E65" s="4">
        <f t="shared" si="24"/>
        <v>114.75</v>
      </c>
      <c r="F65" s="15">
        <f t="shared" si="34"/>
        <v>6.8</v>
      </c>
      <c r="G65" s="15">
        <f t="shared" si="25"/>
        <v>15.299999999999999</v>
      </c>
      <c r="I65" s="15">
        <f t="shared" si="35"/>
        <v>0</v>
      </c>
      <c r="J65" s="15">
        <f t="shared" si="26"/>
        <v>0</v>
      </c>
      <c r="K65" s="15"/>
      <c r="L65" s="15">
        <f t="shared" si="27"/>
        <v>6.8</v>
      </c>
      <c r="M65" s="15">
        <f t="shared" si="28"/>
        <v>15.299999999999999</v>
      </c>
      <c r="O65" s="117"/>
      <c r="Q65">
        <f t="shared" si="16"/>
        <v>5.19</v>
      </c>
      <c r="R65" s="4">
        <f t="shared" si="17"/>
        <v>73.50000000000024</v>
      </c>
      <c r="T65" s="4">
        <f t="shared" si="18"/>
        <v>17.687861271676304</v>
      </c>
      <c r="X65" s="3">
        <f t="shared" si="19"/>
        <v>0.012731395497911508</v>
      </c>
      <c r="AA65" s="1">
        <f t="shared" si="8"/>
        <v>7.886104000000013E-06</v>
      </c>
      <c r="AB65">
        <f t="shared" si="29"/>
        <v>3.8</v>
      </c>
      <c r="AC65">
        <f t="shared" si="30"/>
        <v>1</v>
      </c>
      <c r="AD65" s="8">
        <f t="shared" si="21"/>
        <v>122.50183831996297</v>
      </c>
      <c r="AE65" s="4">
        <f t="shared" si="22"/>
        <v>75151.8562387219</v>
      </c>
      <c r="AF65" s="5">
        <f t="shared" si="23"/>
        <v>0.019109597811543637</v>
      </c>
      <c r="AG65" s="4">
        <f t="shared" si="31"/>
        <v>225</v>
      </c>
      <c r="AH65" s="8">
        <f t="shared" si="20"/>
        <v>10.808904860126278</v>
      </c>
      <c r="AI65" s="10">
        <f t="shared" si="32"/>
        <v>19.49484126712846</v>
      </c>
    </row>
    <row r="66" spans="1:35" ht="12.75">
      <c r="A66" s="120"/>
      <c r="B66" s="114"/>
      <c r="D66">
        <f t="shared" si="33"/>
        <v>2.25</v>
      </c>
      <c r="E66" s="4">
        <f t="shared" si="24"/>
        <v>117</v>
      </c>
      <c r="F66" s="15">
        <f t="shared" si="34"/>
        <v>6.8</v>
      </c>
      <c r="G66" s="15">
        <f t="shared" si="25"/>
        <v>15.299999999999999</v>
      </c>
      <c r="I66" s="15">
        <f t="shared" si="35"/>
        <v>0</v>
      </c>
      <c r="J66" s="15">
        <f t="shared" si="26"/>
        <v>0</v>
      </c>
      <c r="K66" s="15"/>
      <c r="L66" s="15">
        <f t="shared" si="27"/>
        <v>6.8</v>
      </c>
      <c r="M66" s="15">
        <f t="shared" si="28"/>
        <v>15.299999999999999</v>
      </c>
      <c r="O66" s="117"/>
      <c r="Q66">
        <f t="shared" si="16"/>
        <v>5.19</v>
      </c>
      <c r="R66" s="4">
        <f t="shared" si="17"/>
        <v>73.66666666666691</v>
      </c>
      <c r="T66" s="4">
        <f t="shared" si="18"/>
        <v>17.687861271676304</v>
      </c>
      <c r="X66" s="3">
        <f t="shared" si="19"/>
        <v>0.012702521006635697</v>
      </c>
      <c r="AA66" s="1">
        <f t="shared" si="8"/>
        <v>7.896014666666682E-06</v>
      </c>
      <c r="AB66">
        <f t="shared" si="29"/>
        <v>3.8</v>
      </c>
      <c r="AC66">
        <f t="shared" si="30"/>
        <v>1</v>
      </c>
      <c r="AD66" s="8">
        <f t="shared" si="21"/>
        <v>122.78030101724903</v>
      </c>
      <c r="AE66" s="4">
        <f t="shared" si="22"/>
        <v>75057.5295400004</v>
      </c>
      <c r="AF66" s="5">
        <f t="shared" si="23"/>
        <v>0.01911559886306904</v>
      </c>
      <c r="AG66" s="4">
        <f t="shared" si="31"/>
        <v>225</v>
      </c>
      <c r="AH66" s="8">
        <f t="shared" si="20"/>
        <v>10.836876986992134</v>
      </c>
      <c r="AI66" s="10">
        <f t="shared" si="32"/>
        <v>19.494732898358592</v>
      </c>
    </row>
    <row r="67" spans="1:35" ht="12.75">
      <c r="A67" s="120"/>
      <c r="B67" s="114"/>
      <c r="D67">
        <f t="shared" si="33"/>
        <v>2.25</v>
      </c>
      <c r="E67" s="4">
        <f t="shared" si="24"/>
        <v>119.25</v>
      </c>
      <c r="F67" s="15">
        <f t="shared" si="34"/>
        <v>6.8</v>
      </c>
      <c r="G67" s="15">
        <f t="shared" si="25"/>
        <v>15.299999999999999</v>
      </c>
      <c r="I67" s="15">
        <f t="shared" si="35"/>
        <v>0</v>
      </c>
      <c r="J67" s="15">
        <f t="shared" si="26"/>
        <v>0</v>
      </c>
      <c r="K67" s="15"/>
      <c r="L67" s="15">
        <f t="shared" si="27"/>
        <v>6.8</v>
      </c>
      <c r="M67" s="15">
        <f t="shared" si="28"/>
        <v>15.299999999999999</v>
      </c>
      <c r="O67" s="117"/>
      <c r="Q67">
        <f t="shared" si="16"/>
        <v>5.19</v>
      </c>
      <c r="R67" s="4">
        <f t="shared" si="17"/>
        <v>73.83333333333358</v>
      </c>
      <c r="T67" s="4">
        <f t="shared" si="18"/>
        <v>17.687861271676304</v>
      </c>
      <c r="X67" s="3">
        <f t="shared" si="19"/>
        <v>0.012673776692386582</v>
      </c>
      <c r="AA67" s="1">
        <f t="shared" si="8"/>
        <v>7.905925333333348E-06</v>
      </c>
      <c r="AB67">
        <f t="shared" si="29"/>
        <v>3.8</v>
      </c>
      <c r="AC67">
        <f t="shared" si="30"/>
        <v>1</v>
      </c>
      <c r="AD67" s="8">
        <f t="shared" si="21"/>
        <v>123.05876856813786</v>
      </c>
      <c r="AE67" s="4">
        <f t="shared" si="22"/>
        <v>74963.4393323737</v>
      </c>
      <c r="AF67" s="5">
        <f t="shared" si="23"/>
        <v>0.01912159426809486</v>
      </c>
      <c r="AG67" s="4">
        <f t="shared" si="31"/>
        <v>225</v>
      </c>
      <c r="AH67" s="8">
        <f t="shared" si="20"/>
        <v>10.864861765684202</v>
      </c>
      <c r="AI67" s="10">
        <f t="shared" si="32"/>
        <v>19.494624249740934</v>
      </c>
    </row>
    <row r="68" spans="1:35" ht="12.75">
      <c r="A68" s="120"/>
      <c r="B68" s="114"/>
      <c r="D68">
        <f t="shared" si="33"/>
        <v>2.25</v>
      </c>
      <c r="E68" s="4">
        <f t="shared" si="24"/>
        <v>121.5</v>
      </c>
      <c r="F68" s="15">
        <f t="shared" si="34"/>
        <v>6.8</v>
      </c>
      <c r="G68" s="15">
        <f t="shared" si="25"/>
        <v>15.299999999999999</v>
      </c>
      <c r="I68" s="15">
        <f t="shared" si="35"/>
        <v>0</v>
      </c>
      <c r="J68" s="15">
        <f t="shared" si="26"/>
        <v>0</v>
      </c>
      <c r="K68" s="15"/>
      <c r="L68" s="15">
        <f t="shared" si="27"/>
        <v>6.8</v>
      </c>
      <c r="M68" s="15">
        <f t="shared" si="28"/>
        <v>15.299999999999999</v>
      </c>
      <c r="O68" s="117"/>
      <c r="Q68">
        <f t="shared" si="16"/>
        <v>5.19</v>
      </c>
      <c r="R68" s="4">
        <f t="shared" si="17"/>
        <v>74.00000000000026</v>
      </c>
      <c r="T68" s="4">
        <f t="shared" si="18"/>
        <v>17.687861271676304</v>
      </c>
      <c r="X68" s="3">
        <f t="shared" si="19"/>
        <v>0.01264516167550759</v>
      </c>
      <c r="AA68" s="1">
        <f t="shared" si="8"/>
        <v>7.915836000000015E-06</v>
      </c>
      <c r="AB68">
        <f t="shared" si="29"/>
        <v>3.8</v>
      </c>
      <c r="AC68">
        <f t="shared" si="30"/>
        <v>1</v>
      </c>
      <c r="AD68" s="8">
        <f t="shared" si="21"/>
        <v>123.33724098549774</v>
      </c>
      <c r="AE68" s="4">
        <f t="shared" si="22"/>
        <v>74869.58472757769</v>
      </c>
      <c r="AF68" s="5">
        <f t="shared" si="23"/>
        <v>0.019127584039002308</v>
      </c>
      <c r="AG68" s="4">
        <f t="shared" si="31"/>
        <v>225</v>
      </c>
      <c r="AH68" s="8">
        <f t="shared" si="20"/>
        <v>10.892859183012716</v>
      </c>
      <c r="AI68" s="10">
        <f t="shared" si="32"/>
        <v>19.494515321149102</v>
      </c>
    </row>
    <row r="69" spans="1:35" ht="12.75">
      <c r="A69" s="120"/>
      <c r="B69" s="114"/>
      <c r="D69">
        <f t="shared" si="33"/>
        <v>2.25</v>
      </c>
      <c r="E69" s="4">
        <f t="shared" si="24"/>
        <v>123.75</v>
      </c>
      <c r="F69" s="15">
        <f t="shared" si="34"/>
        <v>6.8</v>
      </c>
      <c r="G69" s="15">
        <f t="shared" si="25"/>
        <v>15.299999999999999</v>
      </c>
      <c r="I69" s="15">
        <f t="shared" si="35"/>
        <v>0</v>
      </c>
      <c r="J69" s="15">
        <f t="shared" si="26"/>
        <v>0</v>
      </c>
      <c r="K69" s="15"/>
      <c r="L69" s="15">
        <f t="shared" si="27"/>
        <v>6.8</v>
      </c>
      <c r="M69" s="15">
        <f t="shared" si="28"/>
        <v>15.299999999999999</v>
      </c>
      <c r="O69" s="117"/>
      <c r="Q69">
        <f t="shared" si="16"/>
        <v>5.19</v>
      </c>
      <c r="R69" s="4">
        <f t="shared" si="17"/>
        <v>74.16666666666693</v>
      </c>
      <c r="T69" s="4">
        <f t="shared" si="18"/>
        <v>17.687861271676304</v>
      </c>
      <c r="X69" s="3">
        <f t="shared" si="19"/>
        <v>0.012616675084249263</v>
      </c>
      <c r="AA69" s="1">
        <f t="shared" si="8"/>
        <v>7.925746666666683E-06</v>
      </c>
      <c r="AB69">
        <f t="shared" si="29"/>
        <v>3.8</v>
      </c>
      <c r="AC69">
        <f t="shared" si="30"/>
        <v>1</v>
      </c>
      <c r="AD69" s="8">
        <f t="shared" si="21"/>
        <v>123.61571828220407</v>
      </c>
      <c r="AE69" s="4">
        <f t="shared" si="22"/>
        <v>74775.9648417911</v>
      </c>
      <c r="AF69" s="5">
        <f t="shared" si="23"/>
        <v>0.019133568188130008</v>
      </c>
      <c r="AG69" s="4">
        <f t="shared" si="31"/>
        <v>225</v>
      </c>
      <c r="AH69" s="8">
        <f t="shared" si="20"/>
        <v>10.920869225828593</v>
      </c>
      <c r="AI69" s="10">
        <f t="shared" si="32"/>
        <v>19.494406112456844</v>
      </c>
    </row>
    <row r="70" spans="1:35" ht="12.75">
      <c r="A70" s="120"/>
      <c r="B70" s="114"/>
      <c r="D70">
        <f t="shared" si="33"/>
        <v>2.25</v>
      </c>
      <c r="E70" s="4">
        <f t="shared" si="24"/>
        <v>126</v>
      </c>
      <c r="F70" s="15">
        <f t="shared" si="34"/>
        <v>6.8</v>
      </c>
      <c r="G70" s="15">
        <f t="shared" si="25"/>
        <v>15.299999999999999</v>
      </c>
      <c r="I70" s="15">
        <f t="shared" si="35"/>
        <v>0</v>
      </c>
      <c r="J70" s="15">
        <f t="shared" si="26"/>
        <v>0</v>
      </c>
      <c r="K70" s="15"/>
      <c r="L70" s="15">
        <f t="shared" si="27"/>
        <v>6.8</v>
      </c>
      <c r="M70" s="15">
        <f t="shared" si="28"/>
        <v>15.299999999999999</v>
      </c>
      <c r="O70" s="117"/>
      <c r="Q70">
        <f t="shared" si="16"/>
        <v>5.19</v>
      </c>
      <c r="R70" s="4">
        <f t="shared" si="17"/>
        <v>74.3333333333336</v>
      </c>
      <c r="T70" s="4">
        <f t="shared" si="18"/>
        <v>17.687861271676304</v>
      </c>
      <c r="X70" s="3">
        <f t="shared" si="19"/>
        <v>0.01258831605468061</v>
      </c>
      <c r="AA70" s="1">
        <f t="shared" si="8"/>
        <v>7.935657333333348E-06</v>
      </c>
      <c r="AB70">
        <f t="shared" si="29"/>
        <v>3.8</v>
      </c>
      <c r="AC70">
        <f t="shared" si="30"/>
        <v>1</v>
      </c>
      <c r="AD70" s="8">
        <f t="shared" si="21"/>
        <v>123.89420047113926</v>
      </c>
      <c r="AE70" s="4">
        <f t="shared" si="22"/>
        <v>74682.57879560781</v>
      </c>
      <c r="AF70" s="5">
        <f t="shared" si="23"/>
        <v>0.019139546727774168</v>
      </c>
      <c r="AG70" s="4">
        <f t="shared" si="31"/>
        <v>225</v>
      </c>
      <c r="AH70" s="8">
        <f t="shared" si="20"/>
        <v>10.948891881023203</v>
      </c>
      <c r="AI70" s="10">
        <f t="shared" si="32"/>
        <v>19.494296623538034</v>
      </c>
    </row>
    <row r="71" spans="1:35" ht="12.75">
      <c r="A71" s="120"/>
      <c r="B71" s="114"/>
      <c r="D71">
        <f t="shared" si="33"/>
        <v>2.25</v>
      </c>
      <c r="E71" s="4">
        <f t="shared" si="24"/>
        <v>128.25</v>
      </c>
      <c r="F71" s="15">
        <f t="shared" si="34"/>
        <v>6.8</v>
      </c>
      <c r="G71" s="15">
        <f t="shared" si="25"/>
        <v>15.299999999999999</v>
      </c>
      <c r="I71" s="15">
        <f t="shared" si="35"/>
        <v>0</v>
      </c>
      <c r="J71" s="15">
        <f t="shared" si="26"/>
        <v>0</v>
      </c>
      <c r="K71" s="15"/>
      <c r="L71" s="15">
        <f t="shared" si="27"/>
        <v>6.8</v>
      </c>
      <c r="M71" s="15">
        <f t="shared" si="28"/>
        <v>15.299999999999999</v>
      </c>
      <c r="O71" s="117"/>
      <c r="Q71">
        <f t="shared" si="16"/>
        <v>5.19</v>
      </c>
      <c r="R71" s="4">
        <f t="shared" si="17"/>
        <v>74.50000000000027</v>
      </c>
      <c r="T71" s="4">
        <f t="shared" si="18"/>
        <v>17.687861271676304</v>
      </c>
      <c r="X71" s="3">
        <f t="shared" si="19"/>
        <v>0.012560083730601641</v>
      </c>
      <c r="AA71" s="1">
        <f t="shared" si="8"/>
        <v>7.945568000000015E-06</v>
      </c>
      <c r="AB71">
        <f t="shared" si="29"/>
        <v>3.8</v>
      </c>
      <c r="AC71">
        <f t="shared" si="30"/>
        <v>1</v>
      </c>
      <c r="AD71" s="8">
        <f t="shared" si="21"/>
        <v>124.1726875651929</v>
      </c>
      <c r="AE71" s="4">
        <f t="shared" si="22"/>
        <v>74589.42571400933</v>
      </c>
      <c r="AF71" s="5">
        <f t="shared" si="23"/>
        <v>0.019145519670188776</v>
      </c>
      <c r="AG71" s="4">
        <f t="shared" si="31"/>
        <v>225</v>
      </c>
      <c r="AH71" s="8">
        <f t="shared" si="20"/>
        <v>10.976927135528276</v>
      </c>
      <c r="AI71" s="10">
        <f t="shared" si="32"/>
        <v>19.49418685426668</v>
      </c>
    </row>
    <row r="72" spans="1:35" ht="12.75">
      <c r="A72" s="120"/>
      <c r="B72" s="114"/>
      <c r="D72">
        <f t="shared" si="33"/>
        <v>2.25</v>
      </c>
      <c r="E72" s="4">
        <f t="shared" si="24"/>
        <v>130.5</v>
      </c>
      <c r="F72" s="15">
        <f t="shared" si="34"/>
        <v>6.8</v>
      </c>
      <c r="G72" s="15">
        <f t="shared" si="25"/>
        <v>15.299999999999999</v>
      </c>
      <c r="I72" s="15">
        <f t="shared" si="35"/>
        <v>0</v>
      </c>
      <c r="J72" s="15">
        <f t="shared" si="26"/>
        <v>0</v>
      </c>
      <c r="K72" s="15"/>
      <c r="L72" s="15">
        <f t="shared" si="27"/>
        <v>6.8</v>
      </c>
      <c r="M72" s="15">
        <f t="shared" si="28"/>
        <v>15.299999999999999</v>
      </c>
      <c r="O72" s="117"/>
      <c r="Q72">
        <f t="shared" si="16"/>
        <v>5.19</v>
      </c>
      <c r="R72" s="4">
        <f t="shared" si="17"/>
        <v>74.66666666666694</v>
      </c>
      <c r="T72" s="4">
        <f t="shared" si="18"/>
        <v>17.687861271676304</v>
      </c>
      <c r="X72" s="3">
        <f t="shared" si="19"/>
        <v>0.012531977263457105</v>
      </c>
      <c r="AA72" s="1">
        <f t="shared" si="8"/>
        <v>7.955478666666683E-06</v>
      </c>
      <c r="AB72">
        <f t="shared" si="29"/>
        <v>3.8</v>
      </c>
      <c r="AC72">
        <f t="shared" si="30"/>
        <v>1</v>
      </c>
      <c r="AD72" s="8">
        <f t="shared" si="21"/>
        <v>124.45117957726167</v>
      </c>
      <c r="AE72" s="4">
        <f t="shared" si="22"/>
        <v>74496.5047263374</v>
      </c>
      <c r="AF72" s="5">
        <f t="shared" si="23"/>
        <v>0.019151487027585824</v>
      </c>
      <c r="AG72" s="4">
        <f t="shared" si="31"/>
        <v>225</v>
      </c>
      <c r="AH72" s="8">
        <f t="shared" si="20"/>
        <v>11.004974976315712</v>
      </c>
      <c r="AI72" s="10">
        <f t="shared" si="32"/>
        <v>19.494076804516915</v>
      </c>
    </row>
    <row r="73" spans="1:35" ht="12.75">
      <c r="A73" s="120"/>
      <c r="B73" s="114"/>
      <c r="D73">
        <f t="shared" si="33"/>
        <v>2.25</v>
      </c>
      <c r="E73" s="4">
        <f t="shared" si="24"/>
        <v>132.75</v>
      </c>
      <c r="F73" s="15">
        <f t="shared" si="34"/>
        <v>6.8</v>
      </c>
      <c r="G73" s="15">
        <f t="shared" si="25"/>
        <v>15.299999999999999</v>
      </c>
      <c r="I73" s="15">
        <f t="shared" si="35"/>
        <v>0</v>
      </c>
      <c r="J73" s="15">
        <f t="shared" si="26"/>
        <v>0</v>
      </c>
      <c r="K73" s="15"/>
      <c r="L73" s="15">
        <f t="shared" si="27"/>
        <v>6.8</v>
      </c>
      <c r="M73" s="15">
        <f t="shared" si="28"/>
        <v>15.299999999999999</v>
      </c>
      <c r="O73" s="117"/>
      <c r="Q73">
        <f t="shared" si="16"/>
        <v>5.19</v>
      </c>
      <c r="R73" s="4">
        <f t="shared" si="17"/>
        <v>74.83333333333361</v>
      </c>
      <c r="T73" s="4">
        <f t="shared" si="18"/>
        <v>17.687861271676304</v>
      </c>
      <c r="X73" s="3">
        <f t="shared" si="19"/>
        <v>0.012503995812251336</v>
      </c>
      <c r="AA73" s="1">
        <f t="shared" si="8"/>
        <v>7.96538933333335E-06</v>
      </c>
      <c r="AB73">
        <f t="shared" si="29"/>
        <v>3.8</v>
      </c>
      <c r="AC73">
        <f t="shared" si="30"/>
        <v>1</v>
      </c>
      <c r="AD73" s="8">
        <f t="shared" si="21"/>
        <v>124.72967652024924</v>
      </c>
      <c r="AE73" s="4">
        <f t="shared" si="22"/>
        <v>74403.81496626693</v>
      </c>
      <c r="AF73" s="5">
        <f t="shared" si="23"/>
        <v>0.01915744881213547</v>
      </c>
      <c r="AG73" s="4">
        <f t="shared" si="31"/>
        <v>225</v>
      </c>
      <c r="AH73" s="8">
        <f t="shared" si="20"/>
        <v>11.033035390397401</v>
      </c>
      <c r="AI73" s="10">
        <f t="shared" si="32"/>
        <v>19.49396647416301</v>
      </c>
    </row>
    <row r="74" spans="1:35" ht="13.5" thickBot="1">
      <c r="A74" s="100"/>
      <c r="B74" s="115"/>
      <c r="D74">
        <f t="shared" si="33"/>
        <v>2.25</v>
      </c>
      <c r="E74" s="4">
        <f t="shared" si="24"/>
        <v>135</v>
      </c>
      <c r="F74" s="15">
        <f t="shared" si="34"/>
        <v>6.8</v>
      </c>
      <c r="G74" s="15">
        <f t="shared" si="25"/>
        <v>15.299999999999999</v>
      </c>
      <c r="I74" s="15">
        <f t="shared" si="35"/>
        <v>0</v>
      </c>
      <c r="J74" s="15">
        <f t="shared" si="26"/>
        <v>0</v>
      </c>
      <c r="K74" s="15"/>
      <c r="L74" s="15">
        <f t="shared" si="27"/>
        <v>6.8</v>
      </c>
      <c r="M74" s="15">
        <f t="shared" si="28"/>
        <v>15.299999999999999</v>
      </c>
      <c r="O74" s="118"/>
      <c r="Q74">
        <f t="shared" si="16"/>
        <v>5.19</v>
      </c>
      <c r="R74" s="4">
        <f t="shared" si="17"/>
        <v>75.00000000000028</v>
      </c>
      <c r="T74" s="4">
        <f t="shared" si="18"/>
        <v>17.687861271676304</v>
      </c>
      <c r="X74" s="3">
        <f t="shared" si="19"/>
        <v>0.01247613854346428</v>
      </c>
      <c r="AA74" s="1">
        <f t="shared" si="8"/>
        <v>7.975300000000017E-06</v>
      </c>
      <c r="AB74">
        <f t="shared" si="29"/>
        <v>3.8</v>
      </c>
      <c r="AC74">
        <f t="shared" si="30"/>
        <v>1</v>
      </c>
      <c r="AD74" s="8">
        <f t="shared" si="21"/>
        <v>125.00817840706641</v>
      </c>
      <c r="AE74" s="4">
        <f t="shared" si="22"/>
        <v>74311.35557177907</v>
      </c>
      <c r="AF74" s="5">
        <f t="shared" si="23"/>
        <v>0.01916340503596626</v>
      </c>
      <c r="AG74" s="4">
        <f t="shared" si="31"/>
        <v>225</v>
      </c>
      <c r="AH74" s="8">
        <f t="shared" si="20"/>
        <v>11.06110836482513</v>
      </c>
      <c r="AI74" s="10">
        <f t="shared" si="32"/>
        <v>19.49385586307936</v>
      </c>
    </row>
    <row r="75" spans="1:35" ht="13.5" thickBot="1">
      <c r="A75" s="20" t="s">
        <v>46</v>
      </c>
      <c r="AB75" t="s">
        <v>40</v>
      </c>
      <c r="AH75" s="3">
        <f>0.1*(X74*AD74^2)/2</f>
        <v>9.74825871555095</v>
      </c>
      <c r="AI75" s="10">
        <f t="shared" si="32"/>
        <v>19.493758380492206</v>
      </c>
    </row>
    <row r="77" spans="1:34" ht="12.75">
      <c r="A77" t="s">
        <v>53</v>
      </c>
      <c r="B77" s="15">
        <f>B60+B45+B30+B15</f>
        <v>918.0000000000002</v>
      </c>
      <c r="C77" t="s">
        <v>35</v>
      </c>
      <c r="N77" t="s">
        <v>39</v>
      </c>
      <c r="O77" s="15">
        <f>O60+O45+O30+O15</f>
        <v>918.0000000000002</v>
      </c>
      <c r="P77" t="s">
        <v>35</v>
      </c>
      <c r="AG77" s="6" t="s">
        <v>66</v>
      </c>
      <c r="AH77" s="11">
        <f>SUM(AH15:AH75)</f>
        <v>624.161950780241</v>
      </c>
    </row>
    <row r="78" spans="33:34" ht="12.75">
      <c r="AG78" s="25" t="s">
        <v>67</v>
      </c>
      <c r="AH78" s="67">
        <f>AH77/100000</f>
        <v>0.00624161950780241</v>
      </c>
    </row>
    <row r="79" spans="33:34" ht="12.75">
      <c r="AG79" s="6"/>
      <c r="AH79" s="11"/>
    </row>
    <row r="80" spans="29:36" ht="12.75">
      <c r="AC80" s="12"/>
      <c r="AD80" s="12"/>
      <c r="AE80" s="12"/>
      <c r="AF80" s="12"/>
      <c r="AG80" s="23"/>
      <c r="AH80" s="12"/>
      <c r="AI80" s="23"/>
      <c r="AJ80" s="24"/>
    </row>
  </sheetData>
  <mergeCells count="12">
    <mergeCell ref="O45:O59"/>
    <mergeCell ref="B60:B74"/>
    <mergeCell ref="A60:A74"/>
    <mergeCell ref="O60:O74"/>
    <mergeCell ref="A45:A59"/>
    <mergeCell ref="B45:B59"/>
    <mergeCell ref="B30:B44"/>
    <mergeCell ref="A30:A44"/>
    <mergeCell ref="O30:O44"/>
    <mergeCell ref="A15:A29"/>
    <mergeCell ref="B15:B29"/>
    <mergeCell ref="O15:O29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J78"/>
  <sheetViews>
    <sheetView zoomScale="75" zoomScaleNormal="75" workbookViewId="0" topLeftCell="A1">
      <selection activeCell="I6" sqref="I6"/>
    </sheetView>
  </sheetViews>
  <sheetFormatPr defaultColWidth="9.00390625" defaultRowHeight="12.75"/>
  <cols>
    <col min="1" max="1" width="18.00390625" style="0" bestFit="1" customWidth="1"/>
    <col min="2" max="3" width="9.625" style="0" customWidth="1"/>
    <col min="4" max="4" width="6.00390625" style="0" customWidth="1"/>
    <col min="5" max="5" width="9.75390625" style="0" customWidth="1"/>
    <col min="6" max="6" width="11.25390625" style="0" customWidth="1"/>
    <col min="7" max="7" width="12.375" style="0" customWidth="1"/>
    <col min="10" max="12" width="11.125" style="0" customWidth="1"/>
    <col min="13" max="13" width="10.00390625" style="0" customWidth="1"/>
    <col min="14" max="14" width="17.625" style="0" bestFit="1" customWidth="1"/>
    <col min="15" max="15" width="9.625" style="0" bestFit="1" customWidth="1"/>
    <col min="16" max="16" width="14.625" style="0" customWidth="1"/>
    <col min="18" max="18" width="9.875" style="0" customWidth="1"/>
    <col min="19" max="19" width="9.375" style="0" customWidth="1"/>
    <col min="21" max="21" width="6.125" style="0" customWidth="1"/>
    <col min="22" max="24" width="11.375" style="0" customWidth="1"/>
    <col min="25" max="27" width="13.125" style="0" customWidth="1"/>
    <col min="28" max="28" width="12.875" style="0" customWidth="1"/>
    <col min="29" max="29" width="10.875" style="0" customWidth="1"/>
    <col min="30" max="30" width="12.25390625" style="0" customWidth="1"/>
    <col min="31" max="31" width="13.875" style="0" customWidth="1"/>
    <col min="32" max="32" width="12.125" style="0" customWidth="1"/>
    <col min="33" max="33" width="9.625" style="0" customWidth="1"/>
    <col min="34" max="34" width="13.25390625" style="0" bestFit="1" customWidth="1"/>
    <col min="35" max="35" width="6.375" style="0" customWidth="1"/>
    <col min="36" max="36" width="11.375" style="5" customWidth="1"/>
    <col min="37" max="16384" width="11.375" style="0" customWidth="1"/>
  </cols>
  <sheetData>
    <row r="3" spans="4:32" ht="18">
      <c r="D3" t="s">
        <v>68</v>
      </c>
      <c r="P3" s="14" t="s">
        <v>57</v>
      </c>
      <c r="AF3" t="s">
        <v>0</v>
      </c>
    </row>
    <row r="4" spans="4:32" ht="18">
      <c r="D4" t="s">
        <v>69</v>
      </c>
      <c r="J4" s="21">
        <v>5</v>
      </c>
      <c r="K4" s="3" t="s">
        <v>70</v>
      </c>
      <c r="P4" s="14" t="s">
        <v>41</v>
      </c>
      <c r="AF4" s="13">
        <v>36888</v>
      </c>
    </row>
    <row r="6" spans="6:32" ht="12.75">
      <c r="F6" t="s">
        <v>59</v>
      </c>
      <c r="H6" t="s">
        <v>60</v>
      </c>
      <c r="I6" s="17">
        <v>40</v>
      </c>
      <c r="J6" t="s">
        <v>28</v>
      </c>
      <c r="L6" s="3"/>
      <c r="O6" s="22"/>
      <c r="P6" s="22"/>
      <c r="Q6" s="22"/>
      <c r="R6" s="22" t="s">
        <v>78</v>
      </c>
      <c r="S6" s="22"/>
      <c r="T6" s="22"/>
      <c r="U6" s="22"/>
      <c r="V6" s="22"/>
      <c r="W6" s="22"/>
      <c r="X6" s="22"/>
      <c r="AF6" t="s">
        <v>117</v>
      </c>
    </row>
    <row r="7" spans="2:32" ht="12.75">
      <c r="B7" t="s">
        <v>64</v>
      </c>
      <c r="F7" t="s">
        <v>84</v>
      </c>
      <c r="H7" t="s">
        <v>85</v>
      </c>
      <c r="I7" s="17">
        <v>21.35</v>
      </c>
      <c r="J7" t="s">
        <v>86</v>
      </c>
      <c r="AF7" t="s">
        <v>58</v>
      </c>
    </row>
    <row r="8" spans="2:35" ht="12.75">
      <c r="B8" t="s">
        <v>65</v>
      </c>
      <c r="F8" t="s">
        <v>61</v>
      </c>
      <c r="H8" t="s">
        <v>62</v>
      </c>
      <c r="I8" s="21">
        <v>20000</v>
      </c>
      <c r="J8" t="s">
        <v>63</v>
      </c>
      <c r="O8" t="s">
        <v>30</v>
      </c>
      <c r="P8" s="16" t="s">
        <v>49</v>
      </c>
      <c r="X8" s="16" t="s">
        <v>74</v>
      </c>
      <c r="Y8" s="16"/>
      <c r="Z8" s="16"/>
      <c r="AA8" s="16"/>
      <c r="AC8" s="16" t="s">
        <v>54</v>
      </c>
      <c r="AD8" s="19" t="s">
        <v>79</v>
      </c>
      <c r="AF8" t="s">
        <v>118</v>
      </c>
      <c r="AH8" s="5"/>
      <c r="AI8" s="5"/>
    </row>
    <row r="9" spans="2:36" s="2" customFormat="1" ht="12.75">
      <c r="B9" t="s">
        <v>29</v>
      </c>
      <c r="C9"/>
      <c r="D9" s="2" t="s">
        <v>24</v>
      </c>
      <c r="H9"/>
      <c r="I9"/>
      <c r="J9"/>
      <c r="K9"/>
      <c r="M9" t="s">
        <v>30</v>
      </c>
      <c r="N9"/>
      <c r="O9" t="s">
        <v>38</v>
      </c>
      <c r="P9" s="2" t="s">
        <v>52</v>
      </c>
      <c r="Q9" s="2" t="s">
        <v>1</v>
      </c>
      <c r="R9" s="2" t="s">
        <v>2</v>
      </c>
      <c r="S9" s="2" t="s">
        <v>3</v>
      </c>
      <c r="T9" s="2" t="s">
        <v>4</v>
      </c>
      <c r="V9" s="2" t="s">
        <v>5</v>
      </c>
      <c r="W9" s="2" t="s">
        <v>75</v>
      </c>
      <c r="X9" s="16" t="s">
        <v>73</v>
      </c>
      <c r="Y9" s="2" t="s">
        <v>6</v>
      </c>
      <c r="Z9" s="2" t="s">
        <v>76</v>
      </c>
      <c r="AA9" s="2" t="s">
        <v>77</v>
      </c>
      <c r="AB9" s="2" t="s">
        <v>7</v>
      </c>
      <c r="AC9" s="16" t="s">
        <v>55</v>
      </c>
      <c r="AD9" s="19" t="s">
        <v>80</v>
      </c>
      <c r="AE9" s="2" t="s">
        <v>8</v>
      </c>
      <c r="AF9" s="2" t="s">
        <v>9</v>
      </c>
      <c r="AG9" s="2" t="s">
        <v>10</v>
      </c>
      <c r="AH9" s="7" t="s">
        <v>11</v>
      </c>
      <c r="AI9" s="7" t="s">
        <v>71</v>
      </c>
      <c r="AJ9" s="7"/>
    </row>
    <row r="10" spans="2:36" s="2" customFormat="1" ht="12.75">
      <c r="B10" s="2" t="s">
        <v>51</v>
      </c>
      <c r="C10"/>
      <c r="D10" s="2" t="s">
        <v>25</v>
      </c>
      <c r="E10"/>
      <c r="F10" s="2" t="s">
        <v>48</v>
      </c>
      <c r="G10" s="16" t="s">
        <v>48</v>
      </c>
      <c r="I10" s="2" t="s">
        <v>34</v>
      </c>
      <c r="J10" s="2" t="s">
        <v>36</v>
      </c>
      <c r="K10"/>
      <c r="L10" t="s">
        <v>30</v>
      </c>
      <c r="M10" t="s">
        <v>31</v>
      </c>
      <c r="N10"/>
      <c r="O10" t="s">
        <v>50</v>
      </c>
      <c r="P10" s="2" t="s">
        <v>13</v>
      </c>
      <c r="Q10" s="2" t="s">
        <v>12</v>
      </c>
      <c r="R10" s="2" t="s">
        <v>14</v>
      </c>
      <c r="S10" s="2" t="s">
        <v>14</v>
      </c>
      <c r="T10" s="2" t="s">
        <v>15</v>
      </c>
      <c r="V10" s="2" t="s">
        <v>16</v>
      </c>
      <c r="W10" s="2" t="s">
        <v>16</v>
      </c>
      <c r="X10" s="2" t="s">
        <v>16</v>
      </c>
      <c r="Y10" s="2" t="s">
        <v>17</v>
      </c>
      <c r="Z10" s="2" t="s">
        <v>17</v>
      </c>
      <c r="AA10" s="2" t="s">
        <v>17</v>
      </c>
      <c r="AB10" s="2" t="s">
        <v>18</v>
      </c>
      <c r="AC10" s="16" t="s">
        <v>56</v>
      </c>
      <c r="AD10" s="7" t="s">
        <v>19</v>
      </c>
      <c r="AG10" s="2" t="s">
        <v>18</v>
      </c>
      <c r="AH10" s="7" t="s">
        <v>20</v>
      </c>
      <c r="AI10" s="7" t="s">
        <v>72</v>
      </c>
      <c r="AJ10" s="7"/>
    </row>
    <row r="11" spans="3:36" s="2" customFormat="1" ht="13.5" thickBot="1">
      <c r="C11"/>
      <c r="D11" t="s">
        <v>26</v>
      </c>
      <c r="E11" s="2" t="s">
        <v>23</v>
      </c>
      <c r="F11" s="2" t="s">
        <v>33</v>
      </c>
      <c r="G11" s="16" t="s">
        <v>32</v>
      </c>
      <c r="I11" s="2" t="s">
        <v>33</v>
      </c>
      <c r="J11" s="2" t="s">
        <v>37</v>
      </c>
      <c r="K11"/>
      <c r="L11" t="s">
        <v>33</v>
      </c>
      <c r="M11" s="2" t="s">
        <v>37</v>
      </c>
      <c r="N11"/>
      <c r="O11" s="2" t="s">
        <v>51</v>
      </c>
      <c r="P11" s="2" t="s">
        <v>21</v>
      </c>
      <c r="R11"/>
      <c r="S11"/>
      <c r="U11" s="2" t="s">
        <v>21</v>
      </c>
      <c r="Y11" s="2" t="s">
        <v>22</v>
      </c>
      <c r="AD11" s="7"/>
      <c r="AH11" s="7"/>
      <c r="AI11" s="7"/>
      <c r="AJ11" s="7"/>
    </row>
    <row r="12" spans="1:35" ht="13.5" thickBot="1">
      <c r="A12" s="20" t="s">
        <v>47</v>
      </c>
      <c r="B12" s="15"/>
      <c r="D12">
        <v>0</v>
      </c>
      <c r="E12" s="4">
        <v>0</v>
      </c>
      <c r="F12" s="15">
        <v>0</v>
      </c>
      <c r="G12" s="15">
        <v>0</v>
      </c>
      <c r="I12" s="15"/>
      <c r="L12">
        <v>0</v>
      </c>
      <c r="M12" s="15">
        <v>0</v>
      </c>
      <c r="O12" s="15"/>
      <c r="P12" s="18">
        <v>0.05</v>
      </c>
      <c r="Q12">
        <f>195.61-4.1977*J4</f>
        <v>174.62150000000003</v>
      </c>
      <c r="R12" s="3">
        <f>O75/Q12</f>
        <v>4581.337349639077</v>
      </c>
      <c r="S12" s="3">
        <f>(P12/(1-P12))*(R12)</f>
        <v>241.1230184020567</v>
      </c>
      <c r="T12" s="3">
        <f>R12+S12</f>
        <v>4822.460368041134</v>
      </c>
      <c r="U12" s="3">
        <f>S12/T12</f>
        <v>0.05</v>
      </c>
      <c r="V12" s="1">
        <f>0.0044332*J4-0.0017309</f>
        <v>0.020435099999999998</v>
      </c>
      <c r="W12" s="15">
        <f>0.78894-0.011537*J4</f>
        <v>0.731255</v>
      </c>
      <c r="X12" s="3">
        <f>1/((1-U12)/W12+U12/V12)</f>
        <v>0.2669580479041991</v>
      </c>
      <c r="Y12" s="1">
        <f>(55.731+1.9639*J4)/10000000</f>
        <v>6.55505E-06</v>
      </c>
      <c r="Z12" s="1">
        <f>(1458.9-804.04*LOG(J4))/10000000</f>
        <v>8.969001577136676E-05</v>
      </c>
      <c r="AA12" s="1">
        <f>1/(U12/Y12+(1-U12)/Z12)</f>
        <v>5.4885512408269516E-05</v>
      </c>
      <c r="AB12" s="27">
        <f>I7</f>
        <v>21.35</v>
      </c>
      <c r="AC12" s="9">
        <v>1</v>
      </c>
      <c r="AD12" s="8">
        <f>4*T12/(X12*3.14159*AB12^2*AC12)</f>
        <v>50.45920177273741</v>
      </c>
      <c r="AE12" s="4">
        <f>X12*AD12*AB12/AA12/10</f>
        <v>523990.6652365026</v>
      </c>
      <c r="AF12" s="5">
        <f>4*(0.0791/AE12^0.25)*1.5</f>
        <v>0.017639929550310098</v>
      </c>
      <c r="AG12" s="4">
        <v>0</v>
      </c>
      <c r="AH12" s="10">
        <f aca="true" t="shared" si="0" ref="AH12:AH43">AF12*AG12/(AB12)*(V12*AD12^2/2)*0.1</f>
        <v>0</v>
      </c>
      <c r="AI12" s="10">
        <f>J4</f>
        <v>5</v>
      </c>
    </row>
    <row r="13" spans="1:35" ht="12.75">
      <c r="A13" s="108" t="s">
        <v>42</v>
      </c>
      <c r="B13" s="113">
        <f>O13</f>
        <v>200000.00000000003</v>
      </c>
      <c r="D13">
        <f>I8/60</f>
        <v>333.3333333333333</v>
      </c>
      <c r="E13" s="4">
        <f>E12+D13</f>
        <v>333.3333333333333</v>
      </c>
      <c r="F13" s="15">
        <f>I6</f>
        <v>40</v>
      </c>
      <c r="G13" s="15">
        <f>F13*D13</f>
        <v>13333.333333333332</v>
      </c>
      <c r="I13" s="15">
        <v>0</v>
      </c>
      <c r="J13" s="15">
        <f>I13*D13</f>
        <v>0</v>
      </c>
      <c r="K13" s="15"/>
      <c r="L13" s="15">
        <f>I13+F13</f>
        <v>40</v>
      </c>
      <c r="M13" s="15">
        <f>L13*D13</f>
        <v>13333.333333333332</v>
      </c>
      <c r="O13" s="101">
        <f>SUM(M13:M27)</f>
        <v>200000.00000000003</v>
      </c>
      <c r="P13">
        <f aca="true" t="shared" si="1" ref="P13:P72">P12</f>
        <v>0.05</v>
      </c>
      <c r="Q13">
        <f>195.61-4.1977*AI12</f>
        <v>174.62150000000003</v>
      </c>
      <c r="R13" s="3">
        <f aca="true" t="shared" si="2" ref="R13:R44">R12-M13/Q13</f>
        <v>4504.981727145092</v>
      </c>
      <c r="S13" s="3">
        <f aca="true" t="shared" si="3" ref="S13:S44">S12+M13/Q13</f>
        <v>317.47864089604127</v>
      </c>
      <c r="T13" s="3">
        <f aca="true" t="shared" si="4" ref="T13:T72">R13+S13</f>
        <v>4822.460368041133</v>
      </c>
      <c r="U13" s="3">
        <f aca="true" t="shared" si="5" ref="U13:U28">S13/T13</f>
        <v>0.06583333333333334</v>
      </c>
      <c r="V13" s="1">
        <f>V12</f>
        <v>0.020435099999999998</v>
      </c>
      <c r="W13" s="15">
        <f>0.78894-0.011537*AI12</f>
        <v>0.731255</v>
      </c>
      <c r="X13" s="3">
        <f aca="true" t="shared" si="6" ref="X13:X72">1/((1-U13)/W13+U13/V13)</f>
        <v>0.2222683892975594</v>
      </c>
      <c r="Y13" s="1">
        <f>(55.371+1.9639*AI12)/10000000</f>
        <v>6.51905E-06</v>
      </c>
      <c r="Z13" s="1">
        <f>(1458.9-804.04*LOG(AI12))/10000000</f>
        <v>8.969001577136676E-05</v>
      </c>
      <c r="AA13" s="1">
        <f aca="true" t="shared" si="7" ref="AA13:AA72">1/(U13/Y13+(1-U13)/Z13)</f>
        <v>4.874693121477812E-05</v>
      </c>
      <c r="AB13">
        <f aca="true" t="shared" si="8" ref="AB13:AB72">AB12</f>
        <v>21.35</v>
      </c>
      <c r="AC13">
        <f aca="true" t="shared" si="9" ref="AC13:AC72">AC12</f>
        <v>1</v>
      </c>
      <c r="AD13" s="8">
        <f aca="true" t="shared" si="10" ref="AD13:AD72">4*T13/(X13*3.14159*AB13^2*AC13)</f>
        <v>60.60461429816997</v>
      </c>
      <c r="AE13" s="4">
        <f aca="true" t="shared" si="11" ref="AE13:AE72">X13*AD13*AB13/AA13/10</f>
        <v>589975.5213705992</v>
      </c>
      <c r="AF13" s="5">
        <f aca="true" t="shared" si="12" ref="AF13:AF72">4*(0.0791/AE13^0.25)*1.5</f>
        <v>0.017124552673419655</v>
      </c>
      <c r="AG13" s="4">
        <f>100*(E13-E12)</f>
        <v>33333.33333333333</v>
      </c>
      <c r="AH13" s="10">
        <f t="shared" si="0"/>
        <v>100.3363403248425</v>
      </c>
      <c r="AI13" s="10">
        <f>AI12-AH13/100000</f>
        <v>4.998996636596751</v>
      </c>
    </row>
    <row r="14" spans="1:35" ht="12.75">
      <c r="A14" s="111"/>
      <c r="B14" s="114"/>
      <c r="D14">
        <f>D13</f>
        <v>333.3333333333333</v>
      </c>
      <c r="E14" s="4">
        <f aca="true" t="shared" si="13" ref="E14:E72">E13+D14</f>
        <v>666.6666666666666</v>
      </c>
      <c r="F14" s="15">
        <f>F13</f>
        <v>40</v>
      </c>
      <c r="G14" s="15">
        <f>F14*D14</f>
        <v>13333.333333333332</v>
      </c>
      <c r="I14" s="15">
        <f>I13</f>
        <v>0</v>
      </c>
      <c r="J14" s="15">
        <f aca="true" t="shared" si="14" ref="J14:J72">I14*D14</f>
        <v>0</v>
      </c>
      <c r="K14" s="15"/>
      <c r="L14" s="15">
        <f aca="true" t="shared" si="15" ref="L14:L72">I14+F14</f>
        <v>40</v>
      </c>
      <c r="M14" s="15">
        <f aca="true" t="shared" si="16" ref="M14:M72">L14*D14</f>
        <v>13333.333333333332</v>
      </c>
      <c r="O14" s="121"/>
      <c r="P14">
        <f t="shared" si="1"/>
        <v>0.05</v>
      </c>
      <c r="Q14">
        <f aca="true" t="shared" si="17" ref="Q14:Q72">195.61-4.1977*AI13</f>
        <v>174.62571181855782</v>
      </c>
      <c r="R14" s="3">
        <f t="shared" si="2"/>
        <v>4428.627946281555</v>
      </c>
      <c r="S14" s="3">
        <f t="shared" si="3"/>
        <v>393.8324217595783</v>
      </c>
      <c r="T14" s="3">
        <f t="shared" si="4"/>
        <v>4822.460368041133</v>
      </c>
      <c r="U14" s="3">
        <f t="shared" si="5"/>
        <v>0.08166628478059462</v>
      </c>
      <c r="V14" s="1">
        <f>0.0044333*AI13-0.0017309</f>
        <v>0.02043115178902438</v>
      </c>
      <c r="W14" s="15">
        <f aca="true" t="shared" si="18" ref="W14:W72">0.78894-0.011537*AI13</f>
        <v>0.7312665758035832</v>
      </c>
      <c r="X14" s="3">
        <f t="shared" si="6"/>
        <v>0.19036893369190921</v>
      </c>
      <c r="Y14" s="1">
        <f aca="true" t="shared" si="19" ref="Y14:Y72">(55.371+1.9639*AI13)/10000000</f>
        <v>6.518852949461236E-06</v>
      </c>
      <c r="Z14" s="1">
        <f aca="true" t="shared" si="20" ref="Z14:Z72">(1458.9-804.04*LOG(AI13))/10000000</f>
        <v>8.969702376659617E-05</v>
      </c>
      <c r="AA14" s="1">
        <f t="shared" si="7"/>
        <v>4.392538010806108E-05</v>
      </c>
      <c r="AB14">
        <f t="shared" si="8"/>
        <v>21.35</v>
      </c>
      <c r="AC14">
        <f t="shared" si="9"/>
        <v>1</v>
      </c>
      <c r="AD14" s="8">
        <f t="shared" si="10"/>
        <v>70.75991729750695</v>
      </c>
      <c r="AE14" s="4">
        <f t="shared" si="11"/>
        <v>654735.2826066401</v>
      </c>
      <c r="AF14" s="5">
        <f t="shared" si="12"/>
        <v>0.01668442705927646</v>
      </c>
      <c r="AG14" s="4">
        <f aca="true" t="shared" si="21" ref="AG14:AG29">100*(E14-E13)</f>
        <v>33333.33333333333</v>
      </c>
      <c r="AH14" s="10">
        <f t="shared" si="0"/>
        <v>133.23847445576666</v>
      </c>
      <c r="AI14" s="10">
        <f aca="true" t="shared" si="22" ref="AI14:AI73">AI13-AH14/100000</f>
        <v>4.997664251852194</v>
      </c>
    </row>
    <row r="15" spans="1:35" ht="12.75">
      <c r="A15" s="111"/>
      <c r="B15" s="114"/>
      <c r="D15">
        <f aca="true" t="shared" si="23" ref="D15:D72">D14</f>
        <v>333.3333333333333</v>
      </c>
      <c r="E15" s="4">
        <f t="shared" si="13"/>
        <v>1000</v>
      </c>
      <c r="F15" s="15">
        <f aca="true" t="shared" si="24" ref="F15:F72">F14</f>
        <v>40</v>
      </c>
      <c r="G15" s="15">
        <f aca="true" t="shared" si="25" ref="G15:G72">F15*D15</f>
        <v>13333.333333333332</v>
      </c>
      <c r="I15" s="15">
        <f aca="true" t="shared" si="26" ref="I15:I72">I14</f>
        <v>0</v>
      </c>
      <c r="J15" s="15">
        <f t="shared" si="14"/>
        <v>0</v>
      </c>
      <c r="K15" s="15"/>
      <c r="L15" s="15">
        <f t="shared" si="15"/>
        <v>40</v>
      </c>
      <c r="M15" s="15">
        <f t="shared" si="16"/>
        <v>13333.333333333332</v>
      </c>
      <c r="O15" s="121"/>
      <c r="P15">
        <f t="shared" si="1"/>
        <v>0.05</v>
      </c>
      <c r="Q15">
        <f t="shared" si="17"/>
        <v>174.63130477000007</v>
      </c>
      <c r="R15" s="3">
        <f t="shared" si="2"/>
        <v>4352.276610815705</v>
      </c>
      <c r="S15" s="3">
        <f t="shared" si="3"/>
        <v>470.1837572254281</v>
      </c>
      <c r="T15" s="3">
        <f t="shared" si="4"/>
        <v>4822.460368041133</v>
      </c>
      <c r="U15" s="3">
        <f t="shared" si="5"/>
        <v>0.09749872914277886</v>
      </c>
      <c r="V15" s="1">
        <f aca="true" t="shared" si="27" ref="V15:V72">0.0044333*AI14-0.0017309</f>
        <v>0.02042524492773633</v>
      </c>
      <c r="W15" s="15">
        <f t="shared" si="18"/>
        <v>0.7312819475263812</v>
      </c>
      <c r="X15" s="3">
        <f t="shared" si="6"/>
        <v>0.16645642654518575</v>
      </c>
      <c r="Y15" s="1">
        <f t="shared" si="19"/>
        <v>6.5185912824212524E-06</v>
      </c>
      <c r="Z15" s="1">
        <f t="shared" si="20"/>
        <v>8.970633198695248E-05</v>
      </c>
      <c r="AA15" s="1">
        <f t="shared" si="7"/>
        <v>3.9971789637172436E-05</v>
      </c>
      <c r="AB15">
        <f t="shared" si="8"/>
        <v>21.35</v>
      </c>
      <c r="AC15">
        <f t="shared" si="9"/>
        <v>1</v>
      </c>
      <c r="AD15" s="8">
        <f t="shared" si="10"/>
        <v>80.9250221432419</v>
      </c>
      <c r="AE15" s="4">
        <f t="shared" si="11"/>
        <v>719494.8342245371</v>
      </c>
      <c r="AF15" s="5">
        <f t="shared" si="12"/>
        <v>0.016295617189859595</v>
      </c>
      <c r="AG15" s="4">
        <f t="shared" si="21"/>
        <v>33333.333333333336</v>
      </c>
      <c r="AH15" s="10">
        <f t="shared" si="0"/>
        <v>170.15887710674326</v>
      </c>
      <c r="AI15" s="10">
        <f t="shared" si="22"/>
        <v>4.9959626630811265</v>
      </c>
    </row>
    <row r="16" spans="1:35" ht="12.75">
      <c r="A16" s="111"/>
      <c r="B16" s="114"/>
      <c r="D16">
        <f t="shared" si="23"/>
        <v>333.3333333333333</v>
      </c>
      <c r="E16" s="4">
        <f t="shared" si="13"/>
        <v>1333.3333333333333</v>
      </c>
      <c r="F16" s="15">
        <f t="shared" si="24"/>
        <v>40</v>
      </c>
      <c r="G16" s="15">
        <f t="shared" si="25"/>
        <v>13333.333333333332</v>
      </c>
      <c r="I16" s="15">
        <f t="shared" si="26"/>
        <v>0</v>
      </c>
      <c r="J16" s="15">
        <f t="shared" si="14"/>
        <v>0</v>
      </c>
      <c r="K16" s="15"/>
      <c r="L16" s="15">
        <f t="shared" si="15"/>
        <v>40</v>
      </c>
      <c r="M16" s="15">
        <f t="shared" si="16"/>
        <v>13333.333333333332</v>
      </c>
      <c r="O16" s="121"/>
      <c r="P16">
        <f t="shared" si="1"/>
        <v>0.05</v>
      </c>
      <c r="Q16">
        <f t="shared" si="17"/>
        <v>174.63844752918436</v>
      </c>
      <c r="R16" s="3">
        <f t="shared" si="2"/>
        <v>4275.928398139884</v>
      </c>
      <c r="S16" s="3">
        <f t="shared" si="3"/>
        <v>546.5319699012489</v>
      </c>
      <c r="T16" s="3">
        <f t="shared" si="4"/>
        <v>4822.460368041133</v>
      </c>
      <c r="U16" s="3">
        <f t="shared" si="5"/>
        <v>0.11333052595375674</v>
      </c>
      <c r="V16" s="1">
        <f t="shared" si="27"/>
        <v>0.02041770127423756</v>
      </c>
      <c r="W16" s="15">
        <f t="shared" si="18"/>
        <v>0.731301578756033</v>
      </c>
      <c r="X16" s="3">
        <f t="shared" si="6"/>
        <v>0.14786215950714507</v>
      </c>
      <c r="Y16" s="1">
        <f t="shared" si="19"/>
        <v>6.518257107402502E-06</v>
      </c>
      <c r="Z16" s="1">
        <f t="shared" si="20"/>
        <v>8.971822312565264E-05</v>
      </c>
      <c r="AA16" s="1">
        <f t="shared" si="7"/>
        <v>3.6671066664215226E-05</v>
      </c>
      <c r="AB16">
        <f t="shared" si="8"/>
        <v>21.35</v>
      </c>
      <c r="AC16">
        <f t="shared" si="9"/>
        <v>1</v>
      </c>
      <c r="AD16" s="8">
        <f t="shared" si="10"/>
        <v>91.10167232072078</v>
      </c>
      <c r="AE16" s="4">
        <f t="shared" si="11"/>
        <v>784255.7845943401</v>
      </c>
      <c r="AF16" s="5">
        <f t="shared" si="12"/>
        <v>0.01594825977887811</v>
      </c>
      <c r="AG16" s="4">
        <f t="shared" si="21"/>
        <v>33333.33333333333</v>
      </c>
      <c r="AH16" s="10">
        <f t="shared" si="0"/>
        <v>210.9714634244707</v>
      </c>
      <c r="AI16" s="10">
        <f t="shared" si="22"/>
        <v>4.993852948446881</v>
      </c>
    </row>
    <row r="17" spans="1:35" ht="12.75">
      <c r="A17" s="111"/>
      <c r="B17" s="114"/>
      <c r="D17">
        <f t="shared" si="23"/>
        <v>333.3333333333333</v>
      </c>
      <c r="E17" s="4">
        <f t="shared" si="13"/>
        <v>1666.6666666666665</v>
      </c>
      <c r="F17" s="15">
        <f t="shared" si="24"/>
        <v>40</v>
      </c>
      <c r="G17" s="15">
        <f t="shared" si="25"/>
        <v>13333.333333333332</v>
      </c>
      <c r="I17" s="15">
        <f t="shared" si="26"/>
        <v>0</v>
      </c>
      <c r="J17" s="15">
        <f t="shared" si="14"/>
        <v>0</v>
      </c>
      <c r="K17" s="15"/>
      <c r="L17" s="15">
        <f t="shared" si="15"/>
        <v>40</v>
      </c>
      <c r="M17" s="15">
        <f t="shared" si="16"/>
        <v>13333.333333333332</v>
      </c>
      <c r="O17" s="121"/>
      <c r="P17">
        <f t="shared" si="1"/>
        <v>0.05</v>
      </c>
      <c r="Q17">
        <f t="shared" si="17"/>
        <v>174.64730347830454</v>
      </c>
      <c r="R17" s="3">
        <f t="shared" si="2"/>
        <v>4199.5840569002285</v>
      </c>
      <c r="S17" s="3">
        <f t="shared" si="3"/>
        <v>622.8763111409042</v>
      </c>
      <c r="T17" s="3">
        <f t="shared" si="4"/>
        <v>4822.460368041133</v>
      </c>
      <c r="U17" s="3">
        <f t="shared" si="5"/>
        <v>0.12916151997199607</v>
      </c>
      <c r="V17" s="1">
        <f t="shared" si="27"/>
        <v>0.02040834827634956</v>
      </c>
      <c r="W17" s="15">
        <f t="shared" si="18"/>
        <v>0.7313259185337683</v>
      </c>
      <c r="X17" s="3">
        <f t="shared" si="6"/>
        <v>0.13298537784464737</v>
      </c>
      <c r="Y17" s="1">
        <f t="shared" si="19"/>
        <v>6.517842780545483E-06</v>
      </c>
      <c r="Z17" s="1">
        <f t="shared" si="20"/>
        <v>8.973297197744384E-05</v>
      </c>
      <c r="AA17" s="1">
        <f t="shared" si="7"/>
        <v>3.387375223361523E-05</v>
      </c>
      <c r="AB17">
        <f t="shared" si="8"/>
        <v>21.35</v>
      </c>
      <c r="AC17">
        <f t="shared" si="9"/>
        <v>1</v>
      </c>
      <c r="AD17" s="8">
        <f t="shared" si="10"/>
        <v>101.2930159869923</v>
      </c>
      <c r="AE17" s="4">
        <f t="shared" si="11"/>
        <v>849020.0896644527</v>
      </c>
      <c r="AF17" s="5">
        <f t="shared" si="12"/>
        <v>0.015635012838748207</v>
      </c>
      <c r="AG17" s="4">
        <f t="shared" si="21"/>
        <v>33333.33333333333</v>
      </c>
      <c r="AH17" s="10">
        <f t="shared" si="0"/>
        <v>255.57359049179027</v>
      </c>
      <c r="AI17" s="10">
        <f t="shared" si="22"/>
        <v>4.991297212541964</v>
      </c>
    </row>
    <row r="18" spans="1:35" ht="12.75">
      <c r="A18" s="111"/>
      <c r="B18" s="114"/>
      <c r="D18">
        <f t="shared" si="23"/>
        <v>333.3333333333333</v>
      </c>
      <c r="E18" s="4">
        <f t="shared" si="13"/>
        <v>1999.9999999999998</v>
      </c>
      <c r="F18" s="15">
        <f t="shared" si="24"/>
        <v>40</v>
      </c>
      <c r="G18" s="15">
        <f t="shared" si="25"/>
        <v>13333.333333333332</v>
      </c>
      <c r="I18" s="15">
        <f t="shared" si="26"/>
        <v>0</v>
      </c>
      <c r="J18" s="15">
        <f t="shared" si="14"/>
        <v>0</v>
      </c>
      <c r="K18" s="15"/>
      <c r="L18" s="15">
        <f t="shared" si="15"/>
        <v>40</v>
      </c>
      <c r="M18" s="15">
        <f t="shared" si="16"/>
        <v>13333.333333333332</v>
      </c>
      <c r="O18" s="121"/>
      <c r="P18">
        <f t="shared" si="1"/>
        <v>0.05</v>
      </c>
      <c r="Q18">
        <f t="shared" si="17"/>
        <v>174.65803169091262</v>
      </c>
      <c r="R18" s="3">
        <f t="shared" si="2"/>
        <v>4123.244405043113</v>
      </c>
      <c r="S18" s="3">
        <f t="shared" si="3"/>
        <v>699.2159629980199</v>
      </c>
      <c r="T18" s="3">
        <f t="shared" si="4"/>
        <v>4822.460368041133</v>
      </c>
      <c r="U18" s="3">
        <f t="shared" si="5"/>
        <v>0.14499154158565725</v>
      </c>
      <c r="V18" s="1">
        <f t="shared" si="27"/>
        <v>0.020397017932362288</v>
      </c>
      <c r="W18" s="15">
        <f t="shared" si="18"/>
        <v>0.7313554040589033</v>
      </c>
      <c r="X18" s="3">
        <f t="shared" si="6"/>
        <v>0.12080881822721846</v>
      </c>
      <c r="Y18" s="1">
        <f t="shared" si="19"/>
        <v>6.5173408595711166E-06</v>
      </c>
      <c r="Z18" s="1">
        <f t="shared" si="20"/>
        <v>8.975084727769169E-05</v>
      </c>
      <c r="AA18" s="1">
        <f t="shared" si="7"/>
        <v>3.1472761728961075E-05</v>
      </c>
      <c r="AB18">
        <f t="shared" si="8"/>
        <v>21.35</v>
      </c>
      <c r="AC18">
        <f t="shared" si="9"/>
        <v>1</v>
      </c>
      <c r="AD18" s="8">
        <f t="shared" si="10"/>
        <v>111.5025393156205</v>
      </c>
      <c r="AE18" s="4">
        <f t="shared" si="11"/>
        <v>913790.0387111917</v>
      </c>
      <c r="AF18" s="5">
        <f t="shared" si="12"/>
        <v>0.015350273895458816</v>
      </c>
      <c r="AG18" s="4">
        <f t="shared" si="21"/>
        <v>33333.33333333333</v>
      </c>
      <c r="AH18" s="10">
        <f t="shared" si="0"/>
        <v>303.88075229331747</v>
      </c>
      <c r="AI18" s="10">
        <f t="shared" si="22"/>
        <v>4.988258405019031</v>
      </c>
    </row>
    <row r="19" spans="1:35" ht="12.75">
      <c r="A19" s="111"/>
      <c r="B19" s="114"/>
      <c r="D19">
        <f t="shared" si="23"/>
        <v>333.3333333333333</v>
      </c>
      <c r="E19" s="4">
        <f t="shared" si="13"/>
        <v>2333.333333333333</v>
      </c>
      <c r="F19" s="15">
        <f t="shared" si="24"/>
        <v>40</v>
      </c>
      <c r="G19" s="15">
        <f t="shared" si="25"/>
        <v>13333.333333333332</v>
      </c>
      <c r="I19" s="15">
        <f t="shared" si="26"/>
        <v>0</v>
      </c>
      <c r="J19" s="15">
        <f t="shared" si="14"/>
        <v>0</v>
      </c>
      <c r="K19" s="15"/>
      <c r="L19" s="15">
        <f t="shared" si="15"/>
        <v>40</v>
      </c>
      <c r="M19" s="15">
        <f t="shared" si="16"/>
        <v>13333.333333333332</v>
      </c>
      <c r="O19" s="121"/>
      <c r="P19">
        <f t="shared" si="1"/>
        <v>0.05</v>
      </c>
      <c r="Q19">
        <f t="shared" si="17"/>
        <v>174.6707876932516</v>
      </c>
      <c r="R19" s="3">
        <f t="shared" si="2"/>
        <v>4046.9103281810526</v>
      </c>
      <c r="S19" s="3">
        <f t="shared" si="3"/>
        <v>775.5500398600805</v>
      </c>
      <c r="T19" s="3">
        <f t="shared" si="4"/>
        <v>4822.460368041133</v>
      </c>
      <c r="U19" s="3">
        <f t="shared" si="5"/>
        <v>0.16082040715144463</v>
      </c>
      <c r="V19" s="1">
        <f t="shared" si="27"/>
        <v>0.02038354598697087</v>
      </c>
      <c r="W19" s="15">
        <f t="shared" si="18"/>
        <v>0.7313904627812954</v>
      </c>
      <c r="X19" s="3">
        <f t="shared" si="6"/>
        <v>0.11065505827993784</v>
      </c>
      <c r="Y19" s="1">
        <f t="shared" si="19"/>
        <v>6.516744068161688E-06</v>
      </c>
      <c r="Z19" s="1">
        <f t="shared" si="20"/>
        <v>8.977211318738409E-05</v>
      </c>
      <c r="AA19" s="1">
        <f t="shared" si="7"/>
        <v>2.9389361807369244E-05</v>
      </c>
      <c r="AB19">
        <f t="shared" si="8"/>
        <v>21.35</v>
      </c>
      <c r="AC19">
        <f t="shared" si="9"/>
        <v>1</v>
      </c>
      <c r="AD19" s="8">
        <f t="shared" si="10"/>
        <v>121.73406451945564</v>
      </c>
      <c r="AE19" s="4">
        <f t="shared" si="11"/>
        <v>978568.2434058214</v>
      </c>
      <c r="AF19" s="5">
        <f t="shared" si="12"/>
        <v>0.015089677374056414</v>
      </c>
      <c r="AG19" s="4">
        <f t="shared" si="21"/>
        <v>33333.33333333333</v>
      </c>
      <c r="AH19" s="10">
        <f t="shared" si="0"/>
        <v>355.82364776261215</v>
      </c>
      <c r="AI19" s="10">
        <f t="shared" si="22"/>
        <v>4.984700168541405</v>
      </c>
    </row>
    <row r="20" spans="1:35" ht="12.75">
      <c r="A20" s="111"/>
      <c r="B20" s="114"/>
      <c r="D20">
        <f t="shared" si="23"/>
        <v>333.3333333333333</v>
      </c>
      <c r="E20" s="4">
        <f t="shared" si="13"/>
        <v>2666.6666666666665</v>
      </c>
      <c r="F20" s="15">
        <f t="shared" si="24"/>
        <v>40</v>
      </c>
      <c r="G20" s="15">
        <f t="shared" si="25"/>
        <v>13333.333333333332</v>
      </c>
      <c r="I20" s="15">
        <f t="shared" si="26"/>
        <v>0</v>
      </c>
      <c r="J20" s="15">
        <f t="shared" si="14"/>
        <v>0</v>
      </c>
      <c r="K20" s="15"/>
      <c r="L20" s="15">
        <f t="shared" si="15"/>
        <v>40</v>
      </c>
      <c r="M20" s="15">
        <f t="shared" si="16"/>
        <v>13333.333333333332</v>
      </c>
      <c r="O20" s="121"/>
      <c r="P20">
        <f t="shared" si="1"/>
        <v>0.05</v>
      </c>
      <c r="Q20">
        <f t="shared" si="17"/>
        <v>174.68572410251375</v>
      </c>
      <c r="R20" s="3">
        <f t="shared" si="2"/>
        <v>3970.5827782233428</v>
      </c>
      <c r="S20" s="3">
        <f t="shared" si="3"/>
        <v>851.8775898177903</v>
      </c>
      <c r="T20" s="3">
        <f t="shared" si="4"/>
        <v>4822.460368041133</v>
      </c>
      <c r="U20" s="3">
        <f t="shared" si="5"/>
        <v>0.17664791927856113</v>
      </c>
      <c r="V20" s="1">
        <f t="shared" si="27"/>
        <v>0.020367771257194613</v>
      </c>
      <c r="W20" s="15">
        <f t="shared" si="18"/>
        <v>0.7314315141555378</v>
      </c>
      <c r="X20" s="3">
        <f t="shared" si="6"/>
        <v>0.10205554469152509</v>
      </c>
      <c r="Y20" s="1">
        <f t="shared" si="19"/>
        <v>6.516045266099847E-06</v>
      </c>
      <c r="Z20" s="1">
        <f t="shared" si="20"/>
        <v>8.979703059018603E-05</v>
      </c>
      <c r="AA20" s="1">
        <f t="shared" si="7"/>
        <v>2.7564370402245922E-05</v>
      </c>
      <c r="AB20">
        <f t="shared" si="8"/>
        <v>21.35</v>
      </c>
      <c r="AC20">
        <f t="shared" si="9"/>
        <v>1</v>
      </c>
      <c r="AD20" s="8">
        <f t="shared" si="10"/>
        <v>131.9917506174723</v>
      </c>
      <c r="AE20" s="4">
        <f t="shared" si="11"/>
        <v>1043357.6293950889</v>
      </c>
      <c r="AF20" s="5">
        <f t="shared" si="12"/>
        <v>0.014849760005426201</v>
      </c>
      <c r="AG20" s="4">
        <f t="shared" si="21"/>
        <v>33333.33333333335</v>
      </c>
      <c r="AH20" s="10">
        <f t="shared" si="0"/>
        <v>411.34610751089434</v>
      </c>
      <c r="AI20" s="10">
        <f t="shared" si="22"/>
        <v>4.980586707466296</v>
      </c>
    </row>
    <row r="21" spans="1:35" ht="12.75">
      <c r="A21" s="111"/>
      <c r="B21" s="114"/>
      <c r="D21">
        <f t="shared" si="23"/>
        <v>333.3333333333333</v>
      </c>
      <c r="E21" s="4">
        <f t="shared" si="13"/>
        <v>3000</v>
      </c>
      <c r="F21" s="15">
        <f t="shared" si="24"/>
        <v>40</v>
      </c>
      <c r="G21" s="15">
        <f t="shared" si="25"/>
        <v>13333.333333333332</v>
      </c>
      <c r="I21" s="15">
        <f t="shared" si="26"/>
        <v>0</v>
      </c>
      <c r="J21" s="15">
        <f t="shared" si="14"/>
        <v>0</v>
      </c>
      <c r="K21" s="15"/>
      <c r="L21" s="15">
        <f t="shared" si="15"/>
        <v>40</v>
      </c>
      <c r="M21" s="15">
        <f t="shared" si="16"/>
        <v>13333.333333333332</v>
      </c>
      <c r="O21" s="121"/>
      <c r="P21">
        <f t="shared" si="1"/>
        <v>0.05</v>
      </c>
      <c r="Q21">
        <f t="shared" si="17"/>
        <v>174.70299117806874</v>
      </c>
      <c r="R21" s="3">
        <f t="shared" si="2"/>
        <v>3894.2627722324714</v>
      </c>
      <c r="S21" s="3">
        <f t="shared" si="3"/>
        <v>928.1975958086615</v>
      </c>
      <c r="T21" s="3">
        <f t="shared" si="4"/>
        <v>4822.460368041133</v>
      </c>
      <c r="U21" s="3">
        <f t="shared" si="5"/>
        <v>0.19247386706584635</v>
      </c>
      <c r="V21" s="1">
        <f t="shared" si="27"/>
        <v>0.02034953505021033</v>
      </c>
      <c r="W21" s="15">
        <f t="shared" si="18"/>
        <v>0.7314789711559613</v>
      </c>
      <c r="X21" s="3">
        <f t="shared" si="6"/>
        <v>0.09467585632516323</v>
      </c>
      <c r="Y21" s="1">
        <f t="shared" si="19"/>
        <v>6.515237423479306E-06</v>
      </c>
      <c r="Z21" s="1">
        <f t="shared" si="20"/>
        <v>8.98258582622547E-05</v>
      </c>
      <c r="AA21" s="1">
        <f t="shared" si="7"/>
        <v>2.5952442830845406E-05</v>
      </c>
      <c r="AB21">
        <f t="shared" si="8"/>
        <v>21.35</v>
      </c>
      <c r="AC21">
        <f t="shared" si="9"/>
        <v>1</v>
      </c>
      <c r="AD21" s="8">
        <f t="shared" si="10"/>
        <v>142.28009681570583</v>
      </c>
      <c r="AE21" s="4">
        <f t="shared" si="11"/>
        <v>1108161.4299704293</v>
      </c>
      <c r="AF21" s="5">
        <f t="shared" si="12"/>
        <v>0.014627731374832871</v>
      </c>
      <c r="AG21" s="4">
        <f t="shared" si="21"/>
        <v>33333.33333333335</v>
      </c>
      <c r="AH21" s="10">
        <f t="shared" si="0"/>
        <v>470.4036051253436</v>
      </c>
      <c r="AI21" s="10">
        <f t="shared" si="22"/>
        <v>4.975882671415042</v>
      </c>
    </row>
    <row r="22" spans="1:35" ht="12.75">
      <c r="A22" s="111"/>
      <c r="B22" s="114"/>
      <c r="D22">
        <f t="shared" si="23"/>
        <v>333.3333333333333</v>
      </c>
      <c r="E22" s="4">
        <f>E21+D22</f>
        <v>3333.3333333333335</v>
      </c>
      <c r="F22" s="15">
        <f t="shared" si="24"/>
        <v>40</v>
      </c>
      <c r="G22" s="15">
        <f t="shared" si="25"/>
        <v>13333.333333333332</v>
      </c>
      <c r="I22" s="15">
        <f t="shared" si="26"/>
        <v>0</v>
      </c>
      <c r="J22" s="15">
        <f t="shared" si="14"/>
        <v>0</v>
      </c>
      <c r="K22" s="15"/>
      <c r="L22" s="15">
        <f t="shared" si="15"/>
        <v>40</v>
      </c>
      <c r="M22" s="15">
        <f t="shared" si="16"/>
        <v>13333.333333333332</v>
      </c>
      <c r="O22" s="121"/>
      <c r="P22">
        <f t="shared" si="1"/>
        <v>0.05</v>
      </c>
      <c r="Q22">
        <f t="shared" si="17"/>
        <v>174.7227373102011</v>
      </c>
      <c r="R22" s="3">
        <f t="shared" si="2"/>
        <v>3817.951391478051</v>
      </c>
      <c r="S22" s="3">
        <f t="shared" si="3"/>
        <v>1004.5089765630819</v>
      </c>
      <c r="T22" s="3">
        <f t="shared" si="4"/>
        <v>4822.460368041133</v>
      </c>
      <c r="U22" s="3">
        <f t="shared" si="5"/>
        <v>0.20829802629795588</v>
      </c>
      <c r="V22" s="1">
        <f t="shared" si="27"/>
        <v>0.020328680647184308</v>
      </c>
      <c r="W22" s="15">
        <f t="shared" si="18"/>
        <v>0.7315332416198846</v>
      </c>
      <c r="X22" s="3">
        <f t="shared" si="6"/>
        <v>0.0882709139599341</v>
      </c>
      <c r="Y22" s="1">
        <f t="shared" si="19"/>
        <v>6.514313597839199E-06</v>
      </c>
      <c r="Z22" s="1">
        <f t="shared" si="20"/>
        <v>8.98588539567037E-05</v>
      </c>
      <c r="AA22" s="1">
        <f t="shared" si="7"/>
        <v>2.451825108084102E-05</v>
      </c>
      <c r="AB22">
        <f t="shared" si="8"/>
        <v>21.35</v>
      </c>
      <c r="AC22">
        <f t="shared" si="9"/>
        <v>1</v>
      </c>
      <c r="AD22" s="8">
        <f t="shared" si="10"/>
        <v>152.60394845541416</v>
      </c>
      <c r="AE22" s="4">
        <f t="shared" si="11"/>
        <v>1172983.1815422033</v>
      </c>
      <c r="AF22" s="5">
        <f t="shared" si="12"/>
        <v>0.014421312492540448</v>
      </c>
      <c r="AG22" s="4">
        <f t="shared" si="21"/>
        <v>33333.33333333335</v>
      </c>
      <c r="AH22" s="10">
        <f t="shared" si="0"/>
        <v>532.9621809245203</v>
      </c>
      <c r="AI22" s="10">
        <f t="shared" si="22"/>
        <v>4.970553049605797</v>
      </c>
    </row>
    <row r="23" spans="1:35" ht="12.75">
      <c r="A23" s="111"/>
      <c r="B23" s="114"/>
      <c r="D23">
        <f t="shared" si="23"/>
        <v>333.3333333333333</v>
      </c>
      <c r="E23" s="4">
        <f t="shared" si="13"/>
        <v>3666.666666666667</v>
      </c>
      <c r="F23" s="15">
        <f t="shared" si="24"/>
        <v>40</v>
      </c>
      <c r="G23" s="15">
        <f t="shared" si="25"/>
        <v>13333.333333333332</v>
      </c>
      <c r="I23" s="15">
        <f t="shared" si="26"/>
        <v>0</v>
      </c>
      <c r="J23" s="15">
        <f t="shared" si="14"/>
        <v>0</v>
      </c>
      <c r="K23" s="15"/>
      <c r="L23" s="15">
        <f t="shared" si="15"/>
        <v>40</v>
      </c>
      <c r="M23" s="15">
        <f t="shared" si="16"/>
        <v>13333.333333333332</v>
      </c>
      <c r="O23" s="121"/>
      <c r="P23">
        <f t="shared" si="1"/>
        <v>0.05</v>
      </c>
      <c r="Q23">
        <f t="shared" si="17"/>
        <v>174.74510946366976</v>
      </c>
      <c r="R23" s="3">
        <f t="shared" si="2"/>
        <v>3741.6497806675616</v>
      </c>
      <c r="S23" s="3">
        <f t="shared" si="3"/>
        <v>1080.8105873735715</v>
      </c>
      <c r="T23" s="3">
        <f t="shared" si="4"/>
        <v>4822.460368041133</v>
      </c>
      <c r="U23" s="3">
        <f t="shared" si="5"/>
        <v>0.22412015960487677</v>
      </c>
      <c r="V23" s="1">
        <f t="shared" si="27"/>
        <v>0.02030505283481738</v>
      </c>
      <c r="W23" s="15">
        <f t="shared" si="18"/>
        <v>0.7315947294666979</v>
      </c>
      <c r="X23" s="3">
        <f t="shared" si="6"/>
        <v>0.08265701375291527</v>
      </c>
      <c r="Y23" s="1">
        <f t="shared" si="19"/>
        <v>6.513266913412083E-06</v>
      </c>
      <c r="Z23" s="1">
        <f t="shared" si="20"/>
        <v>8.989627543291093E-05</v>
      </c>
      <c r="AA23" s="1">
        <f t="shared" si="7"/>
        <v>2.3233862766940724E-05</v>
      </c>
      <c r="AB23">
        <f t="shared" si="8"/>
        <v>21.35</v>
      </c>
      <c r="AC23">
        <f t="shared" si="9"/>
        <v>1</v>
      </c>
      <c r="AD23" s="8">
        <f t="shared" si="10"/>
        <v>162.9685055441406</v>
      </c>
      <c r="AE23" s="4">
        <f t="shared" si="11"/>
        <v>1237826.720728381</v>
      </c>
      <c r="AF23" s="5">
        <f t="shared" si="12"/>
        <v>0.014228619658305488</v>
      </c>
      <c r="AG23" s="4">
        <f t="shared" si="21"/>
        <v>33333.33333333335</v>
      </c>
      <c r="AH23" s="10">
        <f t="shared" si="0"/>
        <v>598.9976666551723</v>
      </c>
      <c r="AI23" s="10">
        <f t="shared" si="22"/>
        <v>4.964563072939245</v>
      </c>
    </row>
    <row r="24" spans="1:35" ht="12.75">
      <c r="A24" s="111"/>
      <c r="B24" s="114"/>
      <c r="D24">
        <f t="shared" si="23"/>
        <v>333.3333333333333</v>
      </c>
      <c r="E24" s="4">
        <f t="shared" si="13"/>
        <v>4000.0000000000005</v>
      </c>
      <c r="F24" s="15">
        <f t="shared" si="24"/>
        <v>40</v>
      </c>
      <c r="G24" s="15">
        <f t="shared" si="25"/>
        <v>13333.333333333332</v>
      </c>
      <c r="I24" s="15">
        <f t="shared" si="26"/>
        <v>0</v>
      </c>
      <c r="J24" s="15">
        <f t="shared" si="14"/>
        <v>0</v>
      </c>
      <c r="K24" s="15"/>
      <c r="L24" s="15">
        <f t="shared" si="15"/>
        <v>40</v>
      </c>
      <c r="M24" s="15">
        <f t="shared" si="16"/>
        <v>13333.333333333332</v>
      </c>
      <c r="O24" s="121"/>
      <c r="P24">
        <f t="shared" si="1"/>
        <v>0.05</v>
      </c>
      <c r="Q24">
        <f t="shared" si="17"/>
        <v>174.77025358872294</v>
      </c>
      <c r="R24" s="3">
        <f t="shared" si="2"/>
        <v>3665.3591473386778</v>
      </c>
      <c r="S24" s="3">
        <f t="shared" si="3"/>
        <v>1157.1012207024555</v>
      </c>
      <c r="T24" s="3">
        <f t="shared" si="4"/>
        <v>4822.460368041133</v>
      </c>
      <c r="U24" s="3">
        <f t="shared" si="5"/>
        <v>0.23994001658793646</v>
      </c>
      <c r="V24" s="1">
        <f t="shared" si="27"/>
        <v>0.020278497471261557</v>
      </c>
      <c r="W24" s="15">
        <f t="shared" si="18"/>
        <v>0.7316638358274999</v>
      </c>
      <c r="X24" s="3">
        <f t="shared" si="6"/>
        <v>0.07769374641266914</v>
      </c>
      <c r="Y24" s="1">
        <f t="shared" si="19"/>
        <v>6.512090541894538E-06</v>
      </c>
      <c r="Z24" s="1">
        <f t="shared" si="20"/>
        <v>8.99383814534114E-05</v>
      </c>
      <c r="AA24" s="1">
        <f t="shared" si="7"/>
        <v>2.2076902147624816E-05</v>
      </c>
      <c r="AB24">
        <f t="shared" si="8"/>
        <v>21.35</v>
      </c>
      <c r="AC24">
        <f t="shared" si="9"/>
        <v>1</v>
      </c>
      <c r="AD24" s="8">
        <f t="shared" si="10"/>
        <v>173.3793339364249</v>
      </c>
      <c r="AE24" s="4">
        <f t="shared" si="11"/>
        <v>1302696.1829311545</v>
      </c>
      <c r="AF24" s="5">
        <f t="shared" si="12"/>
        <v>0.014048079255090024</v>
      </c>
      <c r="AG24" s="4">
        <f t="shared" si="21"/>
        <v>33333.33333333335</v>
      </c>
      <c r="AH24" s="10">
        <f t="shared" si="0"/>
        <v>668.4951370509755</v>
      </c>
      <c r="AI24" s="10">
        <f t="shared" si="22"/>
        <v>4.9578781215687355</v>
      </c>
    </row>
    <row r="25" spans="1:35" ht="12.75">
      <c r="A25" s="111"/>
      <c r="B25" s="114"/>
      <c r="D25">
        <f t="shared" si="23"/>
        <v>333.3333333333333</v>
      </c>
      <c r="E25" s="4">
        <f t="shared" si="13"/>
        <v>4333.333333333334</v>
      </c>
      <c r="F25" s="15">
        <f t="shared" si="24"/>
        <v>40</v>
      </c>
      <c r="G25" s="15">
        <f t="shared" si="25"/>
        <v>13333.333333333332</v>
      </c>
      <c r="I25" s="15">
        <f t="shared" si="26"/>
        <v>0</v>
      </c>
      <c r="J25" s="15">
        <f t="shared" si="14"/>
        <v>0</v>
      </c>
      <c r="K25" s="15"/>
      <c r="L25" s="15">
        <f t="shared" si="15"/>
        <v>40</v>
      </c>
      <c r="M25" s="15">
        <f t="shared" si="16"/>
        <v>13333.333333333332</v>
      </c>
      <c r="O25" s="121"/>
      <c r="P25">
        <f t="shared" si="1"/>
        <v>0.05</v>
      </c>
      <c r="Q25">
        <f t="shared" si="17"/>
        <v>174.79831500909094</v>
      </c>
      <c r="R25" s="3">
        <f t="shared" si="2"/>
        <v>3589.080761402063</v>
      </c>
      <c r="S25" s="3">
        <f t="shared" si="3"/>
        <v>1233.3796066390698</v>
      </c>
      <c r="T25" s="3">
        <f t="shared" si="4"/>
        <v>4822.460368041133</v>
      </c>
      <c r="U25" s="3">
        <f t="shared" si="5"/>
        <v>0.25575733391461014</v>
      </c>
      <c r="V25" s="1">
        <f t="shared" si="27"/>
        <v>0.020248861076350676</v>
      </c>
      <c r="W25" s="15">
        <f t="shared" si="18"/>
        <v>0.7317409601114615</v>
      </c>
      <c r="X25" s="3">
        <f t="shared" si="6"/>
        <v>0.07327195207709924</v>
      </c>
      <c r="Y25" s="1">
        <f t="shared" si="19"/>
        <v>6.510777684294884E-06</v>
      </c>
      <c r="Z25" s="1">
        <f t="shared" si="20"/>
        <v>8.99854327662989E-05</v>
      </c>
      <c r="AA25" s="1">
        <f t="shared" si="7"/>
        <v>2.1029233859885963E-05</v>
      </c>
      <c r="AB25">
        <f t="shared" si="8"/>
        <v>21.35</v>
      </c>
      <c r="AC25">
        <f t="shared" si="9"/>
        <v>1</v>
      </c>
      <c r="AD25" s="8">
        <f t="shared" si="10"/>
        <v>183.84237927604235</v>
      </c>
      <c r="AE25" s="4">
        <f t="shared" si="11"/>
        <v>1367596.0023210952</v>
      </c>
      <c r="AF25" s="5">
        <f t="shared" si="12"/>
        <v>0.013878364137437121</v>
      </c>
      <c r="AG25" s="4">
        <f t="shared" si="21"/>
        <v>33333.33333333335</v>
      </c>
      <c r="AH25" s="10">
        <f t="shared" si="0"/>
        <v>741.4485381236877</v>
      </c>
      <c r="AI25" s="10">
        <f t="shared" si="22"/>
        <v>4.950463636187498</v>
      </c>
    </row>
    <row r="26" spans="1:35" ht="12.75">
      <c r="A26" s="111"/>
      <c r="B26" s="114"/>
      <c r="D26">
        <f t="shared" si="23"/>
        <v>333.3333333333333</v>
      </c>
      <c r="E26" s="4">
        <f>E25+D26</f>
        <v>4666.666666666667</v>
      </c>
      <c r="F26" s="15">
        <f t="shared" si="24"/>
        <v>40</v>
      </c>
      <c r="G26" s="15">
        <f t="shared" si="25"/>
        <v>13333.333333333332</v>
      </c>
      <c r="I26" s="15">
        <f t="shared" si="26"/>
        <v>0</v>
      </c>
      <c r="J26" s="15">
        <f t="shared" si="14"/>
        <v>0</v>
      </c>
      <c r="K26" s="15"/>
      <c r="L26" s="15">
        <f t="shared" si="15"/>
        <v>40</v>
      </c>
      <c r="M26" s="15">
        <f t="shared" si="16"/>
        <v>13333.333333333332</v>
      </c>
      <c r="O26" s="121"/>
      <c r="P26">
        <f t="shared" si="1"/>
        <v>0.05</v>
      </c>
      <c r="Q26">
        <f t="shared" si="17"/>
        <v>174.82943879437576</v>
      </c>
      <c r="R26" s="3">
        <f t="shared" si="2"/>
        <v>3512.8159548266945</v>
      </c>
      <c r="S26" s="3">
        <f t="shared" si="3"/>
        <v>1309.6444132144386</v>
      </c>
      <c r="T26" s="3">
        <f t="shared" si="4"/>
        <v>4822.460368041133</v>
      </c>
      <c r="U26" s="3">
        <f t="shared" si="5"/>
        <v>0.27157183538377355</v>
      </c>
      <c r="V26" s="1">
        <f t="shared" si="27"/>
        <v>0.020215990438310037</v>
      </c>
      <c r="W26" s="15">
        <f t="shared" si="18"/>
        <v>0.7318265010293048</v>
      </c>
      <c r="X26" s="3">
        <f t="shared" si="6"/>
        <v>0.06930548415874159</v>
      </c>
      <c r="Y26" s="1">
        <f t="shared" si="19"/>
        <v>6.509321553510863E-06</v>
      </c>
      <c r="Z26" s="1">
        <f t="shared" si="20"/>
        <v>9.003769308794486E-05</v>
      </c>
      <c r="AA26" s="1">
        <f t="shared" si="7"/>
        <v>2.0076003871183063E-05</v>
      </c>
      <c r="AB26">
        <f t="shared" si="8"/>
        <v>21.35</v>
      </c>
      <c r="AC26">
        <f t="shared" si="9"/>
        <v>1</v>
      </c>
      <c r="AD26" s="8">
        <f t="shared" si="10"/>
        <v>194.36398385444406</v>
      </c>
      <c r="AE26" s="4">
        <f t="shared" si="11"/>
        <v>1432530.9131832065</v>
      </c>
      <c r="AF26" s="5">
        <f t="shared" si="12"/>
        <v>0.01371834539778596</v>
      </c>
      <c r="AG26" s="4">
        <f t="shared" si="21"/>
        <v>33333.3333333333</v>
      </c>
      <c r="AH26" s="10">
        <f t="shared" si="0"/>
        <v>817.8604578800869</v>
      </c>
      <c r="AI26" s="10">
        <f t="shared" si="22"/>
        <v>4.942285031608697</v>
      </c>
    </row>
    <row r="27" spans="1:35" ht="13.5" thickBot="1">
      <c r="A27" s="112"/>
      <c r="B27" s="115"/>
      <c r="D27">
        <f t="shared" si="23"/>
        <v>333.3333333333333</v>
      </c>
      <c r="E27" s="4">
        <f t="shared" si="13"/>
        <v>5000</v>
      </c>
      <c r="F27" s="15">
        <f t="shared" si="24"/>
        <v>40</v>
      </c>
      <c r="G27" s="15">
        <f t="shared" si="25"/>
        <v>13333.333333333332</v>
      </c>
      <c r="I27" s="15">
        <f t="shared" si="26"/>
        <v>0</v>
      </c>
      <c r="J27" s="15">
        <f t="shared" si="14"/>
        <v>0</v>
      </c>
      <c r="K27" s="15"/>
      <c r="L27" s="15">
        <f t="shared" si="15"/>
        <v>40</v>
      </c>
      <c r="M27" s="15">
        <f t="shared" si="16"/>
        <v>13333.333333333332</v>
      </c>
      <c r="O27" s="122"/>
      <c r="P27">
        <f t="shared" si="1"/>
        <v>0.05</v>
      </c>
      <c r="Q27">
        <f t="shared" si="17"/>
        <v>174.8637701228162</v>
      </c>
      <c r="R27" s="3">
        <f t="shared" si="2"/>
        <v>3436.566121462307</v>
      </c>
      <c r="S27" s="3">
        <f t="shared" si="3"/>
        <v>1385.8942465788264</v>
      </c>
      <c r="T27" s="3">
        <f t="shared" si="4"/>
        <v>4822.460368041133</v>
      </c>
      <c r="U27" s="3">
        <f t="shared" si="5"/>
        <v>0.2873832319625204</v>
      </c>
      <c r="V27" s="1">
        <f t="shared" si="27"/>
        <v>0.020179732230630836</v>
      </c>
      <c r="W27" s="15">
        <f t="shared" si="18"/>
        <v>0.7319208575903304</v>
      </c>
      <c r="X27" s="3">
        <f t="shared" si="6"/>
        <v>0.06572544727238618</v>
      </c>
      <c r="Y27" s="1">
        <f t="shared" si="19"/>
        <v>6.507715357357633E-06</v>
      </c>
      <c r="Z27" s="1">
        <f t="shared" si="20"/>
        <v>9.009543009886888E-05</v>
      </c>
      <c r="AA27" s="1">
        <f t="shared" si="7"/>
        <v>1.9204929441912744E-05</v>
      </c>
      <c r="AB27">
        <f t="shared" si="8"/>
        <v>21.35</v>
      </c>
      <c r="AC27">
        <f t="shared" si="9"/>
        <v>1</v>
      </c>
      <c r="AD27" s="8">
        <f t="shared" si="10"/>
        <v>204.95090658308166</v>
      </c>
      <c r="AE27" s="4">
        <f t="shared" si="11"/>
        <v>1497505.9526066715</v>
      </c>
      <c r="AF27" s="5">
        <f t="shared" si="12"/>
        <v>0.013567055278856249</v>
      </c>
      <c r="AG27" s="4">
        <f t="shared" si="21"/>
        <v>33333.3333333333</v>
      </c>
      <c r="AH27" s="10">
        <f t="shared" si="0"/>
        <v>897.742015939545</v>
      </c>
      <c r="AI27" s="10">
        <f t="shared" si="22"/>
        <v>4.933307611449302</v>
      </c>
    </row>
    <row r="28" spans="1:35" ht="12.75">
      <c r="A28" s="108" t="s">
        <v>43</v>
      </c>
      <c r="B28" s="113">
        <f>O28</f>
        <v>200000.00000000003</v>
      </c>
      <c r="D28">
        <f t="shared" si="23"/>
        <v>333.3333333333333</v>
      </c>
      <c r="E28" s="4">
        <f t="shared" si="13"/>
        <v>5333.333333333333</v>
      </c>
      <c r="F28" s="15">
        <f t="shared" si="24"/>
        <v>40</v>
      </c>
      <c r="G28" s="15">
        <f t="shared" si="25"/>
        <v>13333.333333333332</v>
      </c>
      <c r="I28" s="15">
        <f t="shared" si="26"/>
        <v>0</v>
      </c>
      <c r="J28" s="15">
        <f t="shared" si="14"/>
        <v>0</v>
      </c>
      <c r="K28" s="15"/>
      <c r="L28" s="15">
        <f t="shared" si="15"/>
        <v>40</v>
      </c>
      <c r="M28" s="15">
        <f t="shared" si="16"/>
        <v>13333.333333333332</v>
      </c>
      <c r="O28" s="116">
        <f>SUM(M28:M42)</f>
        <v>200000.00000000003</v>
      </c>
      <c r="P28">
        <f t="shared" si="1"/>
        <v>0.05</v>
      </c>
      <c r="Q28">
        <f t="shared" si="17"/>
        <v>174.90145463941928</v>
      </c>
      <c r="R28" s="3">
        <f t="shared" si="2"/>
        <v>3360.332716995651</v>
      </c>
      <c r="S28" s="3">
        <f t="shared" si="3"/>
        <v>1462.1276510454823</v>
      </c>
      <c r="T28" s="3">
        <f t="shared" si="4"/>
        <v>4822.460368041133</v>
      </c>
      <c r="U28" s="3">
        <f t="shared" si="5"/>
        <v>0.30319122179523345</v>
      </c>
      <c r="V28" s="1">
        <f t="shared" si="27"/>
        <v>0.02013993263383819</v>
      </c>
      <c r="W28" s="15">
        <f t="shared" si="18"/>
        <v>0.7320244300867094</v>
      </c>
      <c r="X28" s="3">
        <f t="shared" si="6"/>
        <v>0.06247608351736713</v>
      </c>
      <c r="Y28" s="1">
        <f t="shared" si="19"/>
        <v>6.505952281812529E-06</v>
      </c>
      <c r="Z28" s="1">
        <f t="shared" si="20"/>
        <v>9.015891646442262E-05</v>
      </c>
      <c r="AA28" s="1">
        <f t="shared" si="7"/>
        <v>1.8405765797660332E-05</v>
      </c>
      <c r="AB28">
        <f t="shared" si="8"/>
        <v>21.35</v>
      </c>
      <c r="AC28">
        <f t="shared" si="9"/>
        <v>1</v>
      </c>
      <c r="AD28" s="8">
        <f t="shared" si="10"/>
        <v>215.61034632251787</v>
      </c>
      <c r="AE28" s="4">
        <f t="shared" si="11"/>
        <v>1562526.4645229406</v>
      </c>
      <c r="AF28" s="5">
        <f t="shared" si="12"/>
        <v>0.013423658294292375</v>
      </c>
      <c r="AG28" s="4">
        <f t="shared" si="21"/>
        <v>33333.3333333333</v>
      </c>
      <c r="AH28" s="10">
        <f t="shared" si="0"/>
        <v>981.1128561058488</v>
      </c>
      <c r="AI28" s="10">
        <f t="shared" si="22"/>
        <v>4.923496482888243</v>
      </c>
    </row>
    <row r="29" spans="1:35" ht="12.75">
      <c r="A29" s="111"/>
      <c r="B29" s="114"/>
      <c r="D29">
        <f t="shared" si="23"/>
        <v>333.3333333333333</v>
      </c>
      <c r="E29" s="4">
        <f t="shared" si="13"/>
        <v>5666.666666666666</v>
      </c>
      <c r="F29" s="15">
        <f t="shared" si="24"/>
        <v>40</v>
      </c>
      <c r="G29" s="15">
        <f t="shared" si="25"/>
        <v>13333.333333333332</v>
      </c>
      <c r="I29" s="15">
        <f t="shared" si="26"/>
        <v>0</v>
      </c>
      <c r="J29" s="15">
        <f t="shared" si="14"/>
        <v>0</v>
      </c>
      <c r="K29" s="15"/>
      <c r="L29" s="15">
        <f t="shared" si="15"/>
        <v>40</v>
      </c>
      <c r="M29" s="15">
        <f t="shared" si="16"/>
        <v>13333.333333333332</v>
      </c>
      <c r="O29" s="117"/>
      <c r="P29">
        <f t="shared" si="1"/>
        <v>0.05</v>
      </c>
      <c r="Q29">
        <f t="shared" si="17"/>
        <v>174.94263881378004</v>
      </c>
      <c r="R29" s="3">
        <f t="shared" si="2"/>
        <v>3284.1172590390224</v>
      </c>
      <c r="S29" s="3">
        <f t="shared" si="3"/>
        <v>1538.3431090021109</v>
      </c>
      <c r="T29" s="3">
        <f t="shared" si="4"/>
        <v>4822.460368041133</v>
      </c>
      <c r="U29" s="3">
        <f aca="true" t="shared" si="28" ref="U29:U72">S29/T29</f>
        <v>0.3189954901852269</v>
      </c>
      <c r="V29" s="1">
        <f t="shared" si="27"/>
        <v>0.02009643695758845</v>
      </c>
      <c r="W29" s="15">
        <f t="shared" si="18"/>
        <v>0.7321376210769183</v>
      </c>
      <c r="X29" s="3">
        <f t="shared" si="6"/>
        <v>0.05951178200675794</v>
      </c>
      <c r="Y29" s="1">
        <f t="shared" si="19"/>
        <v>6.504025474274422E-06</v>
      </c>
      <c r="Z29" s="1">
        <f t="shared" si="20"/>
        <v>9.022843089136315E-05</v>
      </c>
      <c r="AA29" s="1">
        <f t="shared" si="7"/>
        <v>1.7669900246407927E-05</v>
      </c>
      <c r="AB29">
        <f t="shared" si="8"/>
        <v>21.35</v>
      </c>
      <c r="AC29">
        <f t="shared" si="9"/>
        <v>1</v>
      </c>
      <c r="AD29" s="8">
        <f t="shared" si="10"/>
        <v>226.3499688603581</v>
      </c>
      <c r="AE29" s="4">
        <f t="shared" si="11"/>
        <v>1627598.105116746</v>
      </c>
      <c r="AF29" s="5">
        <f t="shared" si="12"/>
        <v>0.013287428481700773</v>
      </c>
      <c r="AG29" s="4">
        <f t="shared" si="21"/>
        <v>33333.3333333333</v>
      </c>
      <c r="AH29" s="10">
        <f t="shared" si="0"/>
        <v>1068.0012314541098</v>
      </c>
      <c r="AI29" s="10">
        <f t="shared" si="22"/>
        <v>4.912816470573702</v>
      </c>
    </row>
    <row r="30" spans="1:35" ht="12.75">
      <c r="A30" s="111"/>
      <c r="B30" s="114"/>
      <c r="D30">
        <f t="shared" si="23"/>
        <v>333.3333333333333</v>
      </c>
      <c r="E30" s="4">
        <f t="shared" si="13"/>
        <v>5999.999999999999</v>
      </c>
      <c r="F30" s="15">
        <f t="shared" si="24"/>
        <v>40</v>
      </c>
      <c r="G30" s="15">
        <f t="shared" si="25"/>
        <v>13333.333333333332</v>
      </c>
      <c r="I30" s="15">
        <f t="shared" si="26"/>
        <v>0</v>
      </c>
      <c r="J30" s="15">
        <f t="shared" si="14"/>
        <v>0</v>
      </c>
      <c r="K30" s="15"/>
      <c r="L30" s="15">
        <f t="shared" si="15"/>
        <v>40</v>
      </c>
      <c r="M30" s="15">
        <f t="shared" si="16"/>
        <v>13333.333333333332</v>
      </c>
      <c r="O30" s="117"/>
      <c r="P30">
        <f t="shared" si="1"/>
        <v>0.05</v>
      </c>
      <c r="Q30">
        <f t="shared" si="17"/>
        <v>174.9874703014728</v>
      </c>
      <c r="R30" s="3">
        <f t="shared" si="2"/>
        <v>3207.9213273511004</v>
      </c>
      <c r="S30" s="3">
        <f t="shared" si="3"/>
        <v>1614.539040690033</v>
      </c>
      <c r="T30" s="3">
        <f t="shared" si="4"/>
        <v>4822.460368041134</v>
      </c>
      <c r="U30" s="3">
        <f t="shared" si="28"/>
        <v>0.3347957095489523</v>
      </c>
      <c r="V30" s="1">
        <f t="shared" si="27"/>
        <v>0.020049089258994394</v>
      </c>
      <c r="W30" s="15">
        <f t="shared" si="18"/>
        <v>0.7322608363789912</v>
      </c>
      <c r="X30" s="3">
        <f t="shared" si="6"/>
        <v>0.05679486938874378</v>
      </c>
      <c r="Y30" s="1">
        <f t="shared" si="19"/>
        <v>6.501928026655969E-06</v>
      </c>
      <c r="Z30" s="1">
        <f t="shared" si="20"/>
        <v>9.030425923126106E-05</v>
      </c>
      <c r="AA30" s="1">
        <f t="shared" si="7"/>
        <v>1.699003957109182E-05</v>
      </c>
      <c r="AB30">
        <f t="shared" si="8"/>
        <v>21.35</v>
      </c>
      <c r="AC30">
        <f t="shared" si="9"/>
        <v>1</v>
      </c>
      <c r="AD30" s="8">
        <f t="shared" si="10"/>
        <v>237.17793788471687</v>
      </c>
      <c r="AE30" s="4">
        <f t="shared" si="11"/>
        <v>1692726.8496530824</v>
      </c>
      <c r="AF30" s="5">
        <f t="shared" si="12"/>
        <v>0.013157731297544863</v>
      </c>
      <c r="AG30" s="4">
        <f aca="true" t="shared" si="29" ref="AG30:AG72">100*(E30-E29)</f>
        <v>33333.3333333333</v>
      </c>
      <c r="AH30" s="10">
        <f t="shared" si="0"/>
        <v>1158.4441756463439</v>
      </c>
      <c r="AI30" s="10">
        <f t="shared" si="22"/>
        <v>4.901232028817239</v>
      </c>
    </row>
    <row r="31" spans="1:35" ht="12.75">
      <c r="A31" s="111"/>
      <c r="B31" s="114"/>
      <c r="D31">
        <f t="shared" si="23"/>
        <v>333.3333333333333</v>
      </c>
      <c r="E31" s="4">
        <f t="shared" si="13"/>
        <v>6333.333333333332</v>
      </c>
      <c r="F31" s="15">
        <f t="shared" si="24"/>
        <v>40</v>
      </c>
      <c r="G31" s="15">
        <f t="shared" si="25"/>
        <v>13333.333333333332</v>
      </c>
      <c r="I31" s="15">
        <f t="shared" si="26"/>
        <v>0</v>
      </c>
      <c r="J31" s="15">
        <f t="shared" si="14"/>
        <v>0</v>
      </c>
      <c r="K31" s="15"/>
      <c r="L31" s="15">
        <f t="shared" si="15"/>
        <v>40</v>
      </c>
      <c r="M31" s="15">
        <f t="shared" si="16"/>
        <v>13333.333333333332</v>
      </c>
      <c r="O31" s="117"/>
      <c r="P31">
        <f t="shared" si="1"/>
        <v>0.05</v>
      </c>
      <c r="Q31">
        <f t="shared" si="17"/>
        <v>175.0360983126339</v>
      </c>
      <c r="R31" s="3">
        <f t="shared" si="2"/>
        <v>3131.746564191569</v>
      </c>
      <c r="S31" s="3">
        <f t="shared" si="3"/>
        <v>1690.7138038495643</v>
      </c>
      <c r="T31" s="3">
        <f t="shared" si="4"/>
        <v>4822.460368041134</v>
      </c>
      <c r="U31" s="3">
        <f t="shared" si="28"/>
        <v>0.35059153934246357</v>
      </c>
      <c r="V31" s="1">
        <f t="shared" si="27"/>
        <v>0.019997731953355465</v>
      </c>
      <c r="W31" s="15">
        <f t="shared" si="18"/>
        <v>0.7323944860835355</v>
      </c>
      <c r="X31" s="3">
        <f t="shared" si="6"/>
        <v>0.054293953314173735</v>
      </c>
      <c r="Y31" s="1">
        <f t="shared" si="19"/>
        <v>6.499652958139419E-06</v>
      </c>
      <c r="Z31" s="1">
        <f t="shared" si="20"/>
        <v>9.038669564193304E-05</v>
      </c>
      <c r="AA31" s="1">
        <f t="shared" si="7"/>
        <v>1.6359966611589934E-05</v>
      </c>
      <c r="AB31">
        <f t="shared" si="8"/>
        <v>21.35</v>
      </c>
      <c r="AC31">
        <f t="shared" si="9"/>
        <v>1</v>
      </c>
      <c r="AD31" s="8">
        <f t="shared" si="10"/>
        <v>248.10295036183217</v>
      </c>
      <c r="AE31" s="4">
        <f t="shared" si="11"/>
        <v>1757919.0007809245</v>
      </c>
      <c r="AF31" s="5">
        <f t="shared" si="12"/>
        <v>0.013034009067891268</v>
      </c>
      <c r="AG31" s="4">
        <f t="shared" si="29"/>
        <v>33333.3333333333</v>
      </c>
      <c r="AH31" s="10">
        <f t="shared" si="0"/>
        <v>1252.4877574565276</v>
      </c>
      <c r="AI31" s="10">
        <f t="shared" si="22"/>
        <v>4.888707151242674</v>
      </c>
    </row>
    <row r="32" spans="1:35" ht="12.75">
      <c r="A32" s="111"/>
      <c r="B32" s="114"/>
      <c r="D32">
        <f t="shared" si="23"/>
        <v>333.3333333333333</v>
      </c>
      <c r="E32" s="4">
        <f t="shared" si="13"/>
        <v>6666.666666666665</v>
      </c>
      <c r="F32" s="15">
        <f t="shared" si="24"/>
        <v>40</v>
      </c>
      <c r="G32" s="15">
        <f t="shared" si="25"/>
        <v>13333.333333333332</v>
      </c>
      <c r="I32" s="15">
        <f t="shared" si="26"/>
        <v>0</v>
      </c>
      <c r="J32" s="15">
        <f t="shared" si="14"/>
        <v>0</v>
      </c>
      <c r="K32" s="15"/>
      <c r="L32" s="15">
        <f t="shared" si="15"/>
        <v>40</v>
      </c>
      <c r="M32" s="15">
        <f t="shared" si="16"/>
        <v>13333.333333333332</v>
      </c>
      <c r="O32" s="117"/>
      <c r="P32">
        <f t="shared" si="1"/>
        <v>0.05</v>
      </c>
      <c r="Q32">
        <f t="shared" si="17"/>
        <v>175.08867399122863</v>
      </c>
      <c r="R32" s="3">
        <f t="shared" si="2"/>
        <v>3055.594674812355</v>
      </c>
      <c r="S32" s="3">
        <f t="shared" si="3"/>
        <v>1766.8656932287786</v>
      </c>
      <c r="T32" s="3">
        <f t="shared" si="4"/>
        <v>4822.460368041134</v>
      </c>
      <c r="U32" s="3">
        <f t="shared" si="28"/>
        <v>0.36638262595955207</v>
      </c>
      <c r="V32" s="1">
        <f t="shared" si="27"/>
        <v>0.019942205413604145</v>
      </c>
      <c r="W32" s="15">
        <f t="shared" si="18"/>
        <v>0.7325389855961133</v>
      </c>
      <c r="X32" s="3">
        <f t="shared" si="6"/>
        <v>0.05198266385495032</v>
      </c>
      <c r="Y32" s="1">
        <f t="shared" si="19"/>
        <v>6.497193197432548E-06</v>
      </c>
      <c r="Z32" s="1">
        <f t="shared" si="20"/>
        <v>9.047604381866275E-05</v>
      </c>
      <c r="AA32" s="1">
        <f t="shared" si="7"/>
        <v>1.577434880527222E-05</v>
      </c>
      <c r="AB32">
        <f t="shared" si="8"/>
        <v>21.35</v>
      </c>
      <c r="AC32">
        <f t="shared" si="9"/>
        <v>1</v>
      </c>
      <c r="AD32" s="8">
        <f t="shared" si="10"/>
        <v>259.1342767973843</v>
      </c>
      <c r="AE32" s="4">
        <f t="shared" si="11"/>
        <v>1823181.1983923703</v>
      </c>
      <c r="AF32" s="5">
        <f t="shared" si="12"/>
        <v>0.012915769193090638</v>
      </c>
      <c r="AG32" s="4">
        <f t="shared" si="29"/>
        <v>33333.3333333333</v>
      </c>
      <c r="AH32" s="10">
        <f t="shared" si="0"/>
        <v>1350.1874181843841</v>
      </c>
      <c r="AI32" s="10">
        <f t="shared" si="22"/>
        <v>4.87520527706083</v>
      </c>
    </row>
    <row r="33" spans="1:35" ht="12.75">
      <c r="A33" s="111"/>
      <c r="B33" s="114"/>
      <c r="D33">
        <f t="shared" si="23"/>
        <v>333.3333333333333</v>
      </c>
      <c r="E33" s="4">
        <f t="shared" si="13"/>
        <v>6999.999999999998</v>
      </c>
      <c r="F33" s="15">
        <f t="shared" si="24"/>
        <v>40</v>
      </c>
      <c r="G33" s="15">
        <f t="shared" si="25"/>
        <v>13333.333333333332</v>
      </c>
      <c r="I33" s="15">
        <f t="shared" si="26"/>
        <v>0</v>
      </c>
      <c r="J33" s="15">
        <f t="shared" si="14"/>
        <v>0</v>
      </c>
      <c r="K33" s="15"/>
      <c r="L33" s="15">
        <f t="shared" si="15"/>
        <v>40</v>
      </c>
      <c r="M33" s="15">
        <f t="shared" si="16"/>
        <v>13333.333333333332</v>
      </c>
      <c r="O33" s="117"/>
      <c r="P33">
        <f t="shared" si="1"/>
        <v>0.05</v>
      </c>
      <c r="Q33">
        <f t="shared" si="17"/>
        <v>175.14535080848177</v>
      </c>
      <c r="R33" s="3">
        <f t="shared" si="2"/>
        <v>2979.4674280896425</v>
      </c>
      <c r="S33" s="3">
        <f t="shared" si="3"/>
        <v>1842.992939951491</v>
      </c>
      <c r="T33" s="3">
        <f t="shared" si="4"/>
        <v>4822.460368041134</v>
      </c>
      <c r="U33" s="3">
        <f t="shared" si="28"/>
        <v>0.38216860260069035</v>
      </c>
      <c r="V33" s="1">
        <f t="shared" si="27"/>
        <v>0.019882347554793775</v>
      </c>
      <c r="W33" s="15">
        <f t="shared" si="18"/>
        <v>0.7326947567185492</v>
      </c>
      <c r="X33" s="3">
        <f t="shared" si="6"/>
        <v>0.049838685616329856</v>
      </c>
      <c r="Y33" s="1">
        <f t="shared" si="19"/>
        <v>6.494541564361977E-06</v>
      </c>
      <c r="Z33" s="1">
        <f t="shared" si="20"/>
        <v>9.05726183078595E-05</v>
      </c>
      <c r="AA33" s="1">
        <f t="shared" si="7"/>
        <v>1.5228586190819611E-05</v>
      </c>
      <c r="AB33">
        <f t="shared" si="8"/>
        <v>21.35</v>
      </c>
      <c r="AC33">
        <f t="shared" si="9"/>
        <v>1</v>
      </c>
      <c r="AD33" s="8">
        <f t="shared" si="10"/>
        <v>270.2818069431674</v>
      </c>
      <c r="AE33" s="4">
        <f t="shared" si="11"/>
        <v>1888520.4311344947</v>
      </c>
      <c r="AF33" s="5">
        <f t="shared" si="12"/>
        <v>0.01280257450693215</v>
      </c>
      <c r="AG33" s="4">
        <f t="shared" si="29"/>
        <v>33333.3333333333</v>
      </c>
      <c r="AH33" s="10">
        <f t="shared" si="0"/>
        <v>1451.6083939894017</v>
      </c>
      <c r="AI33" s="10">
        <f t="shared" si="22"/>
        <v>4.860689193120936</v>
      </c>
    </row>
    <row r="34" spans="1:35" ht="12.75">
      <c r="A34" s="111"/>
      <c r="B34" s="114"/>
      <c r="D34">
        <f t="shared" si="23"/>
        <v>333.3333333333333</v>
      </c>
      <c r="E34" s="4">
        <f t="shared" si="13"/>
        <v>7333.333333333331</v>
      </c>
      <c r="F34" s="15">
        <f t="shared" si="24"/>
        <v>40</v>
      </c>
      <c r="G34" s="15">
        <f t="shared" si="25"/>
        <v>13333.333333333332</v>
      </c>
      <c r="I34" s="15">
        <f t="shared" si="26"/>
        <v>0</v>
      </c>
      <c r="J34" s="15">
        <f t="shared" si="14"/>
        <v>0</v>
      </c>
      <c r="K34" s="15"/>
      <c r="L34" s="15">
        <f t="shared" si="15"/>
        <v>40</v>
      </c>
      <c r="M34" s="15">
        <f t="shared" si="16"/>
        <v>13333.333333333332</v>
      </c>
      <c r="O34" s="117"/>
      <c r="P34">
        <f t="shared" si="1"/>
        <v>0.05</v>
      </c>
      <c r="Q34">
        <f t="shared" si="17"/>
        <v>175.20628497403627</v>
      </c>
      <c r="R34" s="3">
        <f t="shared" si="2"/>
        <v>2903.3666573021724</v>
      </c>
      <c r="S34" s="3">
        <f t="shared" si="3"/>
        <v>1919.0937107389614</v>
      </c>
      <c r="T34" s="3">
        <f t="shared" si="4"/>
        <v>4822.460368041134</v>
      </c>
      <c r="U34" s="3">
        <f t="shared" si="28"/>
        <v>0.3979490891116417</v>
      </c>
      <c r="V34" s="1">
        <f t="shared" si="27"/>
        <v>0.019817993399863044</v>
      </c>
      <c r="W34" s="15">
        <f t="shared" si="18"/>
        <v>0.7328622287789638</v>
      </c>
      <c r="X34" s="3">
        <f t="shared" si="6"/>
        <v>0.04784300509630851</v>
      </c>
      <c r="Y34" s="1">
        <f t="shared" si="19"/>
        <v>6.491690750637021E-06</v>
      </c>
      <c r="Z34" s="1">
        <f t="shared" si="20"/>
        <v>9.067674591699917E-05</v>
      </c>
      <c r="AA34" s="1">
        <f t="shared" si="7"/>
        <v>1.4718689700045624E-05</v>
      </c>
      <c r="AB34">
        <f t="shared" si="8"/>
        <v>21.35</v>
      </c>
      <c r="AC34">
        <f t="shared" si="9"/>
        <v>1</v>
      </c>
      <c r="AD34" s="8">
        <f t="shared" si="10"/>
        <v>281.5561016064487</v>
      </c>
      <c r="AE34" s="4">
        <f t="shared" si="11"/>
        <v>1953944.049691211</v>
      </c>
      <c r="AF34" s="5">
        <f t="shared" si="12"/>
        <v>0.012694035337050437</v>
      </c>
      <c r="AG34" s="4">
        <f t="shared" si="29"/>
        <v>33333.3333333333</v>
      </c>
      <c r="AH34" s="10">
        <f t="shared" si="0"/>
        <v>1556.8262273466335</v>
      </c>
      <c r="AI34" s="10">
        <f t="shared" si="22"/>
        <v>4.84512093084747</v>
      </c>
    </row>
    <row r="35" spans="1:35" ht="12.75">
      <c r="A35" s="111"/>
      <c r="B35" s="114"/>
      <c r="D35">
        <f t="shared" si="23"/>
        <v>333.3333333333333</v>
      </c>
      <c r="E35" s="4">
        <f>E34+D35</f>
        <v>7666.666666666664</v>
      </c>
      <c r="F35" s="15">
        <f t="shared" si="24"/>
        <v>40</v>
      </c>
      <c r="G35" s="15">
        <f t="shared" si="25"/>
        <v>13333.333333333332</v>
      </c>
      <c r="I35" s="15">
        <f t="shared" si="26"/>
        <v>0</v>
      </c>
      <c r="J35" s="15">
        <f t="shared" si="14"/>
        <v>0</v>
      </c>
      <c r="K35" s="15"/>
      <c r="L35" s="15">
        <f t="shared" si="15"/>
        <v>40</v>
      </c>
      <c r="M35" s="15">
        <f t="shared" si="16"/>
        <v>13333.333333333332</v>
      </c>
      <c r="O35" s="117"/>
      <c r="P35">
        <f t="shared" si="1"/>
        <v>0.05</v>
      </c>
      <c r="Q35">
        <f t="shared" si="17"/>
        <v>175.2716358685816</v>
      </c>
      <c r="R35" s="3">
        <f t="shared" si="2"/>
        <v>2827.294261062711</v>
      </c>
      <c r="S35" s="3">
        <f t="shared" si="3"/>
        <v>1995.1661069784227</v>
      </c>
      <c r="T35" s="3">
        <f t="shared" si="4"/>
        <v>4822.460368041134</v>
      </c>
      <c r="U35" s="3">
        <f t="shared" si="28"/>
        <v>0.41372369179030744</v>
      </c>
      <c r="V35" s="1">
        <f t="shared" si="27"/>
        <v>0.01974897462272609</v>
      </c>
      <c r="W35" s="15">
        <f t="shared" si="18"/>
        <v>0.7330418398208127</v>
      </c>
      <c r="X35" s="3">
        <f t="shared" si="6"/>
        <v>0.04597931942101233</v>
      </c>
      <c r="Y35" s="1">
        <f t="shared" si="19"/>
        <v>6.488633299609134E-06</v>
      </c>
      <c r="Z35" s="1">
        <f t="shared" si="20"/>
        <v>9.07887672362173E-05</v>
      </c>
      <c r="AA35" s="1">
        <f t="shared" si="7"/>
        <v>1.4241182921969187E-05</v>
      </c>
      <c r="AB35">
        <f t="shared" si="8"/>
        <v>21.35</v>
      </c>
      <c r="AC35">
        <f t="shared" si="9"/>
        <v>1</v>
      </c>
      <c r="AD35" s="8">
        <f t="shared" si="10"/>
        <v>292.9684513315813</v>
      </c>
      <c r="AE35" s="4">
        <f t="shared" si="11"/>
        <v>2019459.781974261</v>
      </c>
      <c r="AF35" s="5">
        <f t="shared" si="12"/>
        <v>0.012589802920318485</v>
      </c>
      <c r="AG35" s="4">
        <f t="shared" si="29"/>
        <v>33333.3333333333</v>
      </c>
      <c r="AH35" s="10">
        <f t="shared" si="0"/>
        <v>1665.9273739419712</v>
      </c>
      <c r="AI35" s="10">
        <f t="shared" si="22"/>
        <v>4.8284616571080505</v>
      </c>
    </row>
    <row r="36" spans="1:35" ht="12.75">
      <c r="A36" s="111"/>
      <c r="B36" s="114"/>
      <c r="D36">
        <f t="shared" si="23"/>
        <v>333.3333333333333</v>
      </c>
      <c r="E36" s="4">
        <f t="shared" si="13"/>
        <v>7999.999999999997</v>
      </c>
      <c r="F36" s="15">
        <f t="shared" si="24"/>
        <v>40</v>
      </c>
      <c r="G36" s="15">
        <f t="shared" si="25"/>
        <v>13333.333333333332</v>
      </c>
      <c r="I36" s="15">
        <f t="shared" si="26"/>
        <v>0</v>
      </c>
      <c r="J36" s="15">
        <f t="shared" si="14"/>
        <v>0</v>
      </c>
      <c r="K36" s="15"/>
      <c r="L36" s="15">
        <f t="shared" si="15"/>
        <v>40</v>
      </c>
      <c r="M36" s="15">
        <f t="shared" si="16"/>
        <v>13333.333333333332</v>
      </c>
      <c r="O36" s="117"/>
      <c r="P36">
        <f t="shared" si="1"/>
        <v>0.05</v>
      </c>
      <c r="Q36">
        <f t="shared" si="17"/>
        <v>175.34156650195754</v>
      </c>
      <c r="R36" s="3">
        <f t="shared" si="2"/>
        <v>2751.2522044110474</v>
      </c>
      <c r="S36" s="3">
        <f t="shared" si="3"/>
        <v>2071.2081636300863</v>
      </c>
      <c r="T36" s="3">
        <f t="shared" si="4"/>
        <v>4822.460368041134</v>
      </c>
      <c r="U36" s="3">
        <f t="shared" si="28"/>
        <v>0.4294920031600807</v>
      </c>
      <c r="V36" s="1">
        <f t="shared" si="27"/>
        <v>0.01967511906445712</v>
      </c>
      <c r="W36" s="15">
        <f t="shared" si="18"/>
        <v>0.7332340378619444</v>
      </c>
      <c r="X36" s="3">
        <f t="shared" si="6"/>
        <v>0.0442335674586395</v>
      </c>
      <c r="Y36" s="1">
        <f t="shared" si="19"/>
        <v>6.48536158483945E-06</v>
      </c>
      <c r="Z36" s="1">
        <f t="shared" si="20"/>
        <v>9.090903828880594E-05</v>
      </c>
      <c r="AA36" s="1">
        <f t="shared" si="7"/>
        <v>1.3793022221528176E-05</v>
      </c>
      <c r="AB36">
        <f t="shared" si="8"/>
        <v>21.35</v>
      </c>
      <c r="AC36">
        <f t="shared" si="9"/>
        <v>1</v>
      </c>
      <c r="AD36" s="8">
        <f t="shared" si="10"/>
        <v>304.53094285577646</v>
      </c>
      <c r="AE36" s="4">
        <f t="shared" si="11"/>
        <v>2085075.7503868577</v>
      </c>
      <c r="AF36" s="5">
        <f t="shared" si="12"/>
        <v>0.012489563906089036</v>
      </c>
      <c r="AG36" s="4">
        <f t="shared" si="29"/>
        <v>33333.3333333333</v>
      </c>
      <c r="AH36" s="10">
        <f t="shared" si="0"/>
        <v>1779.0099134947643</v>
      </c>
      <c r="AI36" s="10">
        <f t="shared" si="22"/>
        <v>4.8106715579731025</v>
      </c>
    </row>
    <row r="37" spans="1:35" ht="12.75">
      <c r="A37" s="111"/>
      <c r="B37" s="114"/>
      <c r="D37">
        <f t="shared" si="23"/>
        <v>333.3333333333333</v>
      </c>
      <c r="E37" s="4">
        <f t="shared" si="13"/>
        <v>8333.33333333333</v>
      </c>
      <c r="F37" s="15">
        <f t="shared" si="24"/>
        <v>40</v>
      </c>
      <c r="G37" s="15">
        <f t="shared" si="25"/>
        <v>13333.333333333332</v>
      </c>
      <c r="I37" s="15">
        <f t="shared" si="26"/>
        <v>0</v>
      </c>
      <c r="J37" s="15">
        <f t="shared" si="14"/>
        <v>0</v>
      </c>
      <c r="K37" s="15"/>
      <c r="L37" s="15">
        <f t="shared" si="15"/>
        <v>40</v>
      </c>
      <c r="M37" s="15">
        <f t="shared" si="16"/>
        <v>13333.333333333332</v>
      </c>
      <c r="O37" s="117"/>
      <c r="P37">
        <f t="shared" si="1"/>
        <v>0.05</v>
      </c>
      <c r="Q37">
        <f t="shared" si="17"/>
        <v>175.41624400109632</v>
      </c>
      <c r="R37" s="3">
        <f t="shared" si="2"/>
        <v>2675.242520078449</v>
      </c>
      <c r="S37" s="3">
        <f t="shared" si="3"/>
        <v>2147.2178479626846</v>
      </c>
      <c r="T37" s="3">
        <f t="shared" si="4"/>
        <v>4822.460368041134</v>
      </c>
      <c r="U37" s="3">
        <f t="shared" si="28"/>
        <v>0.44525360170764383</v>
      </c>
      <c r="V37" s="1">
        <f t="shared" si="27"/>
        <v>0.019596250217962158</v>
      </c>
      <c r="W37" s="15">
        <f t="shared" si="18"/>
        <v>0.7334392822356643</v>
      </c>
      <c r="X37" s="3">
        <f t="shared" si="6"/>
        <v>0.042593554721978455</v>
      </c>
      <c r="Y37" s="1">
        <f t="shared" si="19"/>
        <v>6.481867787270337E-06</v>
      </c>
      <c r="Z37" s="1">
        <f t="shared" si="20"/>
        <v>9.103793233015801E-05</v>
      </c>
      <c r="AA37" s="1">
        <f t="shared" si="7"/>
        <v>1.3371531331848658E-05</v>
      </c>
      <c r="AB37">
        <f t="shared" si="8"/>
        <v>21.35</v>
      </c>
      <c r="AC37">
        <f t="shared" si="9"/>
        <v>1</v>
      </c>
      <c r="AD37" s="8">
        <f t="shared" si="10"/>
        <v>316.25653439775596</v>
      </c>
      <c r="AE37" s="4">
        <f t="shared" si="11"/>
        <v>2150800.4913510056</v>
      </c>
      <c r="AF37" s="5">
        <f t="shared" si="12"/>
        <v>0.012393035739318686</v>
      </c>
      <c r="AG37" s="4">
        <f t="shared" si="29"/>
        <v>33333.3333333333</v>
      </c>
      <c r="AH37" s="10">
        <f t="shared" si="0"/>
        <v>1896.1843753183578</v>
      </c>
      <c r="AI37" s="10">
        <f t="shared" si="22"/>
        <v>4.791709714219919</v>
      </c>
    </row>
    <row r="38" spans="1:35" ht="12.75">
      <c r="A38" s="111"/>
      <c r="B38" s="114"/>
      <c r="D38">
        <f t="shared" si="23"/>
        <v>333.3333333333333</v>
      </c>
      <c r="E38" s="4">
        <f t="shared" si="13"/>
        <v>8666.666666666664</v>
      </c>
      <c r="F38" s="15">
        <f t="shared" si="24"/>
        <v>40</v>
      </c>
      <c r="G38" s="15">
        <f t="shared" si="25"/>
        <v>13333.333333333332</v>
      </c>
      <c r="I38" s="15">
        <f t="shared" si="26"/>
        <v>0</v>
      </c>
      <c r="J38" s="15">
        <f t="shared" si="14"/>
        <v>0</v>
      </c>
      <c r="K38" s="15"/>
      <c r="L38" s="15">
        <f t="shared" si="15"/>
        <v>40</v>
      </c>
      <c r="M38" s="15">
        <f t="shared" si="16"/>
        <v>13333.333333333332</v>
      </c>
      <c r="O38" s="117"/>
      <c r="P38">
        <f t="shared" si="1"/>
        <v>0.05</v>
      </c>
      <c r="Q38">
        <f t="shared" si="17"/>
        <v>175.49584013261907</v>
      </c>
      <c r="R38" s="3">
        <f t="shared" si="2"/>
        <v>2599.2673099352482</v>
      </c>
      <c r="S38" s="3">
        <f t="shared" si="3"/>
        <v>2223.1930581058855</v>
      </c>
      <c r="T38" s="3">
        <f t="shared" si="4"/>
        <v>4822.460368041134</v>
      </c>
      <c r="U38" s="3">
        <f t="shared" si="28"/>
        <v>0.46100805158279373</v>
      </c>
      <c r="V38" s="1">
        <f t="shared" si="27"/>
        <v>0.019512186676051167</v>
      </c>
      <c r="W38" s="15">
        <f t="shared" si="18"/>
        <v>0.7336580450270448</v>
      </c>
      <c r="X38" s="3">
        <f t="shared" si="6"/>
        <v>0.041048650852728824</v>
      </c>
      <c r="Y38" s="1">
        <f t="shared" si="19"/>
        <v>6.478143870775651E-06</v>
      </c>
      <c r="Z38" s="1">
        <f t="shared" si="20"/>
        <v>9.117584181746463E-05</v>
      </c>
      <c r="AA38" s="1">
        <f t="shared" si="7"/>
        <v>1.2974347449228935E-05</v>
      </c>
      <c r="AB38">
        <f t="shared" si="8"/>
        <v>21.35</v>
      </c>
      <c r="AC38">
        <f t="shared" si="9"/>
        <v>1</v>
      </c>
      <c r="AD38" s="8">
        <f t="shared" si="10"/>
        <v>328.1591410246944</v>
      </c>
      <c r="AE38" s="4">
        <f t="shared" si="11"/>
        <v>2216642.9773209626</v>
      </c>
      <c r="AF38" s="5">
        <f t="shared" si="12"/>
        <v>0.012299962760297219</v>
      </c>
      <c r="AG38" s="4">
        <f t="shared" si="29"/>
        <v>33333.333333333394</v>
      </c>
      <c r="AH38" s="10">
        <f t="shared" si="0"/>
        <v>2017.574692001887</v>
      </c>
      <c r="AI38" s="10">
        <f t="shared" si="22"/>
        <v>4.7715339672998995</v>
      </c>
    </row>
    <row r="39" spans="1:35" ht="12.75">
      <c r="A39" s="111"/>
      <c r="B39" s="114"/>
      <c r="D39">
        <f t="shared" si="23"/>
        <v>333.3333333333333</v>
      </c>
      <c r="E39" s="4">
        <f>E38+D39</f>
        <v>8999.999999999998</v>
      </c>
      <c r="F39" s="15">
        <f t="shared" si="24"/>
        <v>40</v>
      </c>
      <c r="G39" s="15">
        <f t="shared" si="25"/>
        <v>13333.333333333332</v>
      </c>
      <c r="I39" s="15">
        <f t="shared" si="26"/>
        <v>0</v>
      </c>
      <c r="J39" s="15">
        <f t="shared" si="14"/>
        <v>0</v>
      </c>
      <c r="K39" s="15"/>
      <c r="L39" s="15">
        <f t="shared" si="15"/>
        <v>40</v>
      </c>
      <c r="M39" s="15">
        <f t="shared" si="16"/>
        <v>13333.333333333332</v>
      </c>
      <c r="O39" s="117"/>
      <c r="P39">
        <f t="shared" si="1"/>
        <v>0.05</v>
      </c>
      <c r="Q39">
        <f t="shared" si="17"/>
        <v>175.58053186546522</v>
      </c>
      <c r="R39" s="3">
        <f t="shared" si="2"/>
        <v>2523.328746635134</v>
      </c>
      <c r="S39" s="3">
        <f t="shared" si="3"/>
        <v>2299.131621406</v>
      </c>
      <c r="T39" s="3">
        <f t="shared" si="4"/>
        <v>4822.460368041134</v>
      </c>
      <c r="U39" s="3">
        <f t="shared" si="28"/>
        <v>0.47675490225747547</v>
      </c>
      <c r="V39" s="1">
        <f t="shared" si="27"/>
        <v>0.019422741537230646</v>
      </c>
      <c r="W39" s="15">
        <f t="shared" si="18"/>
        <v>0.733890812619261</v>
      </c>
      <c r="X39" s="3">
        <f t="shared" si="6"/>
        <v>0.03958954378561235</v>
      </c>
      <c r="Y39" s="1">
        <f t="shared" si="19"/>
        <v>6.474181555838026E-06</v>
      </c>
      <c r="Z39" s="1">
        <f t="shared" si="20"/>
        <v>9.132318057578728E-05</v>
      </c>
      <c r="AA39" s="1">
        <f t="shared" si="7"/>
        <v>1.259937653689406E-05</v>
      </c>
      <c r="AB39">
        <f t="shared" si="8"/>
        <v>21.35</v>
      </c>
      <c r="AC39">
        <f t="shared" si="9"/>
        <v>1</v>
      </c>
      <c r="AD39" s="8">
        <f t="shared" si="10"/>
        <v>340.25373156609936</v>
      </c>
      <c r="AE39" s="4">
        <f t="shared" si="11"/>
        <v>2282612.6415414773</v>
      </c>
      <c r="AF39" s="5">
        <f t="shared" si="12"/>
        <v>0.01221011289176943</v>
      </c>
      <c r="AG39" s="4">
        <f t="shared" si="29"/>
        <v>33333.333333333394</v>
      </c>
      <c r="AH39" s="10">
        <f t="shared" si="0"/>
        <v>2143.319297522939</v>
      </c>
      <c r="AI39" s="10">
        <f t="shared" si="22"/>
        <v>4.75010077432467</v>
      </c>
    </row>
    <row r="40" spans="1:35" ht="12.75">
      <c r="A40" s="111"/>
      <c r="B40" s="114"/>
      <c r="D40">
        <f t="shared" si="23"/>
        <v>333.3333333333333</v>
      </c>
      <c r="E40" s="4">
        <f t="shared" si="13"/>
        <v>9333.333333333332</v>
      </c>
      <c r="F40" s="15">
        <f t="shared" si="24"/>
        <v>40</v>
      </c>
      <c r="G40" s="15">
        <f t="shared" si="25"/>
        <v>13333.333333333332</v>
      </c>
      <c r="I40" s="15">
        <f t="shared" si="26"/>
        <v>0</v>
      </c>
      <c r="J40" s="15">
        <f t="shared" si="14"/>
        <v>0</v>
      </c>
      <c r="K40" s="15"/>
      <c r="L40" s="15">
        <f t="shared" si="15"/>
        <v>40</v>
      </c>
      <c r="M40" s="15">
        <f t="shared" si="16"/>
        <v>13333.333333333332</v>
      </c>
      <c r="O40" s="117"/>
      <c r="P40">
        <f t="shared" si="1"/>
        <v>0.05</v>
      </c>
      <c r="Q40">
        <f t="shared" si="17"/>
        <v>175.67050197961734</v>
      </c>
      <c r="R40" s="3">
        <f t="shared" si="2"/>
        <v>2447.429075471899</v>
      </c>
      <c r="S40" s="3">
        <f t="shared" si="3"/>
        <v>2375.0312925692347</v>
      </c>
      <c r="T40" s="3">
        <f t="shared" si="4"/>
        <v>4822.460368041134</v>
      </c>
      <c r="U40" s="3">
        <f t="shared" si="28"/>
        <v>0.49249368814076205</v>
      </c>
      <c r="V40" s="1">
        <f t="shared" si="27"/>
        <v>0.01932772176281356</v>
      </c>
      <c r="W40" s="15">
        <f t="shared" si="18"/>
        <v>0.7341380873666162</v>
      </c>
      <c r="X40" s="3">
        <f t="shared" si="6"/>
        <v>0.03820803854686881</v>
      </c>
      <c r="Y40" s="1">
        <f t="shared" si="19"/>
        <v>6.469972291069622E-06</v>
      </c>
      <c r="Z40" s="1">
        <f t="shared" si="20"/>
        <v>9.148038619010579E-05</v>
      </c>
      <c r="AA40" s="1">
        <f t="shared" si="7"/>
        <v>1.2244756051747255E-05</v>
      </c>
      <c r="AB40">
        <f t="shared" si="8"/>
        <v>21.35</v>
      </c>
      <c r="AC40">
        <f t="shared" si="9"/>
        <v>1</v>
      </c>
      <c r="AD40" s="8">
        <f t="shared" si="10"/>
        <v>352.5564388114344</v>
      </c>
      <c r="AE40" s="4">
        <f t="shared" si="11"/>
        <v>2348719.405851426</v>
      </c>
      <c r="AF40" s="5">
        <f t="shared" si="12"/>
        <v>0.012123274810427947</v>
      </c>
      <c r="AG40" s="4">
        <f t="shared" si="29"/>
        <v>33333.333333333394</v>
      </c>
      <c r="AH40" s="10">
        <f t="shared" si="0"/>
        <v>2273.57238949753</v>
      </c>
      <c r="AI40" s="10">
        <f t="shared" si="22"/>
        <v>4.727365050429695</v>
      </c>
    </row>
    <row r="41" spans="1:35" ht="12.75">
      <c r="A41" s="111"/>
      <c r="B41" s="114"/>
      <c r="D41">
        <f t="shared" si="23"/>
        <v>333.3333333333333</v>
      </c>
      <c r="E41" s="4">
        <f t="shared" si="13"/>
        <v>9666.666666666666</v>
      </c>
      <c r="F41" s="15">
        <f t="shared" si="24"/>
        <v>40</v>
      </c>
      <c r="G41" s="15">
        <f t="shared" si="25"/>
        <v>13333.333333333332</v>
      </c>
      <c r="I41" s="15">
        <f t="shared" si="26"/>
        <v>0</v>
      </c>
      <c r="J41" s="15">
        <f t="shared" si="14"/>
        <v>0</v>
      </c>
      <c r="K41" s="15"/>
      <c r="L41" s="15">
        <f t="shared" si="15"/>
        <v>40</v>
      </c>
      <c r="M41" s="15">
        <f t="shared" si="16"/>
        <v>13333.333333333332</v>
      </c>
      <c r="O41" s="117"/>
      <c r="P41">
        <f t="shared" si="1"/>
        <v>0.05</v>
      </c>
      <c r="Q41">
        <f t="shared" si="17"/>
        <v>175.7659397278113</v>
      </c>
      <c r="R41" s="3">
        <f t="shared" si="2"/>
        <v>2371.570616466809</v>
      </c>
      <c r="S41" s="3">
        <f t="shared" si="3"/>
        <v>2450.8897515743247</v>
      </c>
      <c r="T41" s="3">
        <f t="shared" si="4"/>
        <v>4822.460368041134</v>
      </c>
      <c r="U41" s="3">
        <f t="shared" si="28"/>
        <v>0.5082239281460114</v>
      </c>
      <c r="V41" s="1">
        <f t="shared" si="27"/>
        <v>0.019226927478069967</v>
      </c>
      <c r="W41" s="15">
        <f t="shared" si="18"/>
        <v>0.7344003894131926</v>
      </c>
      <c r="X41" s="3">
        <f t="shared" si="6"/>
        <v>0.03689689147640091</v>
      </c>
      <c r="Y41" s="1">
        <f t="shared" si="19"/>
        <v>6.4655072222538875E-06</v>
      </c>
      <c r="Z41" s="1">
        <f t="shared" si="20"/>
        <v>9.164792265771587E-05</v>
      </c>
      <c r="AA41" s="1">
        <f t="shared" si="7"/>
        <v>1.1908823693255615E-05</v>
      </c>
      <c r="AB41">
        <f t="shared" si="8"/>
        <v>21.35</v>
      </c>
      <c r="AC41">
        <f t="shared" si="9"/>
        <v>1</v>
      </c>
      <c r="AD41" s="8">
        <f t="shared" si="10"/>
        <v>365.084685051849</v>
      </c>
      <c r="AE41" s="4">
        <f t="shared" si="11"/>
        <v>2414973.711882474</v>
      </c>
      <c r="AF41" s="5">
        <f t="shared" si="12"/>
        <v>0.012039255520056004</v>
      </c>
      <c r="AG41" s="4">
        <f t="shared" si="29"/>
        <v>33333.333333333394</v>
      </c>
      <c r="AH41" s="10">
        <f t="shared" si="0"/>
        <v>2408.505379277852</v>
      </c>
      <c r="AI41" s="10">
        <f t="shared" si="22"/>
        <v>4.703279996636916</v>
      </c>
    </row>
    <row r="42" spans="1:35" ht="13.5" thickBot="1">
      <c r="A42" s="112"/>
      <c r="B42" s="115"/>
      <c r="D42">
        <f t="shared" si="23"/>
        <v>333.3333333333333</v>
      </c>
      <c r="E42" s="4">
        <f t="shared" si="13"/>
        <v>10000</v>
      </c>
      <c r="F42" s="15">
        <f t="shared" si="24"/>
        <v>40</v>
      </c>
      <c r="G42" s="15">
        <f t="shared" si="25"/>
        <v>13333.333333333332</v>
      </c>
      <c r="I42" s="15">
        <f t="shared" si="26"/>
        <v>0</v>
      </c>
      <c r="J42" s="15">
        <f t="shared" si="14"/>
        <v>0</v>
      </c>
      <c r="K42" s="15"/>
      <c r="L42" s="15">
        <f t="shared" si="15"/>
        <v>40</v>
      </c>
      <c r="M42" s="15">
        <f t="shared" si="16"/>
        <v>13333.333333333332</v>
      </c>
      <c r="O42" s="118"/>
      <c r="P42">
        <f t="shared" si="1"/>
        <v>0.05</v>
      </c>
      <c r="Q42">
        <f t="shared" si="17"/>
        <v>175.86704155811722</v>
      </c>
      <c r="R42" s="3">
        <f t="shared" si="2"/>
        <v>2295.755766707554</v>
      </c>
      <c r="S42" s="3">
        <f t="shared" si="3"/>
        <v>2526.70460133358</v>
      </c>
      <c r="T42" s="3">
        <f t="shared" si="4"/>
        <v>4822.460368041134</v>
      </c>
      <c r="U42" s="3">
        <f t="shared" si="28"/>
        <v>0.5239451252058538</v>
      </c>
      <c r="V42" s="1">
        <f t="shared" si="27"/>
        <v>0.01912015120909044</v>
      </c>
      <c r="W42" s="15">
        <f t="shared" si="18"/>
        <v>0.7346782586787999</v>
      </c>
      <c r="X42" s="3">
        <f t="shared" si="6"/>
        <v>0.03564967276770839</v>
      </c>
      <c r="Y42" s="1">
        <f t="shared" si="19"/>
        <v>6.460777158539524E-06</v>
      </c>
      <c r="Z42" s="1">
        <f t="shared" si="20"/>
        <v>9.18262833410891E-05</v>
      </c>
      <c r="AA42" s="1">
        <f t="shared" si="7"/>
        <v>1.159009106760101E-05</v>
      </c>
      <c r="AB42">
        <f t="shared" si="8"/>
        <v>21.35</v>
      </c>
      <c r="AC42">
        <f t="shared" si="9"/>
        <v>1</v>
      </c>
      <c r="AD42" s="8">
        <f t="shared" si="10"/>
        <v>377.8573254185856</v>
      </c>
      <c r="AE42" s="4">
        <f t="shared" si="11"/>
        <v>2481386.5560599333</v>
      </c>
      <c r="AF42" s="5">
        <f t="shared" si="12"/>
        <v>0.01195787825945235</v>
      </c>
      <c r="AG42" s="4">
        <f t="shared" si="29"/>
        <v>33333.333333333394</v>
      </c>
      <c r="AH42" s="10">
        <f t="shared" si="0"/>
        <v>2548.308558386246</v>
      </c>
      <c r="AI42" s="10">
        <f t="shared" si="22"/>
        <v>4.677796911053054</v>
      </c>
    </row>
    <row r="43" spans="1:35" ht="12.75">
      <c r="A43" s="108" t="s">
        <v>44</v>
      </c>
      <c r="B43" s="113">
        <f>O43</f>
        <v>200000.00000000003</v>
      </c>
      <c r="D43">
        <f t="shared" si="23"/>
        <v>333.3333333333333</v>
      </c>
      <c r="E43" s="4">
        <f t="shared" si="13"/>
        <v>10333.333333333334</v>
      </c>
      <c r="F43" s="15">
        <f t="shared" si="24"/>
        <v>40</v>
      </c>
      <c r="G43" s="15">
        <f t="shared" si="25"/>
        <v>13333.333333333332</v>
      </c>
      <c r="I43" s="15">
        <f t="shared" si="26"/>
        <v>0</v>
      </c>
      <c r="J43" s="15">
        <f t="shared" si="14"/>
        <v>0</v>
      </c>
      <c r="K43" s="15"/>
      <c r="L43" s="15">
        <f t="shared" si="15"/>
        <v>40</v>
      </c>
      <c r="M43" s="15">
        <f t="shared" si="16"/>
        <v>13333.333333333332</v>
      </c>
      <c r="O43" s="116">
        <f>SUM(M43:M57)</f>
        <v>200000.00000000003</v>
      </c>
      <c r="P43">
        <f t="shared" si="1"/>
        <v>0.05</v>
      </c>
      <c r="Q43">
        <f t="shared" si="17"/>
        <v>175.9740119064726</v>
      </c>
      <c r="R43" s="3">
        <f t="shared" si="2"/>
        <v>2219.9870029629406</v>
      </c>
      <c r="S43" s="3">
        <f t="shared" si="3"/>
        <v>2602.473365078193</v>
      </c>
      <c r="T43" s="3">
        <f t="shared" si="4"/>
        <v>4822.460368041134</v>
      </c>
      <c r="U43" s="3">
        <f t="shared" si="28"/>
        <v>0.539656765730002</v>
      </c>
      <c r="V43" s="1">
        <f t="shared" si="27"/>
        <v>0.019007177045771505</v>
      </c>
      <c r="W43" s="15">
        <f t="shared" si="18"/>
        <v>0.7349722570371808</v>
      </c>
      <c r="X43" s="3">
        <f t="shared" si="6"/>
        <v>0.03446065179763795</v>
      </c>
      <c r="Y43" s="1">
        <f t="shared" si="19"/>
        <v>6.45577253536171E-06</v>
      </c>
      <c r="Z43" s="1">
        <f t="shared" si="20"/>
        <v>9.201599426822486E-05</v>
      </c>
      <c r="AA43" s="1">
        <f t="shared" si="7"/>
        <v>1.1287221386547204E-05</v>
      </c>
      <c r="AB43">
        <f t="shared" si="8"/>
        <v>21.35</v>
      </c>
      <c r="AC43">
        <f t="shared" si="9"/>
        <v>1</v>
      </c>
      <c r="AD43" s="8">
        <f t="shared" si="10"/>
        <v>390.8948119483159</v>
      </c>
      <c r="AE43" s="4">
        <f t="shared" si="11"/>
        <v>2547969.5288809324</v>
      </c>
      <c r="AF43" s="5">
        <f t="shared" si="12"/>
        <v>0.011878980690737718</v>
      </c>
      <c r="AG43" s="4">
        <f t="shared" si="29"/>
        <v>33333.333333333394</v>
      </c>
      <c r="AH43" s="10">
        <f t="shared" si="0"/>
        <v>2693.193015530847</v>
      </c>
      <c r="AI43" s="10">
        <f t="shared" si="22"/>
        <v>4.650864980897746</v>
      </c>
    </row>
    <row r="44" spans="1:35" ht="12.75">
      <c r="A44" s="111"/>
      <c r="B44" s="114"/>
      <c r="D44">
        <f t="shared" si="23"/>
        <v>333.3333333333333</v>
      </c>
      <c r="E44" s="4">
        <f t="shared" si="13"/>
        <v>10666.666666666668</v>
      </c>
      <c r="F44" s="15">
        <f t="shared" si="24"/>
        <v>40</v>
      </c>
      <c r="G44" s="15">
        <f t="shared" si="25"/>
        <v>13333.333333333332</v>
      </c>
      <c r="I44" s="15">
        <f t="shared" si="26"/>
        <v>0</v>
      </c>
      <c r="J44" s="15">
        <f t="shared" si="14"/>
        <v>0</v>
      </c>
      <c r="K44" s="15"/>
      <c r="L44" s="15">
        <f t="shared" si="15"/>
        <v>40</v>
      </c>
      <c r="M44" s="15">
        <f t="shared" si="16"/>
        <v>13333.333333333332</v>
      </c>
      <c r="O44" s="117"/>
      <c r="P44">
        <f t="shared" si="1"/>
        <v>0.05</v>
      </c>
      <c r="Q44">
        <f t="shared" si="17"/>
        <v>176.08706406968554</v>
      </c>
      <c r="R44" s="3">
        <f t="shared" si="2"/>
        <v>2144.2668846011697</v>
      </c>
      <c r="S44" s="3">
        <f t="shared" si="3"/>
        <v>2678.193483439964</v>
      </c>
      <c r="T44" s="3">
        <f t="shared" si="4"/>
        <v>4822.460368041134</v>
      </c>
      <c r="U44" s="3">
        <f t="shared" si="28"/>
        <v>0.5553583190001076</v>
      </c>
      <c r="V44" s="1">
        <f t="shared" si="27"/>
        <v>0.018887779719813976</v>
      </c>
      <c r="W44" s="15">
        <f t="shared" si="18"/>
        <v>0.7352829707153827</v>
      </c>
      <c r="X44" s="3">
        <f t="shared" si="6"/>
        <v>0.033324700911324445</v>
      </c>
      <c r="Y44" s="1">
        <f t="shared" si="19"/>
        <v>6.4504833735985084E-06</v>
      </c>
      <c r="Z44" s="1">
        <f t="shared" si="20"/>
        <v>9.221761783588926E-05</v>
      </c>
      <c r="AA44" s="1">
        <f t="shared" si="7"/>
        <v>1.0999010495990606E-05</v>
      </c>
      <c r="AB44">
        <f t="shared" si="8"/>
        <v>21.35</v>
      </c>
      <c r="AC44">
        <f t="shared" si="9"/>
        <v>1</v>
      </c>
      <c r="AD44" s="8">
        <f t="shared" si="10"/>
        <v>404.2193818902819</v>
      </c>
      <c r="AE44" s="4">
        <f t="shared" si="11"/>
        <v>2614734.859025634</v>
      </c>
      <c r="AF44" s="5">
        <f t="shared" si="12"/>
        <v>0.011802413323510206</v>
      </c>
      <c r="AG44" s="4">
        <f t="shared" si="29"/>
        <v>33333.333333333394</v>
      </c>
      <c r="AH44" s="10">
        <f aca="true" t="shared" si="30" ref="AH44:AH72">AF44*AG44/(AB44)*(V44*AD44^2/2)*0.1</f>
        <v>2843.3928454431707</v>
      </c>
      <c r="AI44" s="10">
        <f t="shared" si="22"/>
        <v>4.622431052443314</v>
      </c>
    </row>
    <row r="45" spans="1:35" ht="12.75">
      <c r="A45" s="111"/>
      <c r="B45" s="114"/>
      <c r="D45">
        <f t="shared" si="23"/>
        <v>333.3333333333333</v>
      </c>
      <c r="E45" s="4">
        <f t="shared" si="13"/>
        <v>11000.000000000002</v>
      </c>
      <c r="F45" s="15">
        <f t="shared" si="24"/>
        <v>40</v>
      </c>
      <c r="G45" s="15">
        <f t="shared" si="25"/>
        <v>13333.333333333332</v>
      </c>
      <c r="I45" s="15">
        <f t="shared" si="26"/>
        <v>0</v>
      </c>
      <c r="J45" s="15">
        <f t="shared" si="14"/>
        <v>0</v>
      </c>
      <c r="K45" s="15"/>
      <c r="L45" s="15">
        <f t="shared" si="15"/>
        <v>40</v>
      </c>
      <c r="M45" s="15">
        <f t="shared" si="16"/>
        <v>13333.333333333332</v>
      </c>
      <c r="O45" s="117"/>
      <c r="P45">
        <f t="shared" si="1"/>
        <v>0.05</v>
      </c>
      <c r="Q45">
        <f t="shared" si="17"/>
        <v>176.20642117115872</v>
      </c>
      <c r="R45" s="3">
        <f aca="true" t="shared" si="31" ref="R45:R72">R44-M45/Q45</f>
        <v>2068.5980568438545</v>
      </c>
      <c r="S45" s="3">
        <f aca="true" t="shared" si="32" ref="S45:S72">S44+M45/Q45</f>
        <v>2753.8623111972793</v>
      </c>
      <c r="T45" s="3">
        <f t="shared" si="4"/>
        <v>4822.460368041134</v>
      </c>
      <c r="U45" s="3">
        <f t="shared" si="28"/>
        <v>0.5710492364949986</v>
      </c>
      <c r="V45" s="1">
        <f t="shared" si="27"/>
        <v>0.018761723584796944</v>
      </c>
      <c r="W45" s="15">
        <f t="shared" si="18"/>
        <v>0.7356110129479615</v>
      </c>
      <c r="X45" s="3">
        <f t="shared" si="6"/>
        <v>0.032237214237676205</v>
      </c>
      <c r="Y45" s="1">
        <f t="shared" si="19"/>
        <v>6.444899234389342E-06</v>
      </c>
      <c r="Z45" s="1">
        <f t="shared" si="20"/>
        <v>9.243175698129206E-05</v>
      </c>
      <c r="AA45" s="1">
        <f t="shared" si="7"/>
        <v>1.0724370666228476E-05</v>
      </c>
      <c r="AB45">
        <f t="shared" si="8"/>
        <v>21.35</v>
      </c>
      <c r="AC45">
        <f t="shared" si="9"/>
        <v>1</v>
      </c>
      <c r="AD45" s="8">
        <f t="shared" si="10"/>
        <v>417.8552744892851</v>
      </c>
      <c r="AE45" s="4">
        <f t="shared" si="11"/>
        <v>2681695.4629534027</v>
      </c>
      <c r="AF45" s="5">
        <f t="shared" si="12"/>
        <v>0.011728038138173663</v>
      </c>
      <c r="AG45" s="4">
        <f t="shared" si="29"/>
        <v>33333.333333333394</v>
      </c>
      <c r="AH45" s="10">
        <f t="shared" si="30"/>
        <v>2999.1676993390943</v>
      </c>
      <c r="AI45" s="10">
        <f t="shared" si="22"/>
        <v>4.592439375449923</v>
      </c>
    </row>
    <row r="46" spans="1:35" ht="12.75">
      <c r="A46" s="111"/>
      <c r="B46" s="114"/>
      <c r="D46">
        <f t="shared" si="23"/>
        <v>333.3333333333333</v>
      </c>
      <c r="E46" s="4">
        <f t="shared" si="13"/>
        <v>11333.333333333336</v>
      </c>
      <c r="F46" s="15">
        <f t="shared" si="24"/>
        <v>40</v>
      </c>
      <c r="G46" s="15">
        <f t="shared" si="25"/>
        <v>13333.333333333332</v>
      </c>
      <c r="I46" s="15">
        <f t="shared" si="26"/>
        <v>0</v>
      </c>
      <c r="J46" s="15">
        <f t="shared" si="14"/>
        <v>0</v>
      </c>
      <c r="K46" s="15"/>
      <c r="L46" s="15">
        <f t="shared" si="15"/>
        <v>40</v>
      </c>
      <c r="M46" s="15">
        <f t="shared" si="16"/>
        <v>13333.333333333332</v>
      </c>
      <c r="O46" s="117"/>
      <c r="P46">
        <f t="shared" si="1"/>
        <v>0.05</v>
      </c>
      <c r="Q46">
        <f t="shared" si="17"/>
        <v>176.33231723367388</v>
      </c>
      <c r="R46" s="3">
        <f t="shared" si="31"/>
        <v>1992.9832543929565</v>
      </c>
      <c r="S46" s="3">
        <f t="shared" si="32"/>
        <v>2829.4771136481772</v>
      </c>
      <c r="T46" s="3">
        <f t="shared" si="4"/>
        <v>4822.460368041134</v>
      </c>
      <c r="U46" s="3">
        <f t="shared" si="28"/>
        <v>0.5867289511385867</v>
      </c>
      <c r="V46" s="1">
        <f t="shared" si="27"/>
        <v>0.018628761483182144</v>
      </c>
      <c r="W46" s="15">
        <f t="shared" si="18"/>
        <v>0.7359570269254342</v>
      </c>
      <c r="X46" s="3">
        <f t="shared" si="6"/>
        <v>0.031194038809953754</v>
      </c>
      <c r="Y46" s="1">
        <f t="shared" si="19"/>
        <v>6.439009168944611E-06</v>
      </c>
      <c r="Z46" s="1">
        <f t="shared" si="20"/>
        <v>9.265905990013528E-05</v>
      </c>
      <c r="AA46" s="1">
        <f t="shared" si="7"/>
        <v>1.0462316683721197E-05</v>
      </c>
      <c r="AB46">
        <f t="shared" si="8"/>
        <v>21.35</v>
      </c>
      <c r="AC46">
        <f t="shared" si="9"/>
        <v>1</v>
      </c>
      <c r="AD46" s="8">
        <f t="shared" si="10"/>
        <v>431.8289813679324</v>
      </c>
      <c r="AE46" s="4">
        <f t="shared" si="11"/>
        <v>2748865.0007510954</v>
      </c>
      <c r="AF46" s="5">
        <f t="shared" si="12"/>
        <v>0.01165572737805268</v>
      </c>
      <c r="AG46" s="4">
        <f t="shared" si="29"/>
        <v>33333.333333333394</v>
      </c>
      <c r="AH46" s="10">
        <f t="shared" si="30"/>
        <v>3160.8057373547617</v>
      </c>
      <c r="AI46" s="10">
        <f t="shared" si="22"/>
        <v>4.560831318076375</v>
      </c>
    </row>
    <row r="47" spans="1:35" ht="12.75">
      <c r="A47" s="111"/>
      <c r="B47" s="114"/>
      <c r="D47">
        <f t="shared" si="23"/>
        <v>333.3333333333333</v>
      </c>
      <c r="E47" s="4">
        <f t="shared" si="13"/>
        <v>11666.66666666667</v>
      </c>
      <c r="F47" s="15">
        <f t="shared" si="24"/>
        <v>40</v>
      </c>
      <c r="G47" s="15">
        <f t="shared" si="25"/>
        <v>13333.333333333332</v>
      </c>
      <c r="I47" s="15">
        <f t="shared" si="26"/>
        <v>0</v>
      </c>
      <c r="J47" s="15">
        <f t="shared" si="14"/>
        <v>0</v>
      </c>
      <c r="K47" s="15"/>
      <c r="L47" s="15">
        <f t="shared" si="15"/>
        <v>40</v>
      </c>
      <c r="M47" s="15">
        <f t="shared" si="16"/>
        <v>13333.333333333332</v>
      </c>
      <c r="O47" s="117"/>
      <c r="P47">
        <f t="shared" si="1"/>
        <v>0.05</v>
      </c>
      <c r="Q47">
        <f t="shared" si="17"/>
        <v>176.46499837611083</v>
      </c>
      <c r="R47" s="3">
        <f t="shared" si="31"/>
        <v>1917.4253054737314</v>
      </c>
      <c r="S47" s="3">
        <f t="shared" si="32"/>
        <v>2905.0350625674023</v>
      </c>
      <c r="T47" s="3">
        <f t="shared" si="4"/>
        <v>4822.460368041134</v>
      </c>
      <c r="U47" s="3">
        <f t="shared" si="28"/>
        <v>0.6023968764615099</v>
      </c>
      <c r="V47" s="1">
        <f t="shared" si="27"/>
        <v>0.018488633482427994</v>
      </c>
      <c r="W47" s="15">
        <f t="shared" si="18"/>
        <v>0.7363216890833528</v>
      </c>
      <c r="X47" s="3">
        <f t="shared" si="6"/>
        <v>0.030191415806988916</v>
      </c>
      <c r="Y47" s="1">
        <f t="shared" si="19"/>
        <v>6.43280166255702E-06</v>
      </c>
      <c r="Z47" s="1">
        <f t="shared" si="20"/>
        <v>9.290022540413666E-05</v>
      </c>
      <c r="AA47" s="1">
        <f t="shared" si="7"/>
        <v>1.0211953869339925E-05</v>
      </c>
      <c r="AB47">
        <f t="shared" si="8"/>
        <v>21.35</v>
      </c>
      <c r="AC47">
        <f t="shared" si="9"/>
        <v>1</v>
      </c>
      <c r="AD47" s="8">
        <f t="shared" si="10"/>
        <v>446.16953673751993</v>
      </c>
      <c r="AE47" s="4">
        <f t="shared" si="11"/>
        <v>2816257.939139555</v>
      </c>
      <c r="AF47" s="5">
        <f t="shared" si="12"/>
        <v>0.011585362484965556</v>
      </c>
      <c r="AG47" s="4">
        <f t="shared" si="29"/>
        <v>33333.333333333394</v>
      </c>
      <c r="AH47" s="10">
        <f t="shared" si="30"/>
        <v>3328.627056395316</v>
      </c>
      <c r="AI47" s="10">
        <f t="shared" si="22"/>
        <v>4.527545047512422</v>
      </c>
    </row>
    <row r="48" spans="1:35" ht="12.75">
      <c r="A48" s="111"/>
      <c r="B48" s="114"/>
      <c r="D48">
        <f t="shared" si="23"/>
        <v>333.3333333333333</v>
      </c>
      <c r="E48" s="4">
        <f>E47+D48</f>
        <v>12000.000000000004</v>
      </c>
      <c r="F48" s="15">
        <f t="shared" si="24"/>
        <v>40</v>
      </c>
      <c r="G48" s="15">
        <f t="shared" si="25"/>
        <v>13333.333333333332</v>
      </c>
      <c r="I48" s="15">
        <f t="shared" si="26"/>
        <v>0</v>
      </c>
      <c r="J48" s="15">
        <f t="shared" si="14"/>
        <v>0</v>
      </c>
      <c r="K48" s="15"/>
      <c r="L48" s="15">
        <f t="shared" si="15"/>
        <v>40</v>
      </c>
      <c r="M48" s="15">
        <f t="shared" si="16"/>
        <v>13333.333333333332</v>
      </c>
      <c r="O48" s="117"/>
      <c r="P48">
        <f t="shared" si="1"/>
        <v>0.05</v>
      </c>
      <c r="Q48">
        <f t="shared" si="17"/>
        <v>176.60472415405712</v>
      </c>
      <c r="R48" s="3">
        <f t="shared" si="31"/>
        <v>1841.9271363437692</v>
      </c>
      <c r="S48" s="3">
        <f t="shared" si="32"/>
        <v>2980.5332316973645</v>
      </c>
      <c r="T48" s="3">
        <f t="shared" si="4"/>
        <v>4822.460368041134</v>
      </c>
      <c r="U48" s="3">
        <f t="shared" si="28"/>
        <v>0.618052405666124</v>
      </c>
      <c r="V48" s="1">
        <f t="shared" si="27"/>
        <v>0.018341065459136822</v>
      </c>
      <c r="W48" s="15">
        <f t="shared" si="18"/>
        <v>0.7367057127868492</v>
      </c>
      <c r="X48" s="3">
        <f t="shared" si="6"/>
        <v>0.02922593015181803</v>
      </c>
      <c r="Y48" s="1">
        <f t="shared" si="19"/>
        <v>6.426264571880965E-06</v>
      </c>
      <c r="Z48" s="1">
        <f t="shared" si="20"/>
        <v>9.315600902980676E-05</v>
      </c>
      <c r="AA48" s="1">
        <f t="shared" si="7"/>
        <v>9.97246771587725E-06</v>
      </c>
      <c r="AB48">
        <f t="shared" si="8"/>
        <v>21.35</v>
      </c>
      <c r="AC48">
        <f t="shared" si="9"/>
        <v>1</v>
      </c>
      <c r="AD48" s="8">
        <f t="shared" si="10"/>
        <v>460.90885505028604</v>
      </c>
      <c r="AE48" s="4">
        <f t="shared" si="11"/>
        <v>2883889.6227126634</v>
      </c>
      <c r="AF48" s="5">
        <f t="shared" si="12"/>
        <v>0.011516833157009404</v>
      </c>
      <c r="AG48" s="4">
        <f t="shared" si="29"/>
        <v>33333.333333333394</v>
      </c>
      <c r="AH48" s="10">
        <f t="shared" si="30"/>
        <v>3502.987683172177</v>
      </c>
      <c r="AI48" s="10">
        <f t="shared" si="22"/>
        <v>4.492515170680701</v>
      </c>
    </row>
    <row r="49" spans="1:35" ht="12.75">
      <c r="A49" s="111"/>
      <c r="B49" s="114"/>
      <c r="D49">
        <f t="shared" si="23"/>
        <v>333.3333333333333</v>
      </c>
      <c r="E49" s="4">
        <f t="shared" si="13"/>
        <v>12333.333333333338</v>
      </c>
      <c r="F49" s="15">
        <f t="shared" si="24"/>
        <v>40</v>
      </c>
      <c r="G49" s="15">
        <f t="shared" si="25"/>
        <v>13333.333333333332</v>
      </c>
      <c r="I49" s="15">
        <f t="shared" si="26"/>
        <v>0</v>
      </c>
      <c r="J49" s="15">
        <f t="shared" si="14"/>
        <v>0</v>
      </c>
      <c r="K49" s="15"/>
      <c r="L49" s="15">
        <f t="shared" si="15"/>
        <v>40</v>
      </c>
      <c r="M49" s="15">
        <f t="shared" si="16"/>
        <v>13333.333333333332</v>
      </c>
      <c r="O49" s="117"/>
      <c r="P49">
        <f t="shared" si="1"/>
        <v>0.05</v>
      </c>
      <c r="Q49">
        <f t="shared" si="17"/>
        <v>176.75176906803364</v>
      </c>
      <c r="R49" s="3">
        <f t="shared" si="31"/>
        <v>1766.491776326517</v>
      </c>
      <c r="S49" s="3">
        <f t="shared" si="32"/>
        <v>3055.9685917146167</v>
      </c>
      <c r="T49" s="3">
        <f t="shared" si="4"/>
        <v>4822.460368041134</v>
      </c>
      <c r="U49" s="3">
        <f t="shared" si="28"/>
        <v>0.6336949105827364</v>
      </c>
      <c r="V49" s="1">
        <f t="shared" si="27"/>
        <v>0.01818576750617875</v>
      </c>
      <c r="W49" s="15">
        <f t="shared" si="18"/>
        <v>0.7371098524758567</v>
      </c>
      <c r="X49" s="3">
        <f t="shared" si="6"/>
        <v>0.028294467034265133</v>
      </c>
      <c r="Y49" s="1">
        <f t="shared" si="19"/>
        <v>6.419385054369982E-06</v>
      </c>
      <c r="Z49" s="1">
        <f t="shared" si="20"/>
        <v>9.342723003337662E-05</v>
      </c>
      <c r="AA49" s="1">
        <f t="shared" si="7"/>
        <v>9.743114891809918E-06</v>
      </c>
      <c r="AB49">
        <f t="shared" si="8"/>
        <v>21.35</v>
      </c>
      <c r="AC49">
        <f t="shared" si="9"/>
        <v>1</v>
      </c>
      <c r="AD49" s="8">
        <f t="shared" si="10"/>
        <v>476.08212544668413</v>
      </c>
      <c r="AE49" s="4">
        <f t="shared" si="11"/>
        <v>2951776.354688248</v>
      </c>
      <c r="AF49" s="5">
        <f t="shared" si="12"/>
        <v>0.011450036510616244</v>
      </c>
      <c r="AG49" s="4">
        <f t="shared" si="29"/>
        <v>33333.333333333394</v>
      </c>
      <c r="AH49" s="10">
        <f t="shared" si="30"/>
        <v>3684.284242736141</v>
      </c>
      <c r="AI49" s="10">
        <f t="shared" si="22"/>
        <v>4.455672328253339</v>
      </c>
    </row>
    <row r="50" spans="1:35" ht="12.75">
      <c r="A50" s="111"/>
      <c r="B50" s="114"/>
      <c r="D50">
        <f t="shared" si="23"/>
        <v>333.3333333333333</v>
      </c>
      <c r="E50" s="4">
        <f t="shared" si="13"/>
        <v>12666.666666666672</v>
      </c>
      <c r="F50" s="15">
        <f t="shared" si="24"/>
        <v>40</v>
      </c>
      <c r="G50" s="15">
        <f t="shared" si="25"/>
        <v>13333.333333333332</v>
      </c>
      <c r="I50" s="15">
        <f t="shared" si="26"/>
        <v>0</v>
      </c>
      <c r="J50" s="15">
        <f t="shared" si="14"/>
        <v>0</v>
      </c>
      <c r="K50" s="15"/>
      <c r="L50" s="15">
        <f t="shared" si="15"/>
        <v>40</v>
      </c>
      <c r="M50" s="15">
        <f t="shared" si="16"/>
        <v>13333.333333333332</v>
      </c>
      <c r="O50" s="117"/>
      <c r="P50">
        <f t="shared" si="1"/>
        <v>0.05</v>
      </c>
      <c r="Q50">
        <f t="shared" si="17"/>
        <v>176.90642426769097</v>
      </c>
      <c r="R50" s="3">
        <f t="shared" si="31"/>
        <v>1691.1223634376013</v>
      </c>
      <c r="S50" s="3">
        <f t="shared" si="32"/>
        <v>3131.3380046035327</v>
      </c>
      <c r="T50" s="3">
        <f t="shared" si="4"/>
        <v>4822.460368041134</v>
      </c>
      <c r="U50" s="3">
        <f t="shared" si="28"/>
        <v>0.649323740502915</v>
      </c>
      <c r="V50" s="1">
        <f t="shared" si="27"/>
        <v>0.018022432132845528</v>
      </c>
      <c r="W50" s="15">
        <f t="shared" si="18"/>
        <v>0.7375349083489412</v>
      </c>
      <c r="X50" s="3">
        <f t="shared" si="6"/>
        <v>0.027394174183305912</v>
      </c>
      <c r="Y50" s="1">
        <f t="shared" si="19"/>
        <v>6.412149488545674E-06</v>
      </c>
      <c r="Z50" s="1">
        <f t="shared" si="20"/>
        <v>9.371477943555385E-05</v>
      </c>
      <c r="AA50" s="1">
        <f t="shared" si="7"/>
        <v>9.523215401870787E-06</v>
      </c>
      <c r="AB50">
        <f t="shared" si="8"/>
        <v>21.35</v>
      </c>
      <c r="AC50">
        <f t="shared" si="9"/>
        <v>1</v>
      </c>
      <c r="AD50" s="8">
        <f t="shared" si="10"/>
        <v>491.7282745563849</v>
      </c>
      <c r="AE50" s="4">
        <f t="shared" si="11"/>
        <v>3019935.488701201</v>
      </c>
      <c r="AF50" s="5">
        <f t="shared" si="12"/>
        <v>0.011384876331616271</v>
      </c>
      <c r="AG50" s="4">
        <f t="shared" si="29"/>
        <v>33333.333333333394</v>
      </c>
      <c r="AH50" s="10">
        <f t="shared" si="30"/>
        <v>3872.9594387892575</v>
      </c>
      <c r="AI50" s="10">
        <f t="shared" si="22"/>
        <v>4.416942733865446</v>
      </c>
    </row>
    <row r="51" spans="1:35" ht="12.75">
      <c r="A51" s="111"/>
      <c r="B51" s="114"/>
      <c r="D51">
        <f t="shared" si="23"/>
        <v>333.3333333333333</v>
      </c>
      <c r="E51" s="4">
        <f t="shared" si="13"/>
        <v>13000.000000000005</v>
      </c>
      <c r="F51" s="15">
        <f t="shared" si="24"/>
        <v>40</v>
      </c>
      <c r="G51" s="15">
        <f t="shared" si="25"/>
        <v>13333.333333333332</v>
      </c>
      <c r="I51" s="15">
        <f t="shared" si="26"/>
        <v>0</v>
      </c>
      <c r="J51" s="15">
        <f t="shared" si="14"/>
        <v>0</v>
      </c>
      <c r="K51" s="15"/>
      <c r="L51" s="15">
        <f t="shared" si="15"/>
        <v>40</v>
      </c>
      <c r="M51" s="15">
        <f t="shared" si="16"/>
        <v>13333.333333333332</v>
      </c>
      <c r="O51" s="117"/>
      <c r="P51">
        <f t="shared" si="1"/>
        <v>0.05</v>
      </c>
      <c r="Q51">
        <f t="shared" si="17"/>
        <v>177.06899948605303</v>
      </c>
      <c r="R51" s="3">
        <f t="shared" si="31"/>
        <v>1615.8221506841908</v>
      </c>
      <c r="S51" s="3">
        <f t="shared" si="32"/>
        <v>3206.638217356943</v>
      </c>
      <c r="T51" s="3">
        <f t="shared" si="4"/>
        <v>4822.460368041134</v>
      </c>
      <c r="U51" s="3">
        <f t="shared" si="28"/>
        <v>0.6649382208732321</v>
      </c>
      <c r="V51" s="1">
        <f t="shared" si="27"/>
        <v>0.017850732222045685</v>
      </c>
      <c r="W51" s="15">
        <f t="shared" si="18"/>
        <v>0.7379817316793943</v>
      </c>
      <c r="X51" s="3">
        <f t="shared" si="6"/>
        <v>0.026522428919530147</v>
      </c>
      <c r="Y51" s="1">
        <f t="shared" si="19"/>
        <v>6.404543383503835E-06</v>
      </c>
      <c r="Z51" s="1">
        <f t="shared" si="20"/>
        <v>9.40196293158354E-05</v>
      </c>
      <c r="AA51" s="1">
        <f t="shared" si="7"/>
        <v>9.312145730155194E-06</v>
      </c>
      <c r="AB51">
        <f t="shared" si="8"/>
        <v>21.35</v>
      </c>
      <c r="AC51">
        <f t="shared" si="9"/>
        <v>1</v>
      </c>
      <c r="AD51" s="8">
        <f t="shared" si="10"/>
        <v>507.89051202376504</v>
      </c>
      <c r="AE51" s="4">
        <f t="shared" si="11"/>
        <v>3088385.5334785623</v>
      </c>
      <c r="AF51" s="5">
        <f t="shared" si="12"/>
        <v>0.011321262402210697</v>
      </c>
      <c r="AG51" s="4">
        <f t="shared" si="29"/>
        <v>33333.333333333394</v>
      </c>
      <c r="AH51" s="10">
        <f t="shared" si="30"/>
        <v>4069.5085151531016</v>
      </c>
      <c r="AI51" s="10">
        <f t="shared" si="22"/>
        <v>4.376247648713916</v>
      </c>
    </row>
    <row r="52" spans="1:35" ht="12.75">
      <c r="A52" s="111"/>
      <c r="B52" s="114"/>
      <c r="D52">
        <f t="shared" si="23"/>
        <v>333.3333333333333</v>
      </c>
      <c r="E52" s="4">
        <f>E51+D52</f>
        <v>13333.33333333334</v>
      </c>
      <c r="F52" s="15">
        <f t="shared" si="24"/>
        <v>40</v>
      </c>
      <c r="G52" s="15">
        <f t="shared" si="25"/>
        <v>13333.333333333332</v>
      </c>
      <c r="I52" s="15">
        <f t="shared" si="26"/>
        <v>0</v>
      </c>
      <c r="J52" s="15">
        <f t="shared" si="14"/>
        <v>0</v>
      </c>
      <c r="K52" s="15"/>
      <c r="L52" s="15">
        <f t="shared" si="15"/>
        <v>40</v>
      </c>
      <c r="M52" s="15">
        <f t="shared" si="16"/>
        <v>13333.333333333332</v>
      </c>
      <c r="O52" s="117"/>
      <c r="P52">
        <f t="shared" si="1"/>
        <v>0.05</v>
      </c>
      <c r="Q52">
        <f t="shared" si="17"/>
        <v>177.2398252449936</v>
      </c>
      <c r="R52" s="3">
        <f t="shared" si="31"/>
        <v>1540.5945131320602</v>
      </c>
      <c r="S52" s="3">
        <f t="shared" si="32"/>
        <v>3281.8658549090737</v>
      </c>
      <c r="T52" s="3">
        <f t="shared" si="4"/>
        <v>4822.460368041134</v>
      </c>
      <c r="U52" s="3">
        <f t="shared" si="28"/>
        <v>0.6805376518298182</v>
      </c>
      <c r="V52" s="1">
        <f t="shared" si="27"/>
        <v>0.017670318701043405</v>
      </c>
      <c r="W52" s="15">
        <f t="shared" si="18"/>
        <v>0.7384512308767875</v>
      </c>
      <c r="X52" s="3">
        <f t="shared" si="6"/>
        <v>0.025676809179422</v>
      </c>
      <c r="Y52" s="1">
        <f t="shared" si="19"/>
        <v>6.396551275730926E-06</v>
      </c>
      <c r="Z52" s="1">
        <f t="shared" si="20"/>
        <v>9.434284360155676E-05</v>
      </c>
      <c r="AA52" s="1">
        <f t="shared" si="7"/>
        <v>9.109332819980394E-06</v>
      </c>
      <c r="AB52">
        <f t="shared" si="8"/>
        <v>21.35</v>
      </c>
      <c r="AC52">
        <f t="shared" si="9"/>
        <v>1</v>
      </c>
      <c r="AD52" s="8">
        <f t="shared" si="10"/>
        <v>524.6169767406166</v>
      </c>
      <c r="AE52" s="4">
        <f t="shared" si="11"/>
        <v>3157146.2726199264</v>
      </c>
      <c r="AF52" s="5">
        <f t="shared" si="12"/>
        <v>0.011259109892500691</v>
      </c>
      <c r="AG52" s="4">
        <f t="shared" si="29"/>
        <v>33333.333333333394</v>
      </c>
      <c r="AH52" s="10">
        <f t="shared" si="30"/>
        <v>4274.486910245184</v>
      </c>
      <c r="AI52" s="10">
        <f t="shared" si="22"/>
        <v>4.333502779611464</v>
      </c>
    </row>
    <row r="53" spans="1:35" ht="12.75">
      <c r="A53" s="111"/>
      <c r="B53" s="114"/>
      <c r="D53">
        <f t="shared" si="23"/>
        <v>333.3333333333333</v>
      </c>
      <c r="E53" s="4">
        <f t="shared" si="13"/>
        <v>13666.666666666673</v>
      </c>
      <c r="F53" s="15">
        <f t="shared" si="24"/>
        <v>40</v>
      </c>
      <c r="G53" s="15">
        <f t="shared" si="25"/>
        <v>13333.333333333332</v>
      </c>
      <c r="I53" s="15">
        <f t="shared" si="26"/>
        <v>0</v>
      </c>
      <c r="J53" s="15">
        <f t="shared" si="14"/>
        <v>0</v>
      </c>
      <c r="K53" s="15"/>
      <c r="L53" s="15">
        <f t="shared" si="15"/>
        <v>40</v>
      </c>
      <c r="M53" s="15">
        <f t="shared" si="16"/>
        <v>13333.333333333332</v>
      </c>
      <c r="O53" s="117"/>
      <c r="P53">
        <f t="shared" si="1"/>
        <v>0.05</v>
      </c>
      <c r="Q53">
        <f t="shared" si="17"/>
        <v>177.41925538202497</v>
      </c>
      <c r="R53" s="3">
        <f t="shared" si="31"/>
        <v>1465.442955852533</v>
      </c>
      <c r="S53" s="3">
        <f t="shared" si="32"/>
        <v>3357.017412188601</v>
      </c>
      <c r="T53" s="3">
        <f t="shared" si="4"/>
        <v>4822.460368041135</v>
      </c>
      <c r="U53" s="3">
        <f t="shared" si="28"/>
        <v>0.6961213065504588</v>
      </c>
      <c r="V53" s="1">
        <f t="shared" si="27"/>
        <v>0.017480817872851502</v>
      </c>
      <c r="W53" s="15">
        <f t="shared" si="18"/>
        <v>0.7389443784316225</v>
      </c>
      <c r="X53" s="3">
        <f t="shared" si="6"/>
        <v>0.024855067830264768</v>
      </c>
      <c r="Y53" s="1">
        <f t="shared" si="19"/>
        <v>6.3881566108878955E-06</v>
      </c>
      <c r="Z53" s="1">
        <f t="shared" si="20"/>
        <v>9.468559065455554E-05</v>
      </c>
      <c r="AA53" s="1">
        <f t="shared" si="7"/>
        <v>8.91424876786832E-06</v>
      </c>
      <c r="AB53">
        <f t="shared" si="8"/>
        <v>21.35</v>
      </c>
      <c r="AC53">
        <f t="shared" si="9"/>
        <v>1</v>
      </c>
      <c r="AD53" s="8">
        <f t="shared" si="10"/>
        <v>541.9615064438385</v>
      </c>
      <c r="AE53" s="4">
        <f t="shared" si="11"/>
        <v>3226238.902185448</v>
      </c>
      <c r="AF53" s="5">
        <f t="shared" si="12"/>
        <v>0.01119833880660723</v>
      </c>
      <c r="AG53" s="4">
        <f t="shared" si="29"/>
        <v>33333.333333333394</v>
      </c>
      <c r="AH53" s="10">
        <f t="shared" si="30"/>
        <v>4488.5193713492945</v>
      </c>
      <c r="AI53" s="10">
        <f t="shared" si="22"/>
        <v>4.2886175858979705</v>
      </c>
    </row>
    <row r="54" spans="1:35" ht="12.75">
      <c r="A54" s="111"/>
      <c r="B54" s="114"/>
      <c r="D54">
        <f t="shared" si="23"/>
        <v>333.3333333333333</v>
      </c>
      <c r="E54" s="4">
        <f t="shared" si="13"/>
        <v>14000.000000000007</v>
      </c>
      <c r="F54" s="15">
        <f t="shared" si="24"/>
        <v>40</v>
      </c>
      <c r="G54" s="15">
        <f t="shared" si="25"/>
        <v>13333.333333333332</v>
      </c>
      <c r="I54" s="15">
        <f t="shared" si="26"/>
        <v>0</v>
      </c>
      <c r="J54" s="15">
        <f t="shared" si="14"/>
        <v>0</v>
      </c>
      <c r="K54" s="15"/>
      <c r="L54" s="15">
        <f t="shared" si="15"/>
        <v>40</v>
      </c>
      <c r="M54" s="15">
        <f t="shared" si="16"/>
        <v>13333.333333333332</v>
      </c>
      <c r="O54" s="117"/>
      <c r="P54">
        <f t="shared" si="1"/>
        <v>0.05</v>
      </c>
      <c r="Q54">
        <f t="shared" si="17"/>
        <v>177.60766995967612</v>
      </c>
      <c r="R54" s="3">
        <f t="shared" si="31"/>
        <v>1390.3711228829293</v>
      </c>
      <c r="S54" s="3">
        <f t="shared" si="32"/>
        <v>3432.089245158205</v>
      </c>
      <c r="T54" s="3">
        <f t="shared" si="4"/>
        <v>4822.460368041135</v>
      </c>
      <c r="U54" s="3">
        <f t="shared" si="28"/>
        <v>0.7116884293965295</v>
      </c>
      <c r="V54" s="1">
        <f t="shared" si="27"/>
        <v>0.017281828343561473</v>
      </c>
      <c r="W54" s="15">
        <f t="shared" si="18"/>
        <v>0.7394622189114951</v>
      </c>
      <c r="X54" s="3">
        <f t="shared" si="6"/>
        <v>0.024055109693774408</v>
      </c>
      <c r="Y54" s="1">
        <f t="shared" si="19"/>
        <v>6.3793416076945025E-06</v>
      </c>
      <c r="Z54" s="1">
        <f t="shared" si="20"/>
        <v>9.504915803211436E-05</v>
      </c>
      <c r="AA54" s="1">
        <f t="shared" si="7"/>
        <v>8.72640612786289E-06</v>
      </c>
      <c r="AB54">
        <f t="shared" si="8"/>
        <v>21.35</v>
      </c>
      <c r="AC54">
        <f t="shared" si="9"/>
        <v>1</v>
      </c>
      <c r="AD54" s="8">
        <f t="shared" si="10"/>
        <v>559.9845594360486</v>
      </c>
      <c r="AE54" s="4">
        <f t="shared" si="11"/>
        <v>3295686.18939567</v>
      </c>
      <c r="AF54" s="5">
        <f t="shared" si="12"/>
        <v>0.011138873474498665</v>
      </c>
      <c r="AG54" s="4">
        <f t="shared" si="29"/>
        <v>33333.333333333394</v>
      </c>
      <c r="AH54" s="10">
        <f t="shared" si="30"/>
        <v>4712.31086709725</v>
      </c>
      <c r="AI54" s="10">
        <f t="shared" si="22"/>
        <v>4.241494477226998</v>
      </c>
    </row>
    <row r="55" spans="1:35" ht="12.75">
      <c r="A55" s="111"/>
      <c r="B55" s="114"/>
      <c r="D55">
        <f t="shared" si="23"/>
        <v>333.3333333333333</v>
      </c>
      <c r="E55" s="4">
        <f t="shared" si="13"/>
        <v>14333.333333333341</v>
      </c>
      <c r="F55" s="15">
        <f t="shared" si="24"/>
        <v>40</v>
      </c>
      <c r="G55" s="15">
        <f t="shared" si="25"/>
        <v>13333.333333333332</v>
      </c>
      <c r="I55" s="15">
        <f t="shared" si="26"/>
        <v>0</v>
      </c>
      <c r="J55" s="15">
        <f t="shared" si="14"/>
        <v>0</v>
      </c>
      <c r="K55" s="15"/>
      <c r="L55" s="15">
        <f t="shared" si="15"/>
        <v>40</v>
      </c>
      <c r="M55" s="15">
        <f t="shared" si="16"/>
        <v>13333.333333333332</v>
      </c>
      <c r="O55" s="117"/>
      <c r="P55">
        <f t="shared" si="1"/>
        <v>0.05</v>
      </c>
      <c r="Q55">
        <f t="shared" si="17"/>
        <v>177.80547863294424</v>
      </c>
      <c r="R55" s="3">
        <f t="shared" si="31"/>
        <v>1315.3828073605587</v>
      </c>
      <c r="S55" s="3">
        <f t="shared" si="32"/>
        <v>3507.0775606805755</v>
      </c>
      <c r="T55" s="3">
        <f t="shared" si="4"/>
        <v>4822.460368041135</v>
      </c>
      <c r="U55" s="3">
        <f t="shared" si="28"/>
        <v>0.7272382338115797</v>
      </c>
      <c r="V55" s="1">
        <f t="shared" si="27"/>
        <v>0.01707291746589045</v>
      </c>
      <c r="W55" s="15">
        <f t="shared" si="18"/>
        <v>0.7400058782162321</v>
      </c>
      <c r="X55" s="3">
        <f t="shared" si="6"/>
        <v>0.023274970772844957</v>
      </c>
      <c r="Y55" s="1">
        <f t="shared" si="19"/>
        <v>6.37008710038261E-06</v>
      </c>
      <c r="Z55" s="1">
        <f t="shared" si="20"/>
        <v>9.543496989394933E-05</v>
      </c>
      <c r="AA55" s="1">
        <f t="shared" si="7"/>
        <v>8.545353737721842E-06</v>
      </c>
      <c r="AB55">
        <f t="shared" si="8"/>
        <v>21.35</v>
      </c>
      <c r="AC55">
        <f t="shared" si="9"/>
        <v>1</v>
      </c>
      <c r="AD55" s="8">
        <f t="shared" si="10"/>
        <v>578.7543252157456</v>
      </c>
      <c r="AE55" s="4">
        <f t="shared" si="11"/>
        <v>3365512.656509716</v>
      </c>
      <c r="AF55" s="5">
        <f t="shared" si="12"/>
        <v>0.011080642081451101</v>
      </c>
      <c r="AG55" s="4">
        <f t="shared" si="29"/>
        <v>33333.333333333394</v>
      </c>
      <c r="AH55" s="10">
        <f t="shared" si="30"/>
        <v>4946.659730795938</v>
      </c>
      <c r="AI55" s="10">
        <f t="shared" si="22"/>
        <v>4.1920278799190385</v>
      </c>
    </row>
    <row r="56" spans="1:35" ht="12.75">
      <c r="A56" s="111"/>
      <c r="B56" s="114"/>
      <c r="D56">
        <f t="shared" si="23"/>
        <v>333.3333333333333</v>
      </c>
      <c r="E56" s="4">
        <f t="shared" si="13"/>
        <v>14666.666666666675</v>
      </c>
      <c r="F56" s="15">
        <f t="shared" si="24"/>
        <v>40</v>
      </c>
      <c r="G56" s="15">
        <f t="shared" si="25"/>
        <v>13333.333333333332</v>
      </c>
      <c r="I56" s="15">
        <f t="shared" si="26"/>
        <v>0</v>
      </c>
      <c r="J56" s="15">
        <f t="shared" si="14"/>
        <v>0</v>
      </c>
      <c r="K56" s="15"/>
      <c r="L56" s="15">
        <f t="shared" si="15"/>
        <v>40</v>
      </c>
      <c r="M56" s="15">
        <f t="shared" si="16"/>
        <v>13333.333333333332</v>
      </c>
      <c r="O56" s="117"/>
      <c r="P56">
        <f t="shared" si="1"/>
        <v>0.05</v>
      </c>
      <c r="Q56">
        <f t="shared" si="17"/>
        <v>178.01312456846387</v>
      </c>
      <c r="R56" s="3">
        <f t="shared" si="31"/>
        <v>1240.4819630230652</v>
      </c>
      <c r="S56" s="3">
        <f t="shared" si="32"/>
        <v>3581.9784050180688</v>
      </c>
      <c r="T56" s="3">
        <f t="shared" si="4"/>
        <v>4822.460368041134</v>
      </c>
      <c r="U56" s="3">
        <f t="shared" si="28"/>
        <v>0.7427698999365868</v>
      </c>
      <c r="V56" s="1">
        <f t="shared" si="27"/>
        <v>0.016853617200045076</v>
      </c>
      <c r="W56" s="15">
        <f t="shared" si="18"/>
        <v>0.7405765743493741</v>
      </c>
      <c r="X56" s="3">
        <f t="shared" si="6"/>
        <v>0.02251279923239237</v>
      </c>
      <c r="Y56" s="1">
        <f t="shared" si="19"/>
        <v>6.3603723553373E-06</v>
      </c>
      <c r="Z56" s="1">
        <f t="shared" si="20"/>
        <v>9.584460765061124E-05</v>
      </c>
      <c r="AA56" s="1">
        <f t="shared" si="7"/>
        <v>8.370672990952787E-06</v>
      </c>
      <c r="AB56">
        <f t="shared" si="8"/>
        <v>21.35</v>
      </c>
      <c r="AC56">
        <f t="shared" si="9"/>
        <v>1</v>
      </c>
      <c r="AD56" s="8">
        <f t="shared" si="10"/>
        <v>598.3480714682593</v>
      </c>
      <c r="AE56" s="4">
        <f t="shared" si="11"/>
        <v>3435744.794921433</v>
      </c>
      <c r="AF56" s="5">
        <f t="shared" si="12"/>
        <v>0.011023576227620109</v>
      </c>
      <c r="AG56" s="4">
        <f t="shared" si="29"/>
        <v>33333.333333333394</v>
      </c>
      <c r="AH56" s="10">
        <f t="shared" si="30"/>
        <v>5192.473592304735</v>
      </c>
      <c r="AI56" s="10">
        <f t="shared" si="22"/>
        <v>4.140103143995991</v>
      </c>
    </row>
    <row r="57" spans="1:35" ht="13.5" thickBot="1">
      <c r="A57" s="112"/>
      <c r="B57" s="115"/>
      <c r="D57">
        <f t="shared" si="23"/>
        <v>333.3333333333333</v>
      </c>
      <c r="E57" s="4">
        <f t="shared" si="13"/>
        <v>15000.00000000001</v>
      </c>
      <c r="F57" s="15">
        <f t="shared" si="24"/>
        <v>40</v>
      </c>
      <c r="G57" s="15">
        <f t="shared" si="25"/>
        <v>13333.333333333332</v>
      </c>
      <c r="I57" s="15">
        <f t="shared" si="26"/>
        <v>0</v>
      </c>
      <c r="J57" s="15">
        <f t="shared" si="14"/>
        <v>0</v>
      </c>
      <c r="K57" s="15"/>
      <c r="L57" s="15">
        <f t="shared" si="15"/>
        <v>40</v>
      </c>
      <c r="M57" s="15">
        <f t="shared" si="16"/>
        <v>13333.333333333332</v>
      </c>
      <c r="O57" s="118"/>
      <c r="P57">
        <f t="shared" si="1"/>
        <v>0.05</v>
      </c>
      <c r="Q57">
        <f t="shared" si="17"/>
        <v>178.23108903244804</v>
      </c>
      <c r="R57" s="3">
        <f t="shared" si="31"/>
        <v>1165.6727173088907</v>
      </c>
      <c r="S57" s="3">
        <f t="shared" si="32"/>
        <v>3656.7876507322435</v>
      </c>
      <c r="T57" s="3">
        <f t="shared" si="4"/>
        <v>4822.460368041135</v>
      </c>
      <c r="U57" s="3">
        <f t="shared" si="28"/>
        <v>0.7582825718934041</v>
      </c>
      <c r="V57" s="1">
        <f t="shared" si="27"/>
        <v>0.01662341926827743</v>
      </c>
      <c r="W57" s="15">
        <f t="shared" si="18"/>
        <v>0.7411756300277182</v>
      </c>
      <c r="X57" s="3">
        <f t="shared" si="6"/>
        <v>0.021766837724334773</v>
      </c>
      <c r="Y57" s="1">
        <f t="shared" si="19"/>
        <v>6.350174856449373E-06</v>
      </c>
      <c r="Z57" s="1">
        <f t="shared" si="20"/>
        <v>9.627983461074585E-05</v>
      </c>
      <c r="AA57" s="1">
        <f t="shared" si="7"/>
        <v>8.201974488659397E-06</v>
      </c>
      <c r="AB57">
        <f t="shared" si="8"/>
        <v>21.35</v>
      </c>
      <c r="AC57">
        <f t="shared" si="9"/>
        <v>1</v>
      </c>
      <c r="AD57" s="8">
        <f t="shared" si="10"/>
        <v>618.8537891746406</v>
      </c>
      <c r="AE57" s="4">
        <f t="shared" si="11"/>
        <v>3506411.315765526</v>
      </c>
      <c r="AF57" s="5">
        <f t="shared" si="12"/>
        <v>0.010967610510505545</v>
      </c>
      <c r="AG57" s="4">
        <f t="shared" si="29"/>
        <v>33333.333333333394</v>
      </c>
      <c r="AH57" s="10">
        <f t="shared" si="30"/>
        <v>5450.788823842777</v>
      </c>
      <c r="AI57" s="10">
        <f t="shared" si="22"/>
        <v>4.085595255757563</v>
      </c>
    </row>
    <row r="58" spans="1:35" ht="12.75">
      <c r="A58" s="119" t="s">
        <v>45</v>
      </c>
      <c r="B58" s="113">
        <f>O58</f>
        <v>200000.00000000003</v>
      </c>
      <c r="D58">
        <f t="shared" si="23"/>
        <v>333.3333333333333</v>
      </c>
      <c r="E58" s="4">
        <f t="shared" si="13"/>
        <v>15333.333333333343</v>
      </c>
      <c r="F58" s="15">
        <f t="shared" si="24"/>
        <v>40</v>
      </c>
      <c r="G58" s="15">
        <f t="shared" si="25"/>
        <v>13333.333333333332</v>
      </c>
      <c r="I58" s="15">
        <f t="shared" si="26"/>
        <v>0</v>
      </c>
      <c r="J58" s="15">
        <f t="shared" si="14"/>
        <v>0</v>
      </c>
      <c r="K58" s="15"/>
      <c r="L58" s="15">
        <f t="shared" si="15"/>
        <v>40</v>
      </c>
      <c r="M58" s="15">
        <f t="shared" si="16"/>
        <v>13333.333333333332</v>
      </c>
      <c r="O58" s="116">
        <f>SUM(M58:M72)</f>
        <v>200000.00000000003</v>
      </c>
      <c r="P58">
        <f t="shared" si="1"/>
        <v>0.05</v>
      </c>
      <c r="Q58">
        <f t="shared" si="17"/>
        <v>178.45989679490648</v>
      </c>
      <c r="R58" s="3">
        <f t="shared" si="31"/>
        <v>1090.9593863432422</v>
      </c>
      <c r="S58" s="3">
        <f t="shared" si="32"/>
        <v>3731.5009816978923</v>
      </c>
      <c r="T58" s="3">
        <f t="shared" si="4"/>
        <v>4822.460368041135</v>
      </c>
      <c r="U58" s="3">
        <f t="shared" si="28"/>
        <v>0.7737753546772255</v>
      </c>
      <c r="V58" s="1">
        <f t="shared" si="27"/>
        <v>0.016381769447350005</v>
      </c>
      <c r="W58" s="15">
        <f t="shared" si="18"/>
        <v>0.7418044875343249</v>
      </c>
      <c r="X58" s="3">
        <f t="shared" si="6"/>
        <v>0.02103540666923361</v>
      </c>
      <c r="Y58" s="1">
        <f t="shared" si="19"/>
        <v>6.339470052278228E-06</v>
      </c>
      <c r="Z58" s="1">
        <f t="shared" si="20"/>
        <v>9.674262559923861E-05</v>
      </c>
      <c r="AA58" s="1">
        <f t="shared" si="7"/>
        <v>8.038895013065871E-06</v>
      </c>
      <c r="AB58">
        <f t="shared" si="8"/>
        <v>21.35</v>
      </c>
      <c r="AC58">
        <f t="shared" si="9"/>
        <v>1</v>
      </c>
      <c r="AD58" s="8">
        <f t="shared" si="10"/>
        <v>640.3722169895591</v>
      </c>
      <c r="AE58" s="4">
        <f t="shared" si="11"/>
        <v>3577543.44495254</v>
      </c>
      <c r="AF58" s="5">
        <f t="shared" si="12"/>
        <v>0.010912682123131573</v>
      </c>
      <c r="AG58" s="4">
        <f t="shared" si="29"/>
        <v>33333.333333333394</v>
      </c>
      <c r="AH58" s="10">
        <f t="shared" si="30"/>
        <v>5722.794452279911</v>
      </c>
      <c r="AI58" s="10">
        <f t="shared" si="22"/>
        <v>4.028367311234764</v>
      </c>
    </row>
    <row r="59" spans="1:35" ht="12.75">
      <c r="A59" s="120"/>
      <c r="B59" s="114"/>
      <c r="D59">
        <f t="shared" si="23"/>
        <v>333.3333333333333</v>
      </c>
      <c r="E59" s="4">
        <f t="shared" si="13"/>
        <v>15666.666666666677</v>
      </c>
      <c r="F59" s="15">
        <f t="shared" si="24"/>
        <v>40</v>
      </c>
      <c r="G59" s="15">
        <f t="shared" si="25"/>
        <v>13333.333333333332</v>
      </c>
      <c r="I59" s="15">
        <f t="shared" si="26"/>
        <v>0</v>
      </c>
      <c r="J59" s="15">
        <f t="shared" si="14"/>
        <v>0</v>
      </c>
      <c r="K59" s="15"/>
      <c r="L59" s="15">
        <f t="shared" si="15"/>
        <v>40</v>
      </c>
      <c r="M59" s="15">
        <f t="shared" si="16"/>
        <v>13333.333333333332</v>
      </c>
      <c r="O59" s="117"/>
      <c r="P59">
        <f t="shared" si="1"/>
        <v>0.05</v>
      </c>
      <c r="Q59">
        <f t="shared" si="17"/>
        <v>178.70012253762985</v>
      </c>
      <c r="R59" s="3">
        <f t="shared" si="31"/>
        <v>1016.3464921605554</v>
      </c>
      <c r="S59" s="3">
        <f t="shared" si="32"/>
        <v>3806.113875880579</v>
      </c>
      <c r="T59" s="3">
        <f t="shared" si="4"/>
        <v>4822.460368041135</v>
      </c>
      <c r="U59" s="3">
        <f t="shared" si="28"/>
        <v>0.789247310585283</v>
      </c>
      <c r="V59" s="1">
        <f t="shared" si="27"/>
        <v>0.01612806080089708</v>
      </c>
      <c r="W59" s="15">
        <f t="shared" si="18"/>
        <v>0.7424647263302845</v>
      </c>
      <c r="X59" s="3">
        <f t="shared" si="6"/>
        <v>0.02031688811286519</v>
      </c>
      <c r="Y59" s="1">
        <f t="shared" si="19"/>
        <v>6.328231056253396E-06</v>
      </c>
      <c r="Z59" s="1">
        <f t="shared" si="20"/>
        <v>9.723520280528339E-05</v>
      </c>
      <c r="AA59" s="1">
        <f t="shared" si="7"/>
        <v>7.8810947706261E-06</v>
      </c>
      <c r="AB59">
        <f t="shared" si="8"/>
        <v>21.35</v>
      </c>
      <c r="AC59">
        <f t="shared" si="9"/>
        <v>1</v>
      </c>
      <c r="AD59" s="8">
        <f t="shared" si="10"/>
        <v>663.0193526302984</v>
      </c>
      <c r="AE59" s="4">
        <f t="shared" si="11"/>
        <v>3649175.272684955</v>
      </c>
      <c r="AF59" s="5">
        <f t="shared" si="12"/>
        <v>0.010858730460511942</v>
      </c>
      <c r="AG59" s="4">
        <f t="shared" si="29"/>
        <v>33333.333333333394</v>
      </c>
      <c r="AH59" s="10">
        <f t="shared" si="30"/>
        <v>6009.861801763553</v>
      </c>
      <c r="AI59" s="10">
        <f t="shared" si="22"/>
        <v>3.9682686932171287</v>
      </c>
    </row>
    <row r="60" spans="1:35" ht="12.75">
      <c r="A60" s="120"/>
      <c r="B60" s="114"/>
      <c r="D60">
        <f t="shared" si="23"/>
        <v>333.3333333333333</v>
      </c>
      <c r="E60" s="4">
        <f t="shared" si="13"/>
        <v>16000.000000000011</v>
      </c>
      <c r="F60" s="15">
        <f t="shared" si="24"/>
        <v>40</v>
      </c>
      <c r="G60" s="15">
        <f t="shared" si="25"/>
        <v>13333.333333333332</v>
      </c>
      <c r="I60" s="15">
        <f t="shared" si="26"/>
        <v>0</v>
      </c>
      <c r="J60" s="15">
        <f t="shared" si="14"/>
        <v>0</v>
      </c>
      <c r="K60" s="15"/>
      <c r="L60" s="15">
        <f t="shared" si="15"/>
        <v>40</v>
      </c>
      <c r="M60" s="15">
        <f t="shared" si="16"/>
        <v>13333.333333333332</v>
      </c>
      <c r="O60" s="117"/>
      <c r="P60">
        <f t="shared" si="1"/>
        <v>0.05</v>
      </c>
      <c r="Q60">
        <f t="shared" si="17"/>
        <v>178.95239850648247</v>
      </c>
      <c r="R60" s="3">
        <f t="shared" si="31"/>
        <v>941.8387825986165</v>
      </c>
      <c r="S60" s="3">
        <f t="shared" si="32"/>
        <v>3880.621585442518</v>
      </c>
      <c r="T60" s="3">
        <f t="shared" si="4"/>
        <v>4822.460368041135</v>
      </c>
      <c r="U60" s="3">
        <f t="shared" si="28"/>
        <v>0.8046974550915412</v>
      </c>
      <c r="V60" s="1">
        <f t="shared" si="27"/>
        <v>0.015861625597639498</v>
      </c>
      <c r="W60" s="15">
        <f t="shared" si="18"/>
        <v>0.743158084086354</v>
      </c>
      <c r="X60" s="3">
        <f t="shared" si="6"/>
        <v>0.01960970976349094</v>
      </c>
      <c r="Y60" s="1">
        <f t="shared" si="19"/>
        <v>6.316428288660912E-06</v>
      </c>
      <c r="Z60" s="1">
        <f t="shared" si="20"/>
        <v>9.776007950758037E-05</v>
      </c>
      <c r="AA60" s="1">
        <f t="shared" si="7"/>
        <v>7.728254856920867E-06</v>
      </c>
      <c r="AB60">
        <f t="shared" si="8"/>
        <v>21.35</v>
      </c>
      <c r="AC60">
        <f t="shared" si="9"/>
        <v>1</v>
      </c>
      <c r="AD60" s="8">
        <f t="shared" si="10"/>
        <v>686.9295959256489</v>
      </c>
      <c r="AE60" s="4">
        <f t="shared" si="11"/>
        <v>3721344.1703336863</v>
      </c>
      <c r="AF60" s="5">
        <f t="shared" si="12"/>
        <v>0.01080569672636859</v>
      </c>
      <c r="AG60" s="4">
        <f t="shared" si="29"/>
        <v>33333.333333333394</v>
      </c>
      <c r="AH60" s="10">
        <f t="shared" si="30"/>
        <v>6313.581562347911</v>
      </c>
      <c r="AI60" s="10">
        <f t="shared" si="22"/>
        <v>3.90513287759365</v>
      </c>
    </row>
    <row r="61" spans="1:35" ht="12.75">
      <c r="A61" s="120"/>
      <c r="B61" s="114"/>
      <c r="D61">
        <f t="shared" si="23"/>
        <v>333.3333333333333</v>
      </c>
      <c r="E61" s="4">
        <f t="shared" si="13"/>
        <v>16333.333333333345</v>
      </c>
      <c r="F61" s="15">
        <f t="shared" si="24"/>
        <v>40</v>
      </c>
      <c r="G61" s="15">
        <f t="shared" si="25"/>
        <v>13333.333333333332</v>
      </c>
      <c r="I61" s="15">
        <f t="shared" si="26"/>
        <v>0</v>
      </c>
      <c r="J61" s="15">
        <f t="shared" si="14"/>
        <v>0</v>
      </c>
      <c r="K61" s="15"/>
      <c r="L61" s="15">
        <f t="shared" si="15"/>
        <v>40</v>
      </c>
      <c r="M61" s="15">
        <f t="shared" si="16"/>
        <v>13333.333333333332</v>
      </c>
      <c r="O61" s="117"/>
      <c r="P61">
        <f t="shared" si="1"/>
        <v>0.05</v>
      </c>
      <c r="Q61">
        <f t="shared" si="17"/>
        <v>179.21742371972516</v>
      </c>
      <c r="R61" s="3">
        <f t="shared" si="31"/>
        <v>867.4412544085835</v>
      </c>
      <c r="S61" s="3">
        <f t="shared" si="32"/>
        <v>3955.019113632551</v>
      </c>
      <c r="T61" s="3">
        <f t="shared" si="4"/>
        <v>4822.460368041135</v>
      </c>
      <c r="U61" s="3">
        <f t="shared" si="28"/>
        <v>0.8201247520545337</v>
      </c>
      <c r="V61" s="1">
        <f t="shared" si="27"/>
        <v>0.015581725586235929</v>
      </c>
      <c r="W61" s="15">
        <f t="shared" si="18"/>
        <v>0.743886481991202</v>
      </c>
      <c r="X61" s="3">
        <f t="shared" si="6"/>
        <v>0.01891232878166851</v>
      </c>
      <c r="Y61" s="1">
        <f t="shared" si="19"/>
        <v>6.304029045830618E-06</v>
      </c>
      <c r="Z61" s="1">
        <f t="shared" si="20"/>
        <v>9.832011385513568E-05</v>
      </c>
      <c r="AA61" s="1">
        <f t="shared" si="7"/>
        <v>7.580074898112919E-06</v>
      </c>
      <c r="AB61">
        <f t="shared" si="8"/>
        <v>21.35</v>
      </c>
      <c r="AC61">
        <f t="shared" si="9"/>
        <v>1</v>
      </c>
      <c r="AD61" s="8">
        <f t="shared" si="10"/>
        <v>712.2597200779877</v>
      </c>
      <c r="AE61" s="4">
        <f t="shared" si="11"/>
        <v>3794091.2913426785</v>
      </c>
      <c r="AF61" s="5">
        <f t="shared" si="12"/>
        <v>0.010753523531031282</v>
      </c>
      <c r="AG61" s="4">
        <f t="shared" si="29"/>
        <v>33333.333333333394</v>
      </c>
      <c r="AH61" s="10">
        <f t="shared" si="30"/>
        <v>6635.810587237889</v>
      </c>
      <c r="AI61" s="10">
        <f t="shared" si="22"/>
        <v>3.838774771721271</v>
      </c>
    </row>
    <row r="62" spans="1:35" ht="12.75">
      <c r="A62" s="120"/>
      <c r="B62" s="114"/>
      <c r="D62">
        <f t="shared" si="23"/>
        <v>333.3333333333333</v>
      </c>
      <c r="E62" s="4">
        <f t="shared" si="13"/>
        <v>16666.66666666668</v>
      </c>
      <c r="F62" s="15">
        <f t="shared" si="24"/>
        <v>40</v>
      </c>
      <c r="G62" s="15">
        <f t="shared" si="25"/>
        <v>13333.333333333332</v>
      </c>
      <c r="I62" s="15">
        <f t="shared" si="26"/>
        <v>0</v>
      </c>
      <c r="J62" s="15">
        <f t="shared" si="14"/>
        <v>0</v>
      </c>
      <c r="K62" s="15"/>
      <c r="L62" s="15">
        <f t="shared" si="15"/>
        <v>40</v>
      </c>
      <c r="M62" s="15">
        <f t="shared" si="16"/>
        <v>13333.333333333332</v>
      </c>
      <c r="O62" s="117"/>
      <c r="P62">
        <f t="shared" si="1"/>
        <v>0.05</v>
      </c>
      <c r="Q62">
        <f t="shared" si="17"/>
        <v>179.49597514074563</v>
      </c>
      <c r="R62" s="3">
        <f t="shared" si="31"/>
        <v>793.1591802680439</v>
      </c>
      <c r="S62" s="3">
        <f t="shared" si="32"/>
        <v>4029.301187773091</v>
      </c>
      <c r="T62" s="3">
        <f t="shared" si="4"/>
        <v>4822.460368041135</v>
      </c>
      <c r="U62" s="3">
        <f t="shared" si="28"/>
        <v>0.8355281081158533</v>
      </c>
      <c r="V62" s="1">
        <f t="shared" si="27"/>
        <v>0.015287540195471912</v>
      </c>
      <c r="W62" s="15">
        <f t="shared" si="18"/>
        <v>0.7446520554586517</v>
      </c>
      <c r="X62" s="3">
        <f t="shared" si="6"/>
        <v>0.018223214833635627</v>
      </c>
      <c r="Y62" s="1">
        <f t="shared" si="19"/>
        <v>6.290996977418341E-06</v>
      </c>
      <c r="Z62" s="1">
        <f t="shared" si="20"/>
        <v>9.891857561871103E-05</v>
      </c>
      <c r="AA62" s="1">
        <f t="shared" si="7"/>
        <v>7.436270824442452E-06</v>
      </c>
      <c r="AB62">
        <f t="shared" si="8"/>
        <v>21.35</v>
      </c>
      <c r="AC62">
        <f t="shared" si="9"/>
        <v>1</v>
      </c>
      <c r="AD62" s="8">
        <f t="shared" si="10"/>
        <v>739.1939417402265</v>
      </c>
      <c r="AE62" s="4">
        <f t="shared" si="11"/>
        <v>3867462.1779676466</v>
      </c>
      <c r="AF62" s="5">
        <f t="shared" si="12"/>
        <v>0.010702154469826015</v>
      </c>
      <c r="AG62" s="4">
        <f t="shared" si="29"/>
        <v>33333.333333333394</v>
      </c>
      <c r="AH62" s="10">
        <f t="shared" si="30"/>
        <v>6978.7315866574245</v>
      </c>
      <c r="AI62" s="10">
        <f t="shared" si="22"/>
        <v>3.7689874558546967</v>
      </c>
    </row>
    <row r="63" spans="1:35" ht="12.75">
      <c r="A63" s="120"/>
      <c r="B63" s="114"/>
      <c r="D63">
        <f t="shared" si="23"/>
        <v>333.3333333333333</v>
      </c>
      <c r="E63" s="4">
        <f t="shared" si="13"/>
        <v>17000.00000000001</v>
      </c>
      <c r="F63" s="15">
        <f t="shared" si="24"/>
        <v>40</v>
      </c>
      <c r="G63" s="15">
        <f t="shared" si="25"/>
        <v>13333.333333333332</v>
      </c>
      <c r="I63" s="15">
        <f t="shared" si="26"/>
        <v>0</v>
      </c>
      <c r="J63" s="15">
        <f t="shared" si="14"/>
        <v>0</v>
      </c>
      <c r="K63" s="15"/>
      <c r="L63" s="15">
        <f t="shared" si="15"/>
        <v>40</v>
      </c>
      <c r="M63" s="15">
        <f t="shared" si="16"/>
        <v>13333.333333333332</v>
      </c>
      <c r="O63" s="117"/>
      <c r="P63">
        <f t="shared" si="1"/>
        <v>0.05</v>
      </c>
      <c r="Q63">
        <f t="shared" si="17"/>
        <v>179.78892135655875</v>
      </c>
      <c r="R63" s="3">
        <f t="shared" si="31"/>
        <v>718.998140573665</v>
      </c>
      <c r="S63" s="3">
        <f t="shared" si="32"/>
        <v>4103.46222746747</v>
      </c>
      <c r="T63" s="3">
        <f t="shared" si="4"/>
        <v>4822.460368041136</v>
      </c>
      <c r="U63" s="3">
        <f t="shared" si="28"/>
        <v>0.8509063661075312</v>
      </c>
      <c r="V63" s="1">
        <f t="shared" si="27"/>
        <v>0.014978152088040628</v>
      </c>
      <c r="W63" s="15">
        <f t="shared" si="18"/>
        <v>0.7454571917218044</v>
      </c>
      <c r="X63" s="3">
        <f t="shared" si="6"/>
        <v>0.01754083182284697</v>
      </c>
      <c r="Y63" s="1">
        <f t="shared" si="19"/>
        <v>6.277291446455304E-06</v>
      </c>
      <c r="Z63" s="1">
        <f t="shared" si="20"/>
        <v>9.955922986363395E-05</v>
      </c>
      <c r="AA63" s="1">
        <f t="shared" si="7"/>
        <v>7.29657272980761E-06</v>
      </c>
      <c r="AB63">
        <f t="shared" si="8"/>
        <v>21.35</v>
      </c>
      <c r="AC63">
        <f t="shared" si="9"/>
        <v>1</v>
      </c>
      <c r="AD63" s="8">
        <f t="shared" si="10"/>
        <v>767.9504678055658</v>
      </c>
      <c r="AE63" s="4">
        <f t="shared" si="11"/>
        <v>3941507.502716797</v>
      </c>
      <c r="AF63" s="5">
        <f t="shared" si="12"/>
        <v>0.010651533668847506</v>
      </c>
      <c r="AG63" s="4">
        <f t="shared" si="29"/>
        <v>33333.33333333321</v>
      </c>
      <c r="AH63" s="10">
        <f t="shared" si="30"/>
        <v>7344.9301396146975</v>
      </c>
      <c r="AI63" s="10">
        <f t="shared" si="22"/>
        <v>3.69553815445855</v>
      </c>
    </row>
    <row r="64" spans="1:35" ht="12.75">
      <c r="A64" s="120"/>
      <c r="B64" s="114"/>
      <c r="D64">
        <f t="shared" si="23"/>
        <v>333.3333333333333</v>
      </c>
      <c r="E64" s="4">
        <f t="shared" si="13"/>
        <v>17333.333333333343</v>
      </c>
      <c r="F64" s="15">
        <f t="shared" si="24"/>
        <v>40</v>
      </c>
      <c r="G64" s="15">
        <f t="shared" si="25"/>
        <v>13333.333333333332</v>
      </c>
      <c r="I64" s="15">
        <f t="shared" si="26"/>
        <v>0</v>
      </c>
      <c r="J64" s="15">
        <f t="shared" si="14"/>
        <v>0</v>
      </c>
      <c r="K64" s="15"/>
      <c r="L64" s="15">
        <f t="shared" si="15"/>
        <v>40</v>
      </c>
      <c r="M64" s="15">
        <f t="shared" si="16"/>
        <v>13333.333333333332</v>
      </c>
      <c r="O64" s="117"/>
      <c r="P64">
        <f t="shared" si="1"/>
        <v>0.05</v>
      </c>
      <c r="Q64">
        <f t="shared" si="17"/>
        <v>180.09723948902936</v>
      </c>
      <c r="R64" s="3">
        <f t="shared" si="31"/>
        <v>644.964061144338</v>
      </c>
      <c r="S64" s="3">
        <f t="shared" si="32"/>
        <v>4177.496306896797</v>
      </c>
      <c r="T64" s="3">
        <f t="shared" si="4"/>
        <v>4822.460368041136</v>
      </c>
      <c r="U64" s="3">
        <f t="shared" si="28"/>
        <v>0.8662582972337998</v>
      </c>
      <c r="V64" s="1">
        <f t="shared" si="27"/>
        <v>0.014652529300161091</v>
      </c>
      <c r="W64" s="15">
        <f t="shared" si="18"/>
        <v>0.7463045763120116</v>
      </c>
      <c r="X64" s="3">
        <f t="shared" si="6"/>
        <v>0.01686361756841732</v>
      </c>
      <c r="Y64" s="1">
        <f t="shared" si="19"/>
        <v>6.262866738154115E-06</v>
      </c>
      <c r="Z64" s="1">
        <f t="shared" si="20"/>
        <v>0.00010024644297332938</v>
      </c>
      <c r="AA64" s="1">
        <f t="shared" si="7"/>
        <v>7.160722767341375E-06</v>
      </c>
      <c r="AB64">
        <f t="shared" si="8"/>
        <v>21.35</v>
      </c>
      <c r="AC64">
        <f t="shared" si="9"/>
        <v>1</v>
      </c>
      <c r="AD64" s="8">
        <f t="shared" si="10"/>
        <v>798.7900549453882</v>
      </c>
      <c r="AE64" s="4">
        <f t="shared" si="11"/>
        <v>4016283.9832065264</v>
      </c>
      <c r="AF64" s="5">
        <f t="shared" si="12"/>
        <v>0.010601605281478313</v>
      </c>
      <c r="AG64" s="4">
        <f t="shared" si="29"/>
        <v>33333.33333333321</v>
      </c>
      <c r="AH64" s="10">
        <f t="shared" si="30"/>
        <v>7737.495290921525</v>
      </c>
      <c r="AI64" s="10">
        <f t="shared" si="22"/>
        <v>3.6181632015493346</v>
      </c>
    </row>
    <row r="65" spans="1:35" ht="12.75">
      <c r="A65" s="120"/>
      <c r="B65" s="114"/>
      <c r="D65">
        <f t="shared" si="23"/>
        <v>333.3333333333333</v>
      </c>
      <c r="E65" s="4">
        <f t="shared" si="13"/>
        <v>17666.666666666675</v>
      </c>
      <c r="F65" s="15">
        <f t="shared" si="24"/>
        <v>40</v>
      </c>
      <c r="G65" s="15">
        <f t="shared" si="25"/>
        <v>13333.333333333332</v>
      </c>
      <c r="I65" s="15">
        <f t="shared" si="26"/>
        <v>0</v>
      </c>
      <c r="J65" s="15">
        <f t="shared" si="14"/>
        <v>0</v>
      </c>
      <c r="K65" s="15"/>
      <c r="L65" s="15">
        <f t="shared" si="15"/>
        <v>40</v>
      </c>
      <c r="M65" s="15">
        <f t="shared" si="16"/>
        <v>13333.333333333332</v>
      </c>
      <c r="O65" s="117"/>
      <c r="P65">
        <f t="shared" si="1"/>
        <v>0.05</v>
      </c>
      <c r="Q65">
        <f t="shared" si="17"/>
        <v>180.42203632885636</v>
      </c>
      <c r="R65" s="3">
        <f t="shared" si="31"/>
        <v>571.0632583120798</v>
      </c>
      <c r="S65" s="3">
        <f t="shared" si="32"/>
        <v>4251.397109729055</v>
      </c>
      <c r="T65" s="3">
        <f t="shared" si="4"/>
        <v>4822.460368041135</v>
      </c>
      <c r="U65" s="3">
        <f t="shared" si="28"/>
        <v>0.8815825917209055</v>
      </c>
      <c r="V65" s="1">
        <f t="shared" si="27"/>
        <v>0.014309502921428664</v>
      </c>
      <c r="W65" s="15">
        <f t="shared" si="18"/>
        <v>0.7471972511437253</v>
      </c>
      <c r="X65" s="3">
        <f t="shared" si="6"/>
        <v>0.016189960482515833</v>
      </c>
      <c r="Y65" s="1">
        <f t="shared" si="19"/>
        <v>6.247671071152274E-06</v>
      </c>
      <c r="Z65" s="1">
        <f t="shared" si="20"/>
        <v>0.00010098531859972684</v>
      </c>
      <c r="AA65" s="1">
        <f t="shared" si="7"/>
        <v>7.028473023152333E-06</v>
      </c>
      <c r="AB65">
        <f t="shared" si="8"/>
        <v>21.35</v>
      </c>
      <c r="AC65">
        <f t="shared" si="9"/>
        <v>1</v>
      </c>
      <c r="AD65" s="8">
        <f t="shared" si="10"/>
        <v>832.0273553849245</v>
      </c>
      <c r="AE65" s="4">
        <f t="shared" si="11"/>
        <v>4091855.5230872296</v>
      </c>
      <c r="AF65" s="5">
        <f t="shared" si="12"/>
        <v>0.010552312913857777</v>
      </c>
      <c r="AG65" s="4">
        <f t="shared" si="29"/>
        <v>33333.33333333321</v>
      </c>
      <c r="AH65" s="10">
        <f t="shared" si="30"/>
        <v>8160.152771328262</v>
      </c>
      <c r="AI65" s="10">
        <f t="shared" si="22"/>
        <v>3.536561673836052</v>
      </c>
    </row>
    <row r="66" spans="1:35" ht="12.75">
      <c r="A66" s="120"/>
      <c r="B66" s="114"/>
      <c r="D66">
        <f t="shared" si="23"/>
        <v>333.3333333333333</v>
      </c>
      <c r="E66" s="4">
        <f t="shared" si="13"/>
        <v>18000.000000000007</v>
      </c>
      <c r="F66" s="15">
        <f t="shared" si="24"/>
        <v>40</v>
      </c>
      <c r="G66" s="15">
        <f t="shared" si="25"/>
        <v>13333.333333333332</v>
      </c>
      <c r="I66" s="15">
        <f t="shared" si="26"/>
        <v>0</v>
      </c>
      <c r="J66" s="15">
        <f t="shared" si="14"/>
        <v>0</v>
      </c>
      <c r="K66" s="15"/>
      <c r="L66" s="15">
        <f t="shared" si="15"/>
        <v>40</v>
      </c>
      <c r="M66" s="15">
        <f t="shared" si="16"/>
        <v>13333.333333333332</v>
      </c>
      <c r="O66" s="117"/>
      <c r="P66">
        <f t="shared" si="1"/>
        <v>0.05</v>
      </c>
      <c r="Q66">
        <f t="shared" si="17"/>
        <v>180.7645750617384</v>
      </c>
      <c r="R66" s="3">
        <f t="shared" si="31"/>
        <v>497.30249335700245</v>
      </c>
      <c r="S66" s="3">
        <f t="shared" si="32"/>
        <v>4325.157874684132</v>
      </c>
      <c r="T66" s="3">
        <f t="shared" si="4"/>
        <v>4822.460368041135</v>
      </c>
      <c r="U66" s="3">
        <f t="shared" si="28"/>
        <v>0.8968778475293091</v>
      </c>
      <c r="V66" s="1">
        <f t="shared" si="27"/>
        <v>0.01394773886861737</v>
      </c>
      <c r="W66" s="15">
        <f t="shared" si="18"/>
        <v>0.7481386879689534</v>
      </c>
      <c r="X66" s="3">
        <f t="shared" si="6"/>
        <v>0.015518171977169986</v>
      </c>
      <c r="Y66" s="1">
        <f t="shared" si="19"/>
        <v>6.231645347124662E-06</v>
      </c>
      <c r="Z66" s="1">
        <f t="shared" si="20"/>
        <v>0.00010178187429151563</v>
      </c>
      <c r="AA66" s="1">
        <f t="shared" si="7"/>
        <v>6.899583297539848E-06</v>
      </c>
      <c r="AB66">
        <f t="shared" si="8"/>
        <v>21.35</v>
      </c>
      <c r="AC66">
        <f t="shared" si="9"/>
        <v>1</v>
      </c>
      <c r="AD66" s="8">
        <f t="shared" si="10"/>
        <v>868.0461863595525</v>
      </c>
      <c r="AE66" s="4">
        <f t="shared" si="11"/>
        <v>4168294.651781378</v>
      </c>
      <c r="AF66" s="5">
        <f t="shared" si="12"/>
        <v>0.010503598949922251</v>
      </c>
      <c r="AG66" s="4">
        <f t="shared" si="29"/>
        <v>33333.33333333321</v>
      </c>
      <c r="AH66" s="10">
        <f t="shared" si="30"/>
        <v>8617.444122765186</v>
      </c>
      <c r="AI66" s="10">
        <f t="shared" si="22"/>
        <v>3.4503872326084</v>
      </c>
    </row>
    <row r="67" spans="1:35" ht="12.75">
      <c r="A67" s="120"/>
      <c r="B67" s="114"/>
      <c r="D67">
        <f t="shared" si="23"/>
        <v>333.3333333333333</v>
      </c>
      <c r="E67" s="4">
        <f t="shared" si="13"/>
        <v>18333.33333333334</v>
      </c>
      <c r="F67" s="15">
        <f t="shared" si="24"/>
        <v>40</v>
      </c>
      <c r="G67" s="15">
        <f t="shared" si="25"/>
        <v>13333.333333333332</v>
      </c>
      <c r="I67" s="15">
        <f t="shared" si="26"/>
        <v>0</v>
      </c>
      <c r="J67" s="15">
        <f t="shared" si="14"/>
        <v>0</v>
      </c>
      <c r="K67" s="15"/>
      <c r="L67" s="15">
        <f t="shared" si="15"/>
        <v>40</v>
      </c>
      <c r="M67" s="15">
        <f t="shared" si="16"/>
        <v>13333.333333333332</v>
      </c>
      <c r="O67" s="117"/>
      <c r="P67">
        <f t="shared" si="1"/>
        <v>0.05</v>
      </c>
      <c r="Q67">
        <f t="shared" si="17"/>
        <v>181.12630951367973</v>
      </c>
      <c r="R67" s="3">
        <f t="shared" si="31"/>
        <v>423.6890389166561</v>
      </c>
      <c r="S67" s="3">
        <f t="shared" si="32"/>
        <v>4398.771329124479</v>
      </c>
      <c r="T67" s="3">
        <f t="shared" si="4"/>
        <v>4822.460368041136</v>
      </c>
      <c r="U67" s="3">
        <f t="shared" si="28"/>
        <v>0.9121425565828429</v>
      </c>
      <c r="V67" s="1">
        <f t="shared" si="27"/>
        <v>0.01356570171832282</v>
      </c>
      <c r="W67" s="15">
        <f t="shared" si="18"/>
        <v>0.7491328824973968</v>
      </c>
      <c r="X67" s="3">
        <f t="shared" si="6"/>
        <v>0.014846452849838277</v>
      </c>
      <c r="Y67" s="1">
        <f t="shared" si="19"/>
        <v>6.214721548611964E-06</v>
      </c>
      <c r="Z67" s="1">
        <f t="shared" si="20"/>
        <v>0.00010264327434294742</v>
      </c>
      <c r="AA67" s="1">
        <f t="shared" si="7"/>
        <v>6.773818702563593E-06</v>
      </c>
      <c r="AB67">
        <f t="shared" si="8"/>
        <v>21.35</v>
      </c>
      <c r="AC67">
        <f t="shared" si="9"/>
        <v>1</v>
      </c>
      <c r="AD67" s="8">
        <f t="shared" si="10"/>
        <v>907.320431371647</v>
      </c>
      <c r="AE67" s="4">
        <f t="shared" si="11"/>
        <v>4245684.365271138</v>
      </c>
      <c r="AF67" s="5">
        <f t="shared" si="12"/>
        <v>0.01045540373536026</v>
      </c>
      <c r="AG67" s="4">
        <f t="shared" si="29"/>
        <v>33333.33333333321</v>
      </c>
      <c r="AH67" s="10">
        <f t="shared" si="30"/>
        <v>9114.97166188007</v>
      </c>
      <c r="AI67" s="10">
        <f t="shared" si="22"/>
        <v>3.3592375159895993</v>
      </c>
    </row>
    <row r="68" spans="1:35" ht="12.75">
      <c r="A68" s="120"/>
      <c r="B68" s="114"/>
      <c r="D68">
        <f t="shared" si="23"/>
        <v>333.3333333333333</v>
      </c>
      <c r="E68" s="4">
        <f t="shared" si="13"/>
        <v>18666.66666666667</v>
      </c>
      <c r="F68" s="15">
        <f t="shared" si="24"/>
        <v>40</v>
      </c>
      <c r="G68" s="15">
        <f t="shared" si="25"/>
        <v>13333.333333333332</v>
      </c>
      <c r="I68" s="15">
        <f t="shared" si="26"/>
        <v>0</v>
      </c>
      <c r="J68" s="15">
        <f t="shared" si="14"/>
        <v>0</v>
      </c>
      <c r="K68" s="15"/>
      <c r="L68" s="15">
        <f t="shared" si="15"/>
        <v>40</v>
      </c>
      <c r="M68" s="15">
        <f t="shared" si="16"/>
        <v>13333.333333333332</v>
      </c>
      <c r="O68" s="117"/>
      <c r="P68">
        <f t="shared" si="1"/>
        <v>0.05</v>
      </c>
      <c r="Q68">
        <f t="shared" si="17"/>
        <v>181.50892867913046</v>
      </c>
      <c r="R68" s="3">
        <f t="shared" si="31"/>
        <v>350.23076096657326</v>
      </c>
      <c r="S68" s="3">
        <f t="shared" si="32"/>
        <v>4472.2296070745615</v>
      </c>
      <c r="T68" s="3">
        <f t="shared" si="4"/>
        <v>4822.460368041135</v>
      </c>
      <c r="U68" s="3">
        <f t="shared" si="28"/>
        <v>0.9273750877689773</v>
      </c>
      <c r="V68" s="1">
        <f t="shared" si="27"/>
        <v>0.013161607679636691</v>
      </c>
      <c r="W68" s="15">
        <f t="shared" si="18"/>
        <v>0.7501844767780279</v>
      </c>
      <c r="X68" s="3">
        <f t="shared" si="6"/>
        <v>0.01417285116680005</v>
      </c>
      <c r="Y68" s="1">
        <f t="shared" si="19"/>
        <v>6.1968206557651975E-06</v>
      </c>
      <c r="Z68" s="1">
        <f t="shared" si="20"/>
        <v>0.00010357814180353012</v>
      </c>
      <c r="AA68" s="1">
        <f t="shared" si="7"/>
        <v>6.650946952761752E-06</v>
      </c>
      <c r="AB68">
        <f t="shared" si="8"/>
        <v>21.35</v>
      </c>
      <c r="AC68">
        <f t="shared" si="9"/>
        <v>1</v>
      </c>
      <c r="AD68" s="8">
        <f t="shared" si="10"/>
        <v>950.4431991502706</v>
      </c>
      <c r="AE68" s="4">
        <f t="shared" si="11"/>
        <v>4324120.514404844</v>
      </c>
      <c r="AF68" s="5">
        <f t="shared" si="12"/>
        <v>0.010407664562764029</v>
      </c>
      <c r="AG68" s="4">
        <f t="shared" si="29"/>
        <v>33333.33333333321</v>
      </c>
      <c r="AH68" s="10">
        <f t="shared" si="30"/>
        <v>9659.739906068742</v>
      </c>
      <c r="AI68" s="10">
        <f t="shared" si="22"/>
        <v>3.262640116928912</v>
      </c>
    </row>
    <row r="69" spans="1:35" ht="12.75">
      <c r="A69" s="120"/>
      <c r="B69" s="114"/>
      <c r="D69">
        <f t="shared" si="23"/>
        <v>333.3333333333333</v>
      </c>
      <c r="E69" s="4">
        <f t="shared" si="13"/>
        <v>19000.000000000004</v>
      </c>
      <c r="F69" s="15">
        <f t="shared" si="24"/>
        <v>40</v>
      </c>
      <c r="G69" s="15">
        <f t="shared" si="25"/>
        <v>13333.333333333332</v>
      </c>
      <c r="I69" s="15">
        <f t="shared" si="26"/>
        <v>0</v>
      </c>
      <c r="J69" s="15">
        <f t="shared" si="14"/>
        <v>0</v>
      </c>
      <c r="K69" s="15"/>
      <c r="L69" s="15">
        <f t="shared" si="15"/>
        <v>40</v>
      </c>
      <c r="M69" s="15">
        <f t="shared" si="16"/>
        <v>13333.333333333332</v>
      </c>
      <c r="O69" s="117"/>
      <c r="P69">
        <f t="shared" si="1"/>
        <v>0.05</v>
      </c>
      <c r="Q69">
        <f t="shared" si="17"/>
        <v>181.91441558116753</v>
      </c>
      <c r="R69" s="3">
        <f t="shared" si="31"/>
        <v>276.9362213846664</v>
      </c>
      <c r="S69" s="3">
        <f t="shared" si="32"/>
        <v>4545.5241466564685</v>
      </c>
      <c r="T69" s="3">
        <f t="shared" si="4"/>
        <v>4822.460368041135</v>
      </c>
      <c r="U69" s="3">
        <f t="shared" si="28"/>
        <v>0.9425736656707546</v>
      </c>
      <c r="V69" s="1">
        <f t="shared" si="27"/>
        <v>0.012733362430380946</v>
      </c>
      <c r="W69" s="15">
        <f t="shared" si="18"/>
        <v>0.7512989209709912</v>
      </c>
      <c r="X69" s="3">
        <f t="shared" si="6"/>
        <v>0.013495208032814489</v>
      </c>
      <c r="Y69" s="1">
        <f t="shared" si="19"/>
        <v>6.177849892563669E-06</v>
      </c>
      <c r="Z69" s="1">
        <f t="shared" si="20"/>
        <v>0.00010459698430234212</v>
      </c>
      <c r="AA69" s="1">
        <f t="shared" si="7"/>
        <v>6.530735175156352E-06</v>
      </c>
      <c r="AB69">
        <f t="shared" si="8"/>
        <v>21.35</v>
      </c>
      <c r="AC69">
        <f t="shared" si="9"/>
        <v>1</v>
      </c>
      <c r="AD69" s="8">
        <f t="shared" si="10"/>
        <v>998.1683847555144</v>
      </c>
      <c r="AE69" s="4">
        <f t="shared" si="11"/>
        <v>4403714.955103341</v>
      </c>
      <c r="AF69" s="5">
        <f t="shared" si="12"/>
        <v>0.010360314373899213</v>
      </c>
      <c r="AG69" s="4">
        <f t="shared" si="29"/>
        <v>33333.33333333321</v>
      </c>
      <c r="AH69" s="10">
        <f t="shared" si="30"/>
        <v>10260.641765991666</v>
      </c>
      <c r="AI69" s="10">
        <f t="shared" si="22"/>
        <v>3.1600336992689955</v>
      </c>
    </row>
    <row r="70" spans="1:35" ht="12.75">
      <c r="A70" s="120"/>
      <c r="B70" s="114"/>
      <c r="D70">
        <f t="shared" si="23"/>
        <v>333.3333333333333</v>
      </c>
      <c r="E70" s="4">
        <f t="shared" si="13"/>
        <v>19333.333333333336</v>
      </c>
      <c r="F70" s="15">
        <f t="shared" si="24"/>
        <v>40</v>
      </c>
      <c r="G70" s="15">
        <f t="shared" si="25"/>
        <v>13333.333333333332</v>
      </c>
      <c r="I70" s="15">
        <f t="shared" si="26"/>
        <v>0</v>
      </c>
      <c r="J70" s="15">
        <f t="shared" si="14"/>
        <v>0</v>
      </c>
      <c r="K70" s="15"/>
      <c r="L70" s="15">
        <f t="shared" si="15"/>
        <v>40</v>
      </c>
      <c r="M70" s="15">
        <f t="shared" si="16"/>
        <v>13333.333333333332</v>
      </c>
      <c r="O70" s="117"/>
      <c r="P70">
        <f t="shared" si="1"/>
        <v>0.05</v>
      </c>
      <c r="Q70">
        <f t="shared" si="17"/>
        <v>182.34512654057855</v>
      </c>
      <c r="R70" s="3">
        <f t="shared" si="31"/>
        <v>203.81480823647254</v>
      </c>
      <c r="S70" s="3">
        <f t="shared" si="32"/>
        <v>4618.645559804662</v>
      </c>
      <c r="T70" s="3">
        <f t="shared" si="4"/>
        <v>4822.460368041135</v>
      </c>
      <c r="U70" s="3">
        <f t="shared" si="28"/>
        <v>0.9577363435504477</v>
      </c>
      <c r="V70" s="1">
        <f t="shared" si="27"/>
        <v>0.012278477398969237</v>
      </c>
      <c r="W70" s="15">
        <f t="shared" si="18"/>
        <v>0.7524826912115335</v>
      </c>
      <c r="X70" s="3">
        <f t="shared" si="6"/>
        <v>0.012811085842560707</v>
      </c>
      <c r="Y70" s="1">
        <f t="shared" si="19"/>
        <v>6.157699018199438E-06</v>
      </c>
      <c r="Z70" s="1">
        <f t="shared" si="20"/>
        <v>0.00010571278742340455</v>
      </c>
      <c r="AA70" s="1">
        <f t="shared" si="7"/>
        <v>6.412945983423948E-06</v>
      </c>
      <c r="AB70">
        <f t="shared" si="8"/>
        <v>21.35</v>
      </c>
      <c r="AC70">
        <f t="shared" si="9"/>
        <v>1</v>
      </c>
      <c r="AD70" s="8">
        <f t="shared" si="10"/>
        <v>1051.4713717164177</v>
      </c>
      <c r="AE70" s="4">
        <f t="shared" si="11"/>
        <v>4484599.781908725</v>
      </c>
      <c r="AF70" s="5">
        <f t="shared" si="12"/>
        <v>0.010313280053267163</v>
      </c>
      <c r="AG70" s="4">
        <f t="shared" si="29"/>
        <v>33333.33333333321</v>
      </c>
      <c r="AH70" s="10">
        <f t="shared" si="30"/>
        <v>10929.167999151829</v>
      </c>
      <c r="AI70" s="10">
        <f t="shared" si="22"/>
        <v>3.050742019277477</v>
      </c>
    </row>
    <row r="71" spans="1:35" ht="12.75">
      <c r="A71" s="120"/>
      <c r="B71" s="114"/>
      <c r="D71">
        <f t="shared" si="23"/>
        <v>333.3333333333333</v>
      </c>
      <c r="E71" s="4">
        <f t="shared" si="13"/>
        <v>19666.666666666668</v>
      </c>
      <c r="F71" s="15">
        <f t="shared" si="24"/>
        <v>40</v>
      </c>
      <c r="G71" s="15">
        <f t="shared" si="25"/>
        <v>13333.333333333332</v>
      </c>
      <c r="I71" s="15">
        <f t="shared" si="26"/>
        <v>0</v>
      </c>
      <c r="J71" s="15">
        <f t="shared" si="14"/>
        <v>0</v>
      </c>
      <c r="K71" s="15"/>
      <c r="L71" s="15">
        <f t="shared" si="15"/>
        <v>40</v>
      </c>
      <c r="M71" s="15">
        <f t="shared" si="16"/>
        <v>13333.333333333332</v>
      </c>
      <c r="O71" s="117"/>
      <c r="P71">
        <f t="shared" si="1"/>
        <v>0.05</v>
      </c>
      <c r="Q71">
        <f t="shared" si="17"/>
        <v>182.80390022567894</v>
      </c>
      <c r="R71" s="3">
        <f t="shared" si="31"/>
        <v>130.87690419354578</v>
      </c>
      <c r="S71" s="3">
        <f t="shared" si="32"/>
        <v>4691.583463847589</v>
      </c>
      <c r="T71" s="3">
        <f t="shared" si="4"/>
        <v>4822.460368041135</v>
      </c>
      <c r="U71" s="3">
        <f t="shared" si="28"/>
        <v>0.9728609684258105</v>
      </c>
      <c r="V71" s="1">
        <f t="shared" si="27"/>
        <v>0.01179395459406284</v>
      </c>
      <c r="W71" s="15">
        <f t="shared" si="18"/>
        <v>0.7537435893235958</v>
      </c>
      <c r="X71" s="3">
        <f t="shared" si="6"/>
        <v>0.012117670683902836</v>
      </c>
      <c r="Y71" s="1">
        <f t="shared" si="19"/>
        <v>6.136235225165904E-06</v>
      </c>
      <c r="Z71" s="1">
        <f t="shared" si="20"/>
        <v>0.00010694186147786018</v>
      </c>
      <c r="AA71" s="1">
        <f t="shared" si="7"/>
        <v>6.297332427605457E-06</v>
      </c>
      <c r="AB71">
        <f t="shared" si="8"/>
        <v>21.35</v>
      </c>
      <c r="AC71">
        <f t="shared" si="9"/>
        <v>1</v>
      </c>
      <c r="AD71" s="8">
        <f t="shared" si="10"/>
        <v>1111.6402116743723</v>
      </c>
      <c r="AE71" s="4">
        <f t="shared" si="11"/>
        <v>4566933.140226676</v>
      </c>
      <c r="AF71" s="5">
        <f t="shared" si="12"/>
        <v>0.010266480119072111</v>
      </c>
      <c r="AG71" s="4">
        <f t="shared" si="29"/>
        <v>33333.33333333321</v>
      </c>
      <c r="AH71" s="10">
        <f t="shared" si="30"/>
        <v>11680.471892207735</v>
      </c>
      <c r="AI71" s="10">
        <f t="shared" si="22"/>
        <v>2.9339373003553995</v>
      </c>
    </row>
    <row r="72" spans="1:35" ht="13.5" thickBot="1">
      <c r="A72" s="100"/>
      <c r="B72" s="115"/>
      <c r="D72">
        <f t="shared" si="23"/>
        <v>333.3333333333333</v>
      </c>
      <c r="E72" s="4">
        <f t="shared" si="13"/>
        <v>20000</v>
      </c>
      <c r="F72" s="15">
        <f t="shared" si="24"/>
        <v>40</v>
      </c>
      <c r="G72" s="15">
        <f t="shared" si="25"/>
        <v>13333.333333333332</v>
      </c>
      <c r="I72" s="15">
        <f t="shared" si="26"/>
        <v>0</v>
      </c>
      <c r="J72" s="15">
        <f t="shared" si="14"/>
        <v>0</v>
      </c>
      <c r="K72" s="15"/>
      <c r="L72" s="15">
        <f t="shared" si="15"/>
        <v>40</v>
      </c>
      <c r="M72" s="15">
        <f t="shared" si="16"/>
        <v>13333.333333333332</v>
      </c>
      <c r="O72" s="118"/>
      <c r="P72">
        <f t="shared" si="1"/>
        <v>0.05</v>
      </c>
      <c r="Q72">
        <f t="shared" si="17"/>
        <v>183.29421139429815</v>
      </c>
      <c r="R72" s="3">
        <f t="shared" si="31"/>
        <v>58.13410870694429</v>
      </c>
      <c r="S72" s="3">
        <f t="shared" si="32"/>
        <v>4764.326259334191</v>
      </c>
      <c r="T72" s="3">
        <f t="shared" si="4"/>
        <v>4822.460368041135</v>
      </c>
      <c r="U72" s="3">
        <f t="shared" si="28"/>
        <v>0.9879451349995111</v>
      </c>
      <c r="V72" s="1">
        <f t="shared" si="27"/>
        <v>0.011276124233665592</v>
      </c>
      <c r="W72" s="15">
        <f t="shared" si="18"/>
        <v>0.7550911653657997</v>
      </c>
      <c r="X72" s="3">
        <f t="shared" si="6"/>
        <v>0.01141163562822346</v>
      </c>
      <c r="Y72" s="1">
        <f t="shared" si="19"/>
        <v>6.113295946416797E-06</v>
      </c>
      <c r="Z72" s="1">
        <f t="shared" si="20"/>
        <v>0.00010830508358323928</v>
      </c>
      <c r="AA72" s="1">
        <f t="shared" si="7"/>
        <v>6.183631204560979E-06</v>
      </c>
      <c r="AB72">
        <f t="shared" si="8"/>
        <v>21.35</v>
      </c>
      <c r="AC72">
        <f t="shared" si="9"/>
        <v>1</v>
      </c>
      <c r="AD72" s="8">
        <f t="shared" si="10"/>
        <v>1180.4171148558783</v>
      </c>
      <c r="AE72" s="4">
        <f t="shared" si="11"/>
        <v>4650907.404931067</v>
      </c>
      <c r="AF72" s="5">
        <f t="shared" si="12"/>
        <v>0.01021982150295557</v>
      </c>
      <c r="AG72" s="4">
        <f t="shared" si="29"/>
        <v>33333.33333333321</v>
      </c>
      <c r="AH72" s="10">
        <f t="shared" si="30"/>
        <v>12535.019914674207</v>
      </c>
      <c r="AI72" s="10">
        <f t="shared" si="22"/>
        <v>2.8085871012086576</v>
      </c>
    </row>
    <row r="73" spans="1:35" ht="13.5" thickBot="1">
      <c r="A73" s="20" t="s">
        <v>46</v>
      </c>
      <c r="AB73" t="s">
        <v>40</v>
      </c>
      <c r="AH73" s="3">
        <f>0.1*(V72*AD72^2)/2</f>
        <v>785.598873035793</v>
      </c>
      <c r="AI73" s="10">
        <f t="shared" si="22"/>
        <v>2.8007311124783</v>
      </c>
    </row>
    <row r="75" spans="1:34" ht="12.75">
      <c r="A75" t="s">
        <v>53</v>
      </c>
      <c r="B75" s="15">
        <f>B58+B43+B28+B13</f>
        <v>800000.0000000001</v>
      </c>
      <c r="C75" t="s">
        <v>35</v>
      </c>
      <c r="N75" t="s">
        <v>39</v>
      </c>
      <c r="O75" s="15">
        <f>O58+O43+O28+O13</f>
        <v>800000.0000000001</v>
      </c>
      <c r="P75" t="s">
        <v>35</v>
      </c>
      <c r="AG75" s="6" t="s">
        <v>66</v>
      </c>
      <c r="AH75" s="11">
        <f>SUM(AH13:AH73)</f>
        <v>219926.88875216994</v>
      </c>
    </row>
    <row r="76" spans="33:34" ht="12.75">
      <c r="AG76" s="25" t="s">
        <v>67</v>
      </c>
      <c r="AH76" s="26">
        <f>AH75/100000</f>
        <v>2.1992688875216992</v>
      </c>
    </row>
    <row r="77" spans="33:34" ht="12.75">
      <c r="AG77" s="6"/>
      <c r="AH77" s="11"/>
    </row>
    <row r="78" spans="29:36" ht="12.75">
      <c r="AC78" s="12" t="s">
        <v>83</v>
      </c>
      <c r="AD78" s="12"/>
      <c r="AE78" s="12"/>
      <c r="AF78" s="12"/>
      <c r="AG78" s="23">
        <f>74.007+30.4*LOG(AI12)</f>
        <v>95.25568813181498</v>
      </c>
      <c r="AH78" s="12" t="s">
        <v>81</v>
      </c>
      <c r="AI78" s="23">
        <f>74.007+30.4*LOG(AI73)</f>
        <v>87.60405104234566</v>
      </c>
      <c r="AJ78" s="24" t="s">
        <v>82</v>
      </c>
    </row>
  </sheetData>
  <mergeCells count="12">
    <mergeCell ref="B28:B42"/>
    <mergeCell ref="A28:A42"/>
    <mergeCell ref="O28:O42"/>
    <mergeCell ref="A13:A27"/>
    <mergeCell ref="B13:B27"/>
    <mergeCell ref="O13:O27"/>
    <mergeCell ref="O43:O57"/>
    <mergeCell ref="B58:B72"/>
    <mergeCell ref="A58:A72"/>
    <mergeCell ref="O58:O72"/>
    <mergeCell ref="A43:A57"/>
    <mergeCell ref="B43:B57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Client</cp:lastModifiedBy>
  <cp:lastPrinted>2001-06-12T15:35:49Z</cp:lastPrinted>
  <dcterms:created xsi:type="dcterms:W3CDTF">1998-03-03T21:36:36Z</dcterms:created>
  <dcterms:modified xsi:type="dcterms:W3CDTF">2001-10-25T13:18:17Z</dcterms:modified>
  <cp:category/>
  <cp:version/>
  <cp:contentType/>
  <cp:contentStatus/>
</cp:coreProperties>
</file>