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workbookProtection workbookPassword="D8D5" lockStructure="1"/>
  <bookViews>
    <workbookView xWindow="15165" yWindow="1620" windowWidth="19320" windowHeight="11640" tabRatio="500"/>
  </bookViews>
  <sheets>
    <sheet name="Template" sheetId="29" r:id="rId1"/>
    <sheet name="DE" sheetId="28" state="hidden" r:id="rId2"/>
    <sheet name="Scoring" sheetId="27" state="hidden" r:id="rId3"/>
    <sheet name="Score Card" sheetId="22" r:id="rId4"/>
    <sheet name="Categories" sheetId="24" state="hidden" r:id="rId5"/>
    <sheet name="Upversion" sheetId="25" state="hidden" r:id="rId6"/>
  </sheets>
  <definedNames>
    <definedName name="DefectCategory" localSheetId="1">#REF!</definedName>
    <definedName name="DefectCategory" localSheetId="2">#REF!</definedName>
    <definedName name="DefectCategory" localSheetId="0">#REF!</definedName>
    <definedName name="DefectCategory">Categories!$A$2:$F$2</definedName>
    <definedName name="Location" localSheetId="1">#REF!</definedName>
    <definedName name="Location" localSheetId="2">#REF!</definedName>
    <definedName name="Location" localSheetId="0">#REF!</definedName>
    <definedName name="Location">Categories!$D$38:$D$41</definedName>
    <definedName name="Missing_Print" localSheetId="1">#REF!</definedName>
    <definedName name="Missing_Print" localSheetId="2">#REF!</definedName>
    <definedName name="Missing_Print" localSheetId="0">#REF!</definedName>
    <definedName name="Missing_Print">Categories!$D$3:$D$12</definedName>
    <definedName name="Missing_Print_D" localSheetId="1">#REF!</definedName>
    <definedName name="Missing_Print_D" localSheetId="2">#REF!</definedName>
    <definedName name="Missing_Print_D" localSheetId="0">#REF!</definedName>
    <definedName name="Missing_Print_D">Categories!$C$30:$E$30</definedName>
    <definedName name="Muang">Template!$A$202:$A$253</definedName>
    <definedName name="Osaka">Template!$A$254:$A$280</definedName>
    <definedName name="PassFail" localSheetId="3">Categories!$H$38:$H$40</definedName>
    <definedName name="Print_Clarity" localSheetId="1">#REF!</definedName>
    <definedName name="Print_Clarity" localSheetId="2">#REF!</definedName>
    <definedName name="Print_Clarity" localSheetId="0">#REF!</definedName>
    <definedName name="Print_Clarity">Categories!$C$3:$C$21</definedName>
    <definedName name="Print_Clarity_D" localSheetId="1">#REF!</definedName>
    <definedName name="Print_Clarity_D" localSheetId="2">#REF!</definedName>
    <definedName name="Print_Clarity_D" localSheetId="0">#REF!</definedName>
    <definedName name="Print_Clarity_D">Categories!$C$29:$F$29</definedName>
    <definedName name="Print_Color" localSheetId="1">#REF!</definedName>
    <definedName name="Print_Color" localSheetId="2">#REF!</definedName>
    <definedName name="Print_Color" localSheetId="0">#REF!</definedName>
    <definedName name="Print_Color">Categories!$B$3:$B$12</definedName>
    <definedName name="Print_Color_D" localSheetId="1">#REF!</definedName>
    <definedName name="Print_Color_D" localSheetId="2">#REF!</definedName>
    <definedName name="Print_Color_D" localSheetId="0">#REF!</definedName>
    <definedName name="Print_Color_D">Categories!$C$28:$E$28</definedName>
    <definedName name="Select_D" localSheetId="1">#REF!</definedName>
    <definedName name="Select_D" localSheetId="2">#REF!</definedName>
    <definedName name="Select_D" localSheetId="0">#REF!</definedName>
    <definedName name="Select_D">Categories!$C$27:$D$27</definedName>
    <definedName name="Substrate_Defect" localSheetId="1">#REF!</definedName>
    <definedName name="Substrate_Defect" localSheetId="2">#REF!</definedName>
    <definedName name="Substrate_Defect" localSheetId="0">#REF!</definedName>
    <definedName name="Substrate_Defect">Categories!$F$3:$F$8</definedName>
    <definedName name="Substrate_Defect_D" localSheetId="1">#REF!</definedName>
    <definedName name="Substrate_Defect_D" localSheetId="2">#REF!</definedName>
    <definedName name="Substrate_Defect_D" localSheetId="0">#REF!</definedName>
    <definedName name="Substrate_Defect_D">Categories!$C$32:$D$32</definedName>
    <definedName name="Unwanted_Print" localSheetId="1">#REF!</definedName>
    <definedName name="Unwanted_Print" localSheetId="2">#REF!</definedName>
    <definedName name="Unwanted_Print" localSheetId="0">#REF!</definedName>
    <definedName name="Unwanted_Print">Categories!$E$3:$E$13</definedName>
    <definedName name="Unwanted_Print_D" localSheetId="1">#REF!</definedName>
    <definedName name="Unwanted_Print_D" localSheetId="2">#REF!</definedName>
    <definedName name="Unwanted_Print_D" localSheetId="0">#REF!</definedName>
    <definedName name="Unwanted_Print_D">Categories!$C$31:$F$31</definedName>
    <definedName name="Visibility" localSheetId="3">Categories!$G$38:$G$40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80" i="29" l="1"/>
  <c r="D21" i="29"/>
  <c r="D12" i="29"/>
  <c r="D10" i="29"/>
  <c r="D9" i="29"/>
  <c r="P255" i="29"/>
  <c r="P256" i="29"/>
  <c r="P257" i="29"/>
  <c r="P258" i="29"/>
  <c r="P259" i="29"/>
  <c r="P260" i="29"/>
  <c r="P261" i="29"/>
  <c r="P262" i="29"/>
  <c r="P263" i="29"/>
  <c r="P264" i="29"/>
  <c r="P265" i="29"/>
  <c r="P266" i="29"/>
  <c r="P267" i="29"/>
  <c r="P268" i="29"/>
  <c r="P269" i="29"/>
  <c r="P270" i="29"/>
  <c r="P271" i="29"/>
  <c r="P272" i="29"/>
  <c r="P273" i="29"/>
  <c r="P274" i="29"/>
  <c r="P275" i="29"/>
  <c r="P276" i="29"/>
  <c r="P277" i="29"/>
  <c r="P278" i="29"/>
  <c r="P279" i="29"/>
  <c r="P241" i="29"/>
  <c r="P239" i="29"/>
  <c r="P237" i="29"/>
  <c r="P218" i="29"/>
  <c r="P216" i="29"/>
  <c r="P253" i="29"/>
  <c r="P215" i="29"/>
  <c r="P244" i="29"/>
  <c r="P245" i="29"/>
  <c r="P246" i="29"/>
  <c r="P247" i="29"/>
  <c r="P248" i="29"/>
  <c r="P249" i="29"/>
  <c r="P250" i="29"/>
  <c r="P251" i="29"/>
  <c r="P252" i="29"/>
  <c r="P236" i="29"/>
  <c r="P229" i="29"/>
  <c r="P224" i="29"/>
  <c r="P238" i="29"/>
  <c r="P240" i="29"/>
  <c r="P242" i="29"/>
  <c r="P243" i="29"/>
  <c r="P235" i="29"/>
  <c r="P214" i="29"/>
  <c r="P217" i="29"/>
  <c r="D11" i="29" s="1"/>
  <c r="P219" i="29"/>
  <c r="P220" i="29"/>
  <c r="P221" i="29"/>
  <c r="P222" i="29"/>
  <c r="P223" i="29"/>
  <c r="P225" i="29"/>
  <c r="P226" i="29"/>
  <c r="P227" i="29"/>
  <c r="P228" i="29"/>
  <c r="P230" i="29"/>
  <c r="P231" i="29"/>
  <c r="P232" i="29"/>
  <c r="P233" i="29"/>
  <c r="P234" i="29"/>
  <c r="M4" i="22"/>
  <c r="M5" i="22"/>
  <c r="M6" i="22"/>
  <c r="M7" i="22"/>
  <c r="N8" i="22"/>
  <c r="M8" i="22"/>
  <c r="N9" i="22"/>
  <c r="M9" i="22"/>
  <c r="N10" i="22"/>
  <c r="M10" i="22"/>
  <c r="N11" i="22"/>
  <c r="M11" i="22"/>
  <c r="N12" i="22"/>
  <c r="M12" i="22"/>
  <c r="N13" i="22"/>
  <c r="M13" i="22"/>
  <c r="N68" i="29"/>
  <c r="J70" i="29"/>
  <c r="N71" i="29"/>
  <c r="N73" i="29"/>
  <c r="N75" i="29"/>
  <c r="J77" i="29"/>
  <c r="L77" i="29"/>
  <c r="E44" i="27"/>
  <c r="N77" i="29"/>
  <c r="J78" i="29"/>
  <c r="L78" i="29"/>
  <c r="D45" i="27"/>
  <c r="F45" i="27" s="1"/>
  <c r="N78" i="29"/>
  <c r="J79" i="29"/>
  <c r="L79" i="29"/>
  <c r="E46" i="27"/>
  <c r="N79" i="29"/>
  <c r="J80" i="29"/>
  <c r="D47" i="27" s="1"/>
  <c r="F47" i="27" s="1"/>
  <c r="L80" i="29"/>
  <c r="N80" i="29"/>
  <c r="J81" i="29"/>
  <c r="E48" i="27" s="1"/>
  <c r="L81" i="29"/>
  <c r="N81" i="29"/>
  <c r="J82" i="29"/>
  <c r="D49" i="27" s="1"/>
  <c r="F49" i="27" s="1"/>
  <c r="L82" i="29"/>
  <c r="N82" i="29"/>
  <c r="J83" i="29"/>
  <c r="L83" i="29"/>
  <c r="N83" i="29"/>
  <c r="J84" i="29"/>
  <c r="E51" i="27" s="1"/>
  <c r="L84" i="29"/>
  <c r="N84" i="29"/>
  <c r="J85" i="29"/>
  <c r="L85" i="29"/>
  <c r="N85" i="29"/>
  <c r="J86" i="29"/>
  <c r="D53" i="27" s="1"/>
  <c r="F53" i="27" s="1"/>
  <c r="L86" i="29"/>
  <c r="N86" i="29"/>
  <c r="J87" i="29"/>
  <c r="L87" i="29"/>
  <c r="N87" i="29"/>
  <c r="J88" i="29"/>
  <c r="L88" i="29"/>
  <c r="N88" i="29"/>
  <c r="J89" i="29"/>
  <c r="E56" i="27" s="1"/>
  <c r="L89" i="29"/>
  <c r="N89" i="29"/>
  <c r="J90" i="29"/>
  <c r="L90" i="29"/>
  <c r="N90" i="29"/>
  <c r="A92" i="29"/>
  <c r="B92" i="29"/>
  <c r="C92" i="29"/>
  <c r="D92" i="29"/>
  <c r="E92" i="29"/>
  <c r="F92" i="29"/>
  <c r="G92" i="29"/>
  <c r="H92" i="29"/>
  <c r="I92" i="29"/>
  <c r="J92" i="29"/>
  <c r="A111" i="29"/>
  <c r="E45" i="27"/>
  <c r="E50" i="27"/>
  <c r="E52" i="27"/>
  <c r="E53" i="27"/>
  <c r="E54" i="27"/>
  <c r="E55" i="27"/>
  <c r="E57" i="27"/>
  <c r="I111" i="29"/>
  <c r="A134" i="29"/>
  <c r="P203" i="29"/>
  <c r="P204" i="29"/>
  <c r="P205" i="29"/>
  <c r="P206" i="29"/>
  <c r="P207" i="29"/>
  <c r="P208" i="29"/>
  <c r="P209" i="29"/>
  <c r="P210" i="29"/>
  <c r="P211" i="29"/>
  <c r="P212" i="29"/>
  <c r="P213" i="29"/>
  <c r="B4" i="28"/>
  <c r="C4" i="28"/>
  <c r="D4" i="28"/>
  <c r="E4" i="28" s="1"/>
  <c r="I4" i="28"/>
  <c r="J4" i="28"/>
  <c r="K4" i="28"/>
  <c r="B14" i="28"/>
  <c r="B28" i="28"/>
  <c r="C28" i="28"/>
  <c r="D28" i="28"/>
  <c r="E28" i="28" s="1"/>
  <c r="F28" i="28"/>
  <c r="I28" i="28"/>
  <c r="J28" i="28"/>
  <c r="K28" i="28"/>
  <c r="L28" i="28" s="1"/>
  <c r="B52" i="28"/>
  <c r="C52" i="28"/>
  <c r="B62" i="28" s="1"/>
  <c r="D52" i="28"/>
  <c r="I52" i="28"/>
  <c r="J52" i="28"/>
  <c r="L52" i="28" s="1"/>
  <c r="K52" i="28"/>
  <c r="B76" i="28"/>
  <c r="C76" i="28"/>
  <c r="F76" i="28" s="1"/>
  <c r="D76" i="28"/>
  <c r="I76" i="28"/>
  <c r="J76" i="28"/>
  <c r="I86" i="28" s="1"/>
  <c r="K76" i="28"/>
  <c r="B100" i="28"/>
  <c r="C100" i="28"/>
  <c r="E100" i="28" s="1"/>
  <c r="D100" i="28"/>
  <c r="I100" i="28"/>
  <c r="J100" i="28"/>
  <c r="K100" i="28"/>
  <c r="B124" i="28"/>
  <c r="C124" i="28"/>
  <c r="D124" i="28"/>
  <c r="I124" i="28"/>
  <c r="J124" i="28"/>
  <c r="K124" i="28"/>
  <c r="B148" i="28"/>
  <c r="C148" i="28"/>
  <c r="D148" i="28"/>
  <c r="I148" i="28"/>
  <c r="J148" i="28"/>
  <c r="K148" i="28"/>
  <c r="B172" i="28"/>
  <c r="C172" i="28"/>
  <c r="D172" i="28"/>
  <c r="I172" i="28"/>
  <c r="J172" i="28"/>
  <c r="M172" i="28" s="1"/>
  <c r="K172" i="28"/>
  <c r="B197" i="28"/>
  <c r="C197" i="28"/>
  <c r="D197" i="28"/>
  <c r="I197" i="28"/>
  <c r="J197" i="28"/>
  <c r="K197" i="28"/>
  <c r="L197" i="28" s="1"/>
  <c r="B221" i="28"/>
  <c r="C221" i="28"/>
  <c r="D221" i="28"/>
  <c r="F221" i="28"/>
  <c r="I221" i="28"/>
  <c r="J221" i="28"/>
  <c r="K221" i="28"/>
  <c r="L221" i="28"/>
  <c r="C3" i="27"/>
  <c r="C4" i="27"/>
  <c r="C5" i="27"/>
  <c r="C6" i="27"/>
  <c r="C7" i="27"/>
  <c r="C8" i="27"/>
  <c r="C9" i="27"/>
  <c r="C10" i="27"/>
  <c r="C11" i="27"/>
  <c r="C12" i="27"/>
  <c r="D44" i="27"/>
  <c r="F44" i="27" s="1"/>
  <c r="D46" i="27"/>
  <c r="F46" i="27" s="1"/>
  <c r="D50" i="27"/>
  <c r="F50" i="27" s="1"/>
  <c r="D52" i="27"/>
  <c r="F52" i="27" s="1"/>
  <c r="D54" i="27"/>
  <c r="F54" i="27" s="1"/>
  <c r="D55" i="27"/>
  <c r="F55" i="27" s="1"/>
  <c r="D57" i="27"/>
  <c r="F57" i="27" s="1"/>
  <c r="B31" i="24"/>
  <c r="L4" i="22"/>
  <c r="L5" i="22"/>
  <c r="L6" i="22"/>
  <c r="L7" i="22"/>
  <c r="L8" i="22"/>
  <c r="L9" i="22"/>
  <c r="L10" i="22"/>
  <c r="L11" i="22"/>
  <c r="L12" i="22"/>
  <c r="L13" i="22"/>
  <c r="N5" i="22"/>
  <c r="N7" i="22"/>
  <c r="N4" i="22"/>
  <c r="N6" i="22"/>
  <c r="M221" i="28" l="1"/>
  <c r="B231" i="28"/>
  <c r="B182" i="28"/>
  <c r="F124" i="28"/>
  <c r="M76" i="28"/>
  <c r="E76" i="28"/>
  <c r="E52" i="28"/>
  <c r="M100" i="28"/>
  <c r="E148" i="28"/>
  <c r="M124" i="28"/>
  <c r="B110" i="28"/>
  <c r="B38" i="28"/>
  <c r="M4" i="28"/>
  <c r="E47" i="27"/>
  <c r="O11" i="22"/>
  <c r="E197" i="28"/>
  <c r="L172" i="28"/>
  <c r="F172" i="28"/>
  <c r="L148" i="28"/>
  <c r="L100" i="28"/>
  <c r="O9" i="22"/>
  <c r="B63" i="29"/>
  <c r="B58" i="29"/>
  <c r="B56" i="29"/>
  <c r="B62" i="29"/>
  <c r="B54" i="29"/>
  <c r="B60" i="29"/>
  <c r="D51" i="27"/>
  <c r="F51" i="27" s="1"/>
  <c r="M197" i="28"/>
  <c r="F148" i="28"/>
  <c r="L124" i="28"/>
  <c r="I62" i="28"/>
  <c r="D48" i="27"/>
  <c r="F48" i="27" s="1"/>
  <c r="E221" i="28"/>
  <c r="I207" i="28"/>
  <c r="F197" i="28"/>
  <c r="E172" i="28"/>
  <c r="I158" i="28"/>
  <c r="M148" i="28"/>
  <c r="I134" i="28"/>
  <c r="F100" i="28"/>
  <c r="L76" i="28"/>
  <c r="I14" i="28"/>
  <c r="E49" i="27"/>
  <c r="D56" i="27"/>
  <c r="F56" i="27" s="1"/>
  <c r="E124" i="28"/>
  <c r="M28" i="28"/>
  <c r="L4" i="28"/>
  <c r="O7" i="22"/>
  <c r="O5" i="22"/>
  <c r="O10" i="22"/>
  <c r="O6" i="22"/>
  <c r="O4" i="22"/>
  <c r="M52" i="28"/>
  <c r="F52" i="28"/>
  <c r="F4" i="28"/>
  <c r="O13" i="22"/>
  <c r="O8" i="22"/>
  <c r="I231" i="28"/>
  <c r="B207" i="28"/>
  <c r="I182" i="28"/>
  <c r="B158" i="28"/>
  <c r="B134" i="28"/>
  <c r="I110" i="28"/>
  <c r="B86" i="28"/>
  <c r="I38" i="28"/>
  <c r="O12" i="22"/>
  <c r="M63" i="29"/>
  <c r="J63" i="29"/>
  <c r="K220" i="28" s="1"/>
  <c r="I225" i="28" s="1"/>
  <c r="H63" i="29"/>
  <c r="I220" i="28" s="1"/>
  <c r="F63" i="29"/>
  <c r="C220" i="28" s="1"/>
  <c r="B89" i="29"/>
  <c r="N63" i="29"/>
  <c r="B12" i="27" s="1"/>
  <c r="D12" i="27" s="1"/>
  <c r="E12" i="27" s="1"/>
  <c r="F12" i="27" s="1"/>
  <c r="L63" i="29"/>
  <c r="I63" i="29"/>
  <c r="J220" i="28" s="1"/>
  <c r="G63" i="29"/>
  <c r="D220" i="28" s="1"/>
  <c r="B225" i="28" s="1"/>
  <c r="E63" i="29"/>
  <c r="B220" i="28" s="1"/>
  <c r="K63" i="29"/>
  <c r="B55" i="29"/>
  <c r="B57" i="29"/>
  <c r="B59" i="29"/>
  <c r="B61" i="29"/>
  <c r="O14" i="22" l="1"/>
  <c r="O18" i="22" s="1"/>
  <c r="O19" i="22" s="1"/>
  <c r="N92" i="29" s="1"/>
  <c r="M62" i="29"/>
  <c r="H62" i="29"/>
  <c r="I196" i="28" s="1"/>
  <c r="J62" i="29"/>
  <c r="K196" i="28" s="1"/>
  <c r="F62" i="29"/>
  <c r="C196" i="28" s="1"/>
  <c r="L62" i="29"/>
  <c r="G62" i="29"/>
  <c r="D196" i="28" s="1"/>
  <c r="N62" i="29"/>
  <c r="B11" i="27" s="1"/>
  <c r="D11" i="27" s="1"/>
  <c r="E11" i="27" s="1"/>
  <c r="F11" i="27" s="1"/>
  <c r="I62" i="29"/>
  <c r="J196" i="28" s="1"/>
  <c r="E62" i="29"/>
  <c r="B196" i="28" s="1"/>
  <c r="K62" i="29"/>
  <c r="B87" i="29"/>
  <c r="L56" i="29"/>
  <c r="G56" i="29"/>
  <c r="D51" i="28" s="1"/>
  <c r="K56" i="29"/>
  <c r="N56" i="29"/>
  <c r="E56" i="29"/>
  <c r="B51" i="28" s="1"/>
  <c r="J56" i="29"/>
  <c r="K51" i="28" s="1"/>
  <c r="F56" i="29"/>
  <c r="C51" i="28" s="1"/>
  <c r="I56" i="29"/>
  <c r="J51" i="28" s="1"/>
  <c r="B75" i="29"/>
  <c r="M56" i="29"/>
  <c r="L75" i="29" s="1"/>
  <c r="H56" i="29"/>
  <c r="I51" i="28" s="1"/>
  <c r="N60" i="29"/>
  <c r="B9" i="27" s="1"/>
  <c r="D9" i="27" s="1"/>
  <c r="E9" i="27" s="1"/>
  <c r="F9" i="27" s="1"/>
  <c r="I60" i="29"/>
  <c r="J147" i="28" s="1"/>
  <c r="E60" i="29"/>
  <c r="B147" i="28" s="1"/>
  <c r="L60" i="29"/>
  <c r="G60" i="29"/>
  <c r="D147" i="28" s="1"/>
  <c r="B152" i="28" s="1"/>
  <c r="B83" i="29"/>
  <c r="M60" i="29"/>
  <c r="H60" i="29"/>
  <c r="I147" i="28" s="1"/>
  <c r="K60" i="29"/>
  <c r="J60" i="29"/>
  <c r="K147" i="28" s="1"/>
  <c r="I152" i="28" s="1"/>
  <c r="F60" i="29"/>
  <c r="C147" i="28" s="1"/>
  <c r="J58" i="29"/>
  <c r="K99" i="28" s="1"/>
  <c r="I104" i="28" s="1"/>
  <c r="F58" i="29"/>
  <c r="C99" i="28" s="1"/>
  <c r="H58" i="29"/>
  <c r="I99" i="28" s="1"/>
  <c r="N58" i="29"/>
  <c r="B7" i="27" s="1"/>
  <c r="D7" i="27" s="1"/>
  <c r="E7" i="27" s="1"/>
  <c r="F7" i="27" s="1"/>
  <c r="I58" i="29"/>
  <c r="J99" i="28" s="1"/>
  <c r="E58" i="29"/>
  <c r="B99" i="28" s="1"/>
  <c r="K58" i="29"/>
  <c r="M58" i="29"/>
  <c r="L58" i="29"/>
  <c r="G58" i="29"/>
  <c r="D99" i="28" s="1"/>
  <c r="B104" i="28" s="1"/>
  <c r="B79" i="29"/>
  <c r="M54" i="29"/>
  <c r="L71" i="29" s="1"/>
  <c r="H54" i="29"/>
  <c r="I3" i="28" s="1"/>
  <c r="J54" i="29"/>
  <c r="K3" i="28" s="1"/>
  <c r="L54" i="29"/>
  <c r="G54" i="29"/>
  <c r="D3" i="28" s="1"/>
  <c r="B8" i="28" s="1"/>
  <c r="F54" i="29"/>
  <c r="C3" i="28" s="1"/>
  <c r="B71" i="29"/>
  <c r="N54" i="29"/>
  <c r="I54" i="29"/>
  <c r="J3" i="28" s="1"/>
  <c r="E54" i="29"/>
  <c r="B3" i="28" s="1"/>
  <c r="K54" i="29"/>
  <c r="M59" i="29"/>
  <c r="J59" i="29"/>
  <c r="K123" i="28" s="1"/>
  <c r="I128" i="28" s="1"/>
  <c r="H59" i="29"/>
  <c r="I123" i="28" s="1"/>
  <c r="F59" i="29"/>
  <c r="C123" i="28" s="1"/>
  <c r="N59" i="29"/>
  <c r="B8" i="27" s="1"/>
  <c r="D8" i="27" s="1"/>
  <c r="E8" i="27" s="1"/>
  <c r="F8" i="27" s="1"/>
  <c r="L59" i="29"/>
  <c r="I59" i="29"/>
  <c r="J123" i="28" s="1"/>
  <c r="G59" i="29"/>
  <c r="D123" i="28" s="1"/>
  <c r="B128" i="28" s="1"/>
  <c r="E59" i="29"/>
  <c r="B123" i="28" s="1"/>
  <c r="K59" i="29"/>
  <c r="B81" i="29"/>
  <c r="M55" i="29"/>
  <c r="L73" i="29" s="1"/>
  <c r="J55" i="29"/>
  <c r="K27" i="28" s="1"/>
  <c r="I32" i="28" s="1"/>
  <c r="H55" i="29"/>
  <c r="I27" i="28" s="1"/>
  <c r="F55" i="29"/>
  <c r="C27" i="28" s="1"/>
  <c r="N55" i="29"/>
  <c r="L55" i="29"/>
  <c r="I55" i="29"/>
  <c r="J27" i="28" s="1"/>
  <c r="G55" i="29"/>
  <c r="D27" i="28" s="1"/>
  <c r="B32" i="28" s="1"/>
  <c r="E55" i="29"/>
  <c r="B27" i="28" s="1"/>
  <c r="K55" i="29"/>
  <c r="B73" i="29"/>
  <c r="D89" i="29"/>
  <c r="B90" i="29"/>
  <c r="D90" i="29" s="1"/>
  <c r="K223" i="28"/>
  <c r="I229" i="28"/>
  <c r="K234" i="28" s="1"/>
  <c r="I223" i="28"/>
  <c r="K231" i="28"/>
  <c r="M61" i="29"/>
  <c r="J61" i="29"/>
  <c r="K171" i="28" s="1"/>
  <c r="I176" i="28" s="1"/>
  <c r="H61" i="29"/>
  <c r="I171" i="28" s="1"/>
  <c r="F61" i="29"/>
  <c r="C171" i="28" s="1"/>
  <c r="B85" i="29"/>
  <c r="N61" i="29"/>
  <c r="B10" i="27" s="1"/>
  <c r="D10" i="27" s="1"/>
  <c r="E10" i="27" s="1"/>
  <c r="F10" i="27" s="1"/>
  <c r="L61" i="29"/>
  <c r="I61" i="29"/>
  <c r="J171" i="28" s="1"/>
  <c r="G61" i="29"/>
  <c r="D171" i="28" s="1"/>
  <c r="B176" i="28" s="1"/>
  <c r="E61" i="29"/>
  <c r="B171" i="28" s="1"/>
  <c r="K61" i="29"/>
  <c r="M57" i="29"/>
  <c r="J57" i="29"/>
  <c r="K75" i="28" s="1"/>
  <c r="I80" i="28" s="1"/>
  <c r="H57" i="29"/>
  <c r="I75" i="28" s="1"/>
  <c r="F57" i="29"/>
  <c r="C75" i="28" s="1"/>
  <c r="N57" i="29"/>
  <c r="B6" i="27" s="1"/>
  <c r="D6" i="27" s="1"/>
  <c r="E6" i="27" s="1"/>
  <c r="F6" i="27" s="1"/>
  <c r="L57" i="29"/>
  <c r="I57" i="29"/>
  <c r="J75" i="28" s="1"/>
  <c r="G57" i="29"/>
  <c r="D75" i="28" s="1"/>
  <c r="B80" i="28" s="1"/>
  <c r="E57" i="29"/>
  <c r="B75" i="28" s="1"/>
  <c r="K57" i="29"/>
  <c r="B77" i="29"/>
  <c r="D223" i="28"/>
  <c r="D231" i="28"/>
  <c r="B223" i="28"/>
  <c r="B229" i="28"/>
  <c r="D234" i="28" s="1"/>
  <c r="M220" i="28"/>
  <c r="K226" i="28" s="1"/>
  <c r="L220" i="28"/>
  <c r="I224" i="28"/>
  <c r="I230" i="28"/>
  <c r="I232" i="28" s="1"/>
  <c r="I233" i="28" s="1"/>
  <c r="I235" i="28" s="1"/>
  <c r="E220" i="28"/>
  <c r="B230" i="28"/>
  <c r="B232" i="28" s="1"/>
  <c r="B233" i="28" s="1"/>
  <c r="B235" i="28" s="1"/>
  <c r="F220" i="28"/>
  <c r="D226" i="28" s="1"/>
  <c r="B224" i="28"/>
  <c r="P19" i="22" l="1"/>
  <c r="F147" i="28"/>
  <c r="D153" i="28" s="1"/>
  <c r="B151" i="28"/>
  <c r="B157" i="28"/>
  <c r="B159" i="28" s="1"/>
  <c r="B160" i="28" s="1"/>
  <c r="E147" i="28"/>
  <c r="D150" i="28"/>
  <c r="B156" i="28"/>
  <c r="D161" i="28" s="1"/>
  <c r="B150" i="28"/>
  <c r="D158" i="28"/>
  <c r="I13" i="28"/>
  <c r="I15" i="28" s="1"/>
  <c r="I16" i="28" s="1"/>
  <c r="I18" i="28" s="1"/>
  <c r="I7" i="28"/>
  <c r="M3" i="28"/>
  <c r="K9" i="28" s="1"/>
  <c r="M99" i="28"/>
  <c r="K105" i="28" s="1"/>
  <c r="I109" i="28"/>
  <c r="I111" i="28" s="1"/>
  <c r="I112" i="28" s="1"/>
  <c r="I114" i="28" s="1"/>
  <c r="L99" i="28"/>
  <c r="I103" i="28"/>
  <c r="I113" i="28"/>
  <c r="K150" i="28"/>
  <c r="I156" i="28"/>
  <c r="K161" i="28" s="1"/>
  <c r="K158" i="28"/>
  <c r="I150" i="28"/>
  <c r="K54" i="28"/>
  <c r="I60" i="28"/>
  <c r="K65" i="28" s="1"/>
  <c r="K62" i="28"/>
  <c r="I54" i="28"/>
  <c r="B55" i="28"/>
  <c r="B61" i="28"/>
  <c r="B63" i="28" s="1"/>
  <c r="B64" i="28" s="1"/>
  <c r="F51" i="28"/>
  <c r="D57" i="28" s="1"/>
  <c r="E196" i="28"/>
  <c r="B201" i="28"/>
  <c r="I199" i="28"/>
  <c r="I205" i="28"/>
  <c r="K210" i="28" s="1"/>
  <c r="K199" i="28"/>
  <c r="K207" i="28"/>
  <c r="E51" i="28"/>
  <c r="B56" i="28"/>
  <c r="D199" i="28"/>
  <c r="B199" i="28"/>
  <c r="B205" i="28"/>
  <c r="D210" i="28" s="1"/>
  <c r="D207" i="28"/>
  <c r="B4" i="27"/>
  <c r="D4" i="27" s="1"/>
  <c r="E4" i="27" s="1"/>
  <c r="F4" i="27" s="1"/>
  <c r="N74" i="29" s="1"/>
  <c r="L74" i="29"/>
  <c r="D71" i="29"/>
  <c r="E71" i="29" s="1"/>
  <c r="B72" i="29"/>
  <c r="D72" i="29" s="1"/>
  <c r="E72" i="29" s="1"/>
  <c r="L3" i="28"/>
  <c r="I8" i="28"/>
  <c r="D79" i="29"/>
  <c r="B80" i="29"/>
  <c r="D80" i="29" s="1"/>
  <c r="K102" i="28"/>
  <c r="I108" i="28"/>
  <c r="K113" i="28" s="1"/>
  <c r="I102" i="28"/>
  <c r="K110" i="28"/>
  <c r="D83" i="29"/>
  <c r="B84" i="29"/>
  <c r="D84" i="29" s="1"/>
  <c r="M147" i="28"/>
  <c r="K153" i="28" s="1"/>
  <c r="L147" i="28"/>
  <c r="I151" i="28"/>
  <c r="I157" i="28"/>
  <c r="I159" i="28" s="1"/>
  <c r="I160" i="28" s="1"/>
  <c r="I162" i="28" s="1"/>
  <c r="D75" i="29"/>
  <c r="E75" i="29" s="1"/>
  <c r="B76" i="29"/>
  <c r="D76" i="29" s="1"/>
  <c r="E76" i="29" s="1"/>
  <c r="B60" i="28"/>
  <c r="D65" i="28" s="1"/>
  <c r="D54" i="28"/>
  <c r="B54" i="28"/>
  <c r="D62" i="28"/>
  <c r="I200" i="28"/>
  <c r="I206" i="28"/>
  <c r="I208" i="28" s="1"/>
  <c r="I209" i="28" s="1"/>
  <c r="I211" i="28" s="1"/>
  <c r="M196" i="28"/>
  <c r="K202" i="28" s="1"/>
  <c r="B200" i="28"/>
  <c r="F196" i="28"/>
  <c r="D202" i="28" s="1"/>
  <c r="B206" i="28"/>
  <c r="B208" i="28" s="1"/>
  <c r="B209" i="28" s="1"/>
  <c r="B3" i="27"/>
  <c r="D3" i="27" s="1"/>
  <c r="E3" i="27" s="1"/>
  <c r="F3" i="27" s="1"/>
  <c r="N72" i="29" s="1"/>
  <c r="L72" i="29"/>
  <c r="L51" i="28"/>
  <c r="I56" i="28"/>
  <c r="B6" i="28"/>
  <c r="D6" i="28"/>
  <c r="D14" i="28"/>
  <c r="B12" i="28"/>
  <c r="D17" i="28" s="1"/>
  <c r="F3" i="28"/>
  <c r="D9" i="28" s="1"/>
  <c r="B13" i="28"/>
  <c r="B15" i="28" s="1"/>
  <c r="B16" i="28" s="1"/>
  <c r="B18" i="28" s="1"/>
  <c r="E3" i="28"/>
  <c r="B7" i="28"/>
  <c r="B17" i="28"/>
  <c r="K6" i="28"/>
  <c r="K14" i="28"/>
  <c r="I6" i="28"/>
  <c r="I12" i="28"/>
  <c r="K17" i="28" s="1"/>
  <c r="B102" i="28"/>
  <c r="D102" i="28"/>
  <c r="D110" i="28"/>
  <c r="B108" i="28"/>
  <c r="D113" i="28" s="1"/>
  <c r="B109" i="28"/>
  <c r="B111" i="28" s="1"/>
  <c r="B112" i="28" s="1"/>
  <c r="F99" i="28"/>
  <c r="D105" i="28" s="1"/>
  <c r="E99" i="28"/>
  <c r="B103" i="28"/>
  <c r="I61" i="28"/>
  <c r="I63" i="28" s="1"/>
  <c r="I64" i="28" s="1"/>
  <c r="I66" i="28" s="1"/>
  <c r="M51" i="28"/>
  <c r="K57" i="28" s="1"/>
  <c r="I55" i="28"/>
  <c r="L76" i="29"/>
  <c r="B5" i="27"/>
  <c r="D5" i="27" s="1"/>
  <c r="E5" i="27" s="1"/>
  <c r="F5" i="27" s="1"/>
  <c r="N76" i="29" s="1"/>
  <c r="D87" i="29"/>
  <c r="B88" i="29"/>
  <c r="D88" i="29" s="1"/>
  <c r="L196" i="28"/>
  <c r="I201" i="28"/>
  <c r="B234" i="28"/>
  <c r="B236" i="28" s="1"/>
  <c r="B239" i="28"/>
  <c r="D224" i="28"/>
  <c r="D227" i="28"/>
  <c r="B226" i="28"/>
  <c r="I240" i="28"/>
  <c r="I237" i="28"/>
  <c r="K224" i="28"/>
  <c r="K227" i="28"/>
  <c r="I226" i="28"/>
  <c r="I227" i="28" s="1"/>
  <c r="D77" i="29"/>
  <c r="B78" i="29"/>
  <c r="D78" i="29" s="1"/>
  <c r="B78" i="28"/>
  <c r="B84" i="28"/>
  <c r="D89" i="28" s="1"/>
  <c r="D78" i="28"/>
  <c r="D86" i="28"/>
  <c r="L75" i="28"/>
  <c r="I79" i="28"/>
  <c r="I85" i="28"/>
  <c r="I87" i="28" s="1"/>
  <c r="I88" i="28" s="1"/>
  <c r="I90" i="28" s="1"/>
  <c r="M75" i="28"/>
  <c r="K81" i="28" s="1"/>
  <c r="I78" i="28"/>
  <c r="K86" i="28"/>
  <c r="K78" i="28"/>
  <c r="I84" i="28"/>
  <c r="K89" i="28" s="1"/>
  <c r="D174" i="28"/>
  <c r="D182" i="28"/>
  <c r="B174" i="28"/>
  <c r="B180" i="28"/>
  <c r="D185" i="28" s="1"/>
  <c r="M171" i="28"/>
  <c r="K177" i="28" s="1"/>
  <c r="L171" i="28"/>
  <c r="I175" i="28"/>
  <c r="I181" i="28"/>
  <c r="I183" i="28" s="1"/>
  <c r="I184" i="28" s="1"/>
  <c r="I186" i="28" s="1"/>
  <c r="E171" i="28"/>
  <c r="B181" i="28"/>
  <c r="B183" i="28" s="1"/>
  <c r="B184" i="28" s="1"/>
  <c r="B186" i="28" s="1"/>
  <c r="F171" i="28"/>
  <c r="D177" i="28" s="1"/>
  <c r="B175" i="28"/>
  <c r="E89" i="29"/>
  <c r="M89" i="29"/>
  <c r="F27" i="28"/>
  <c r="D33" i="28" s="1"/>
  <c r="B31" i="28"/>
  <c r="E27" i="28"/>
  <c r="B37" i="28"/>
  <c r="B39" i="28" s="1"/>
  <c r="B40" i="28" s="1"/>
  <c r="B42" i="28" s="1"/>
  <c r="D81" i="29"/>
  <c r="B82" i="29"/>
  <c r="D82" i="29" s="1"/>
  <c r="B126" i="28"/>
  <c r="D126" i="28"/>
  <c r="D134" i="28"/>
  <c r="B132" i="28"/>
  <c r="D137" i="28" s="1"/>
  <c r="L123" i="28"/>
  <c r="I127" i="28"/>
  <c r="M123" i="28"/>
  <c r="K129" i="28" s="1"/>
  <c r="I133" i="28"/>
  <c r="I135" i="28" s="1"/>
  <c r="I136" i="28" s="1"/>
  <c r="I138" i="28" s="1"/>
  <c r="I126" i="28"/>
  <c r="K126" i="28"/>
  <c r="I132" i="28"/>
  <c r="K137" i="28" s="1"/>
  <c r="K134" i="28"/>
  <c r="B227" i="28"/>
  <c r="B237" i="28"/>
  <c r="B240" i="28"/>
  <c r="F75" i="28"/>
  <c r="D81" i="28" s="1"/>
  <c r="B79" i="28"/>
  <c r="E75" i="28"/>
  <c r="B85" i="28"/>
  <c r="B87" i="28" s="1"/>
  <c r="B88" i="28" s="1"/>
  <c r="B90" i="28" s="1"/>
  <c r="D85" i="29"/>
  <c r="B86" i="29"/>
  <c r="D86" i="29" s="1"/>
  <c r="K174" i="28"/>
  <c r="I180" i="28"/>
  <c r="K185" i="28" s="1"/>
  <c r="I174" i="28"/>
  <c r="K182" i="28"/>
  <c r="M90" i="29"/>
  <c r="E90" i="29"/>
  <c r="D73" i="29"/>
  <c r="B74" i="29"/>
  <c r="D74" i="29" s="1"/>
  <c r="B30" i="28"/>
  <c r="B36" i="28"/>
  <c r="D41" i="28" s="1"/>
  <c r="D30" i="28"/>
  <c r="D38" i="28"/>
  <c r="L27" i="28"/>
  <c r="I31" i="28"/>
  <c r="I37" i="28"/>
  <c r="I39" i="28" s="1"/>
  <c r="I40" i="28" s="1"/>
  <c r="I42" i="28" s="1"/>
  <c r="M27" i="28"/>
  <c r="K33" i="28" s="1"/>
  <c r="I30" i="28"/>
  <c r="K38" i="28"/>
  <c r="K30" i="28"/>
  <c r="I36" i="28"/>
  <c r="K41" i="28" s="1"/>
  <c r="F123" i="28"/>
  <c r="D129" i="28" s="1"/>
  <c r="B127" i="28"/>
  <c r="E123" i="28"/>
  <c r="B133" i="28"/>
  <c r="B135" i="28" s="1"/>
  <c r="B136" i="28" s="1"/>
  <c r="B138" i="28" s="1"/>
  <c r="I234" i="28"/>
  <c r="F13" i="27"/>
  <c r="I65" i="28" l="1"/>
  <c r="D232" i="28"/>
  <c r="I17" i="28"/>
  <c r="K225" i="28"/>
  <c r="E87" i="29"/>
  <c r="M87" i="29"/>
  <c r="I70" i="28"/>
  <c r="I67" i="28"/>
  <c r="I216" i="28"/>
  <c r="I213" i="28"/>
  <c r="K151" i="28"/>
  <c r="K154" i="28"/>
  <c r="K152" i="28" s="1"/>
  <c r="M153" i="28" s="1"/>
  <c r="I153" i="28"/>
  <c r="I154" i="28" s="1"/>
  <c r="I19" i="28"/>
  <c r="I22" i="28"/>
  <c r="D154" i="28"/>
  <c r="B153" i="28"/>
  <c r="B154" i="28" s="1"/>
  <c r="D151" i="28"/>
  <c r="D152" i="28" s="1"/>
  <c r="D230" i="28"/>
  <c r="D233" i="28" s="1"/>
  <c r="D10" i="28"/>
  <c r="D8" i="28" s="1"/>
  <c r="D7" i="28"/>
  <c r="B9" i="28"/>
  <c r="B10" i="28" s="1"/>
  <c r="I57" i="28"/>
  <c r="I58" i="28" s="1"/>
  <c r="K58" i="28"/>
  <c r="K55" i="28"/>
  <c r="I210" i="28"/>
  <c r="I167" i="28"/>
  <c r="I164" i="28"/>
  <c r="E79" i="29"/>
  <c r="M79" i="29"/>
  <c r="B57" i="28"/>
  <c r="D55" i="28"/>
  <c r="D58" i="28"/>
  <c r="B65" i="28"/>
  <c r="B66" i="28"/>
  <c r="K103" i="28"/>
  <c r="K106" i="28"/>
  <c r="I105" i="28"/>
  <c r="I106" i="28" s="1"/>
  <c r="B161" i="28"/>
  <c r="B162" i="28"/>
  <c r="D106" i="28"/>
  <c r="B105" i="28"/>
  <c r="B106" i="28" s="1"/>
  <c r="D103" i="28"/>
  <c r="B210" i="28"/>
  <c r="B211" i="28"/>
  <c r="E80" i="29"/>
  <c r="M80" i="29"/>
  <c r="K200" i="28"/>
  <c r="I202" i="28"/>
  <c r="I203" i="28" s="1"/>
  <c r="K203" i="28"/>
  <c r="K201" i="28" s="1"/>
  <c r="M202" i="28" s="1"/>
  <c r="I71" i="28"/>
  <c r="K61" i="28" s="1"/>
  <c r="I68" i="28"/>
  <c r="B113" i="28"/>
  <c r="B114" i="28"/>
  <c r="B23" i="28"/>
  <c r="B20" i="28"/>
  <c r="I161" i="28"/>
  <c r="M84" i="29"/>
  <c r="E84" i="29"/>
  <c r="B58" i="28"/>
  <c r="I119" i="28"/>
  <c r="I116" i="28"/>
  <c r="M226" i="28"/>
  <c r="M88" i="29"/>
  <c r="E88" i="29"/>
  <c r="B22" i="28"/>
  <c r="B24" i="28" s="1"/>
  <c r="D12" i="28" s="1"/>
  <c r="B19" i="28"/>
  <c r="E83" i="29"/>
  <c r="M83" i="29"/>
  <c r="K7" i="28"/>
  <c r="K8" i="28" s="1"/>
  <c r="M9" i="28" s="1"/>
  <c r="J72" i="29" s="1"/>
  <c r="I9" i="28"/>
  <c r="I10" i="28" s="1"/>
  <c r="K10" i="28"/>
  <c r="B202" i="28"/>
  <c r="B203" i="28" s="1"/>
  <c r="D200" i="28"/>
  <c r="D201" i="28" s="1"/>
  <c r="D203" i="28"/>
  <c r="I118" i="28"/>
  <c r="I120" i="28" s="1"/>
  <c r="I115" i="28"/>
  <c r="I20" i="28"/>
  <c r="I23" i="28"/>
  <c r="B41" i="28"/>
  <c r="B43" i="28" s="1"/>
  <c r="B185" i="28"/>
  <c r="I239" i="28"/>
  <c r="I241" i="28" s="1"/>
  <c r="I236" i="28"/>
  <c r="K232" i="28" s="1"/>
  <c r="D127" i="28"/>
  <c r="D128" i="28" s="1"/>
  <c r="D130" i="28"/>
  <c r="B129" i="28"/>
  <c r="B130" i="28" s="1"/>
  <c r="F129" i="28" s="1"/>
  <c r="E74" i="29"/>
  <c r="M86" i="29"/>
  <c r="E86" i="29"/>
  <c r="B81" i="28"/>
  <c r="D79" i="28"/>
  <c r="D82" i="28"/>
  <c r="K127" i="28"/>
  <c r="K130" i="28"/>
  <c r="I129" i="28"/>
  <c r="I130" i="28" s="1"/>
  <c r="E81" i="29"/>
  <c r="M81" i="29"/>
  <c r="B47" i="28"/>
  <c r="B44" i="28"/>
  <c r="B188" i="28"/>
  <c r="B191" i="28"/>
  <c r="M78" i="29"/>
  <c r="E78" i="29"/>
  <c r="B238" i="28"/>
  <c r="B137" i="28"/>
  <c r="I41" i="28"/>
  <c r="B89" i="28"/>
  <c r="I137" i="28"/>
  <c r="I185" i="28"/>
  <c r="I89" i="28"/>
  <c r="B140" i="28"/>
  <c r="B143" i="28"/>
  <c r="I44" i="28"/>
  <c r="I47" i="28"/>
  <c r="K31" i="28"/>
  <c r="K34" i="28"/>
  <c r="I33" i="28"/>
  <c r="E73" i="29"/>
  <c r="E85" i="29"/>
  <c r="M85" i="29"/>
  <c r="B95" i="28"/>
  <c r="B92" i="28"/>
  <c r="I143" i="28"/>
  <c r="I140" i="28"/>
  <c r="M82" i="29"/>
  <c r="E82" i="29"/>
  <c r="B33" i="28"/>
  <c r="B34" i="28" s="1"/>
  <c r="D31" i="28"/>
  <c r="D34" i="28"/>
  <c r="B190" i="28"/>
  <c r="B192" i="28" s="1"/>
  <c r="B187" i="28"/>
  <c r="D175" i="28"/>
  <c r="D178" i="28"/>
  <c r="B177" i="28"/>
  <c r="B178" i="28" s="1"/>
  <c r="I191" i="28"/>
  <c r="I188" i="28"/>
  <c r="K175" i="28"/>
  <c r="K178" i="28"/>
  <c r="I177" i="28"/>
  <c r="I178" i="28" s="1"/>
  <c r="I92" i="28"/>
  <c r="I95" i="28"/>
  <c r="K79" i="28"/>
  <c r="K82" i="28"/>
  <c r="I81" i="28"/>
  <c r="E77" i="29"/>
  <c r="M77" i="29"/>
  <c r="B82" i="28"/>
  <c r="D225" i="28"/>
  <c r="F226" i="28" s="1"/>
  <c r="B241" i="28"/>
  <c r="K176" i="28" l="1"/>
  <c r="F153" i="28"/>
  <c r="B46" i="28"/>
  <c r="B48" i="28" s="1"/>
  <c r="I117" i="28"/>
  <c r="D104" i="28"/>
  <c r="I24" i="28"/>
  <c r="D15" i="28"/>
  <c r="I69" i="28"/>
  <c r="K69" i="28" s="1"/>
  <c r="D39" i="27"/>
  <c r="F39" i="27" s="1"/>
  <c r="M72" i="29" s="1"/>
  <c r="E39" i="27"/>
  <c r="F9" i="28"/>
  <c r="J71" i="29" s="1"/>
  <c r="K116" i="28"/>
  <c r="K108" i="28"/>
  <c r="K109" i="28"/>
  <c r="K112" i="28" s="1"/>
  <c r="I166" i="28"/>
  <c r="I168" i="28" s="1"/>
  <c r="I163" i="28"/>
  <c r="B119" i="28"/>
  <c r="B116" i="28"/>
  <c r="K157" i="28"/>
  <c r="K66" i="28"/>
  <c r="D20" i="28"/>
  <c r="K13" i="28"/>
  <c r="K16" i="28" s="1"/>
  <c r="B118" i="28"/>
  <c r="B115" i="28"/>
  <c r="B216" i="28"/>
  <c r="B213" i="28"/>
  <c r="B163" i="28"/>
  <c r="B166" i="28"/>
  <c r="K104" i="28"/>
  <c r="M105" i="28" s="1"/>
  <c r="I212" i="28"/>
  <c r="I215" i="28"/>
  <c r="I217" i="28" s="1"/>
  <c r="I21" i="28"/>
  <c r="I72" i="28"/>
  <c r="K230" i="28"/>
  <c r="K233" i="28" s="1"/>
  <c r="K128" i="28"/>
  <c r="M129" i="28" s="1"/>
  <c r="D80" i="28"/>
  <c r="F81" i="28" s="1"/>
  <c r="K15" i="28"/>
  <c r="D13" i="28"/>
  <c r="D16" i="28" s="1"/>
  <c r="K63" i="28"/>
  <c r="B212" i="28"/>
  <c r="B215" i="28"/>
  <c r="B71" i="28"/>
  <c r="B68" i="28"/>
  <c r="D56" i="28"/>
  <c r="F57" i="28" s="1"/>
  <c r="J75" i="29" s="1"/>
  <c r="K56" i="28"/>
  <c r="M57" i="28" s="1"/>
  <c r="J76" i="29" s="1"/>
  <c r="K208" i="28"/>
  <c r="B164" i="28"/>
  <c r="B167" i="28"/>
  <c r="F202" i="28"/>
  <c r="B21" i="28"/>
  <c r="K111" i="28"/>
  <c r="F105" i="28"/>
  <c r="K64" i="28"/>
  <c r="B70" i="28"/>
  <c r="B67" i="28"/>
  <c r="K159" i="28"/>
  <c r="K206" i="28"/>
  <c r="D237" i="28"/>
  <c r="D229" i="28"/>
  <c r="D188" i="28"/>
  <c r="D180" i="28"/>
  <c r="B45" i="28"/>
  <c r="B94" i="28"/>
  <c r="B96" i="28" s="1"/>
  <c r="B91" i="28"/>
  <c r="D87" i="28" s="1"/>
  <c r="I46" i="28"/>
  <c r="I48" i="28" s="1"/>
  <c r="I43" i="28"/>
  <c r="B142" i="28"/>
  <c r="B144" i="28" s="1"/>
  <c r="B139" i="28"/>
  <c r="D135" i="28" s="1"/>
  <c r="K229" i="28"/>
  <c r="K237" i="28"/>
  <c r="M177" i="28"/>
  <c r="K80" i="28"/>
  <c r="D176" i="28"/>
  <c r="F177" i="28" s="1"/>
  <c r="D32" i="28"/>
  <c r="F33" i="28" s="1"/>
  <c r="J73" i="29" s="1"/>
  <c r="D85" i="28"/>
  <c r="K32" i="28"/>
  <c r="K39" i="28"/>
  <c r="I82" i="28"/>
  <c r="D183" i="28"/>
  <c r="D37" i="28"/>
  <c r="D40" i="28" s="1"/>
  <c r="B189" i="28"/>
  <c r="D36" i="28"/>
  <c r="D44" i="28"/>
  <c r="I94" i="28"/>
  <c r="I96" i="28" s="1"/>
  <c r="I91" i="28"/>
  <c r="I190" i="28"/>
  <c r="I192" i="28" s="1"/>
  <c r="I187" i="28"/>
  <c r="I142" i="28"/>
  <c r="I144" i="28" s="1"/>
  <c r="I139" i="28"/>
  <c r="D235" i="28"/>
  <c r="D236" i="28"/>
  <c r="D238" i="28"/>
  <c r="I238" i="28"/>
  <c r="K181" i="28"/>
  <c r="D133" i="28"/>
  <c r="I34" i="28"/>
  <c r="D181" i="28"/>
  <c r="D184" i="28" s="1"/>
  <c r="D39" i="28"/>
  <c r="B168" i="28" l="1"/>
  <c r="D63" i="28"/>
  <c r="D111" i="28"/>
  <c r="K12" i="28"/>
  <c r="K20" i="28"/>
  <c r="M33" i="28"/>
  <c r="J74" i="29" s="1"/>
  <c r="M81" i="28"/>
  <c r="D206" i="28"/>
  <c r="D109" i="28"/>
  <c r="K115" i="28"/>
  <c r="K114" i="28"/>
  <c r="K117" i="28"/>
  <c r="K133" i="28"/>
  <c r="B72" i="28"/>
  <c r="D159" i="28"/>
  <c r="K118" i="28"/>
  <c r="D42" i="27"/>
  <c r="F42" i="27" s="1"/>
  <c r="E42" i="27"/>
  <c r="M75" i="29" s="1"/>
  <c r="D209" i="28"/>
  <c r="B214" i="28"/>
  <c r="K37" i="28"/>
  <c r="D18" i="28"/>
  <c r="D19" i="28"/>
  <c r="D21" i="28"/>
  <c r="D22" i="28" s="1"/>
  <c r="K18" i="28"/>
  <c r="K21" i="28"/>
  <c r="K22" i="28" s="1"/>
  <c r="D156" i="28"/>
  <c r="D164" i="28"/>
  <c r="E43" i="27"/>
  <c r="D43" i="27"/>
  <c r="F43" i="27" s="1"/>
  <c r="M76" i="29" s="1"/>
  <c r="D61" i="28"/>
  <c r="D64" i="28" s="1"/>
  <c r="K213" i="28"/>
  <c r="K205" i="28"/>
  <c r="B165" i="28"/>
  <c r="B120" i="28"/>
  <c r="I165" i="28"/>
  <c r="K160" i="28"/>
  <c r="D68" i="28"/>
  <c r="D60" i="28"/>
  <c r="E38" i="27"/>
  <c r="M71" i="29" s="1"/>
  <c r="D38" i="27"/>
  <c r="F38" i="27" s="1"/>
  <c r="B117" i="28"/>
  <c r="D112" i="28"/>
  <c r="K85" i="28"/>
  <c r="K88" i="28" s="1"/>
  <c r="B69" i="28"/>
  <c r="D157" i="28"/>
  <c r="D160" i="28" s="1"/>
  <c r="B217" i="28"/>
  <c r="K60" i="28"/>
  <c r="K67" i="28" s="1"/>
  <c r="K68" i="28"/>
  <c r="K70" i="28" s="1"/>
  <c r="K209" i="28"/>
  <c r="I214" i="28"/>
  <c r="D208" i="28"/>
  <c r="K164" i="28"/>
  <c r="K156" i="28"/>
  <c r="K19" i="28"/>
  <c r="D41" i="27"/>
  <c r="F41" i="27" s="1"/>
  <c r="M74" i="29" s="1"/>
  <c r="E41" i="27"/>
  <c r="D40" i="27"/>
  <c r="F40" i="27" s="1"/>
  <c r="F58" i="27" s="1"/>
  <c r="E40" i="27"/>
  <c r="K236" i="28"/>
  <c r="K238" i="28"/>
  <c r="K239" i="28" s="1"/>
  <c r="K235" i="28"/>
  <c r="I141" i="28"/>
  <c r="K136" i="28"/>
  <c r="I189" i="28"/>
  <c r="K184" i="28"/>
  <c r="I93" i="28"/>
  <c r="D140" i="28"/>
  <c r="D132" i="28"/>
  <c r="K44" i="28"/>
  <c r="K36" i="28"/>
  <c r="D84" i="28"/>
  <c r="D92" i="28"/>
  <c r="D43" i="28"/>
  <c r="D45" i="28"/>
  <c r="D46" i="28" s="1"/>
  <c r="D42" i="28"/>
  <c r="K135" i="28"/>
  <c r="K87" i="28"/>
  <c r="D239" i="28"/>
  <c r="K132" i="28"/>
  <c r="K140" i="28"/>
  <c r="K180" i="28"/>
  <c r="K188" i="28"/>
  <c r="K92" i="28"/>
  <c r="K84" i="28"/>
  <c r="D186" i="28"/>
  <c r="D187" i="28"/>
  <c r="D189" i="28"/>
  <c r="D190" i="28" s="1"/>
  <c r="D136" i="28"/>
  <c r="B141" i="28"/>
  <c r="K40" i="28"/>
  <c r="I45" i="28"/>
  <c r="B93" i="28"/>
  <c r="D88" i="28"/>
  <c r="F229" i="28"/>
  <c r="K183" i="28"/>
  <c r="F12" i="28" l="1"/>
  <c r="M108" i="28"/>
  <c r="M60" i="28"/>
  <c r="D116" i="28"/>
  <c r="D108" i="28"/>
  <c r="D115" i="28" s="1"/>
  <c r="F36" i="28"/>
  <c r="D67" i="28"/>
  <c r="D66" i="28"/>
  <c r="D69" i="28"/>
  <c r="D70" i="28" s="1"/>
  <c r="D117" i="28"/>
  <c r="D114" i="28"/>
  <c r="D162" i="28"/>
  <c r="D165" i="28"/>
  <c r="D166" i="28" s="1"/>
  <c r="D163" i="28"/>
  <c r="D214" i="28"/>
  <c r="D215" i="28" s="1"/>
  <c r="D211" i="28"/>
  <c r="K214" i="28"/>
  <c r="K215" i="28" s="1"/>
  <c r="K211" i="28"/>
  <c r="D205" i="28"/>
  <c r="D212" i="28" s="1"/>
  <c r="D213" i="28"/>
  <c r="K163" i="28"/>
  <c r="K165" i="28"/>
  <c r="K166" i="28" s="1"/>
  <c r="K162" i="28"/>
  <c r="K212" i="28"/>
  <c r="M12" i="28"/>
  <c r="E58" i="27"/>
  <c r="C111" i="29" s="1"/>
  <c r="M73" i="29"/>
  <c r="F180" i="28"/>
  <c r="D91" i="28"/>
  <c r="D93" i="28"/>
  <c r="D94" i="28" s="1"/>
  <c r="D90" i="28"/>
  <c r="K90" i="28"/>
  <c r="K91" i="28"/>
  <c r="K93" i="28"/>
  <c r="K94" i="28" s="1"/>
  <c r="M229" i="28"/>
  <c r="K42" i="28"/>
  <c r="K43" i="28"/>
  <c r="K45" i="28"/>
  <c r="K46" i="28" s="1"/>
  <c r="D138" i="28"/>
  <c r="D139" i="28"/>
  <c r="D141" i="28"/>
  <c r="D142" i="28" s="1"/>
  <c r="K187" i="28"/>
  <c r="K189" i="28"/>
  <c r="K190" i="28" s="1"/>
  <c r="K186" i="28"/>
  <c r="K139" i="28"/>
  <c r="K141" i="28"/>
  <c r="K142" i="28" s="1"/>
  <c r="K138" i="28"/>
  <c r="M84" i="28" l="1"/>
  <c r="M180" i="28"/>
  <c r="D118" i="28"/>
  <c r="F108" i="28" s="1"/>
  <c r="F60" i="28"/>
  <c r="M156" i="28"/>
  <c r="F156" i="28"/>
  <c r="F205" i="28"/>
  <c r="M205" i="28"/>
  <c r="G111" i="29"/>
  <c r="E111" i="29"/>
  <c r="M132" i="28"/>
  <c r="F132" i="28"/>
  <c r="F84" i="28"/>
  <c r="M36" i="28"/>
  <c r="A37" i="27" l="1"/>
  <c r="L111" i="29" s="1"/>
</calcChain>
</file>

<file path=xl/comments1.xml><?xml version="1.0" encoding="utf-8"?>
<comments xmlns="http://schemas.openxmlformats.org/spreadsheetml/2006/main">
  <authors>
    <author>cleaver.k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cleaver.k:</t>
        </r>
        <r>
          <rPr>
            <sz val="9"/>
            <color indexed="81"/>
            <rFont val="Tahoma"/>
            <family val="2"/>
          </rPr>
          <t xml:space="preserve">
included visibility in finished product</t>
        </r>
      </text>
    </comment>
  </commentList>
</comments>
</file>

<file path=xl/sharedStrings.xml><?xml version="1.0" encoding="utf-8"?>
<sst xmlns="http://schemas.openxmlformats.org/spreadsheetml/2006/main" count="2364" uniqueCount="640">
  <si>
    <t>Streaks</t>
  </si>
  <si>
    <t>Select</t>
  </si>
  <si>
    <t>Substrate</t>
  </si>
  <si>
    <t>Chatter/Gearing/Barring</t>
  </si>
  <si>
    <t>Dot Bridging</t>
  </si>
  <si>
    <t>Plate Bounce</t>
  </si>
  <si>
    <t>Plate Wear</t>
  </si>
  <si>
    <t>Print Clarity</t>
  </si>
  <si>
    <t>Registration/ Misregistration</t>
  </si>
  <si>
    <t>Scumming/Tinting</t>
  </si>
  <si>
    <t>Skip Out</t>
  </si>
  <si>
    <t>Slur</t>
  </si>
  <si>
    <t>Tracking</t>
  </si>
  <si>
    <t>Dirty Print</t>
  </si>
  <si>
    <t>Striations</t>
  </si>
  <si>
    <t>Strike-through</t>
  </si>
  <si>
    <t>Ink drying slow</t>
  </si>
  <si>
    <t>Ink Piling</t>
  </si>
  <si>
    <t>Color Variation</t>
  </si>
  <si>
    <t>Density</t>
  </si>
  <si>
    <t>Dot Gain</t>
  </si>
  <si>
    <t>Overall Visual</t>
  </si>
  <si>
    <t>Color Balance</t>
  </si>
  <si>
    <t>Snowflaking</t>
  </si>
  <si>
    <t>Bleed</t>
  </si>
  <si>
    <t>Filling In</t>
  </si>
  <si>
    <t>Ghosting</t>
  </si>
  <si>
    <t>Halo</t>
  </si>
  <si>
    <t>Hickeys/Spots</t>
  </si>
  <si>
    <t>Misting</t>
  </si>
  <si>
    <t>Defective Print Tool</t>
  </si>
  <si>
    <t>Ink Trapping</t>
  </si>
  <si>
    <t>Picking (Linting)</t>
  </si>
  <si>
    <t>Poor Ink Transfer</t>
  </si>
  <si>
    <t>Screening</t>
  </si>
  <si>
    <t>Slinging</t>
  </si>
  <si>
    <t>Smearing</t>
  </si>
  <si>
    <t>Anilox Lines</t>
  </si>
  <si>
    <t>Cell Plugging/ Drying-In</t>
  </si>
  <si>
    <t>Ink drying fast</t>
  </si>
  <si>
    <t>Moiré/Angle Conflict</t>
  </si>
  <si>
    <t>Ink Build Up, Feathering/Whiskering</t>
  </si>
  <si>
    <t>Wrinkling</t>
  </si>
  <si>
    <t>Creasing</t>
  </si>
  <si>
    <t>Defect in substrate</t>
  </si>
  <si>
    <t>Name</t>
  </si>
  <si>
    <t>Karen Cleaver
Baby Care GMDSO
6280 Center Hill Ave, Cincinnati, OH 45224
+1-513-945-4611</t>
  </si>
  <si>
    <t>P&amp;G Contact Information:</t>
  </si>
  <si>
    <t>Calculated Score</t>
  </si>
  <si>
    <t>Less Deductions</t>
  </si>
  <si>
    <t>Starting Value</t>
  </si>
  <si>
    <t>Automatic (Protected, don't touch)</t>
  </si>
  <si>
    <t>Score</t>
  </si>
  <si>
    <t>Optional</t>
  </si>
  <si>
    <t>Required</t>
  </si>
  <si>
    <t>Total</t>
  </si>
  <si>
    <t>Deduction Total</t>
  </si>
  <si>
    <t>Comments
(Location, Color, ect.)</t>
  </si>
  <si>
    <t>Total Deduction</t>
  </si>
  <si>
    <t>Multiplier</t>
  </si>
  <si>
    <t>Base Deduction</t>
  </si>
  <si>
    <t>Check Point (match with EPQ defect info)</t>
  </si>
  <si>
    <t>Defect Type (optional)</t>
  </si>
  <si>
    <t>Visible in Finshed Product?</t>
  </si>
  <si>
    <t>Defect Location</t>
  </si>
  <si>
    <t>Defect Severity</t>
  </si>
  <si>
    <t>Defect Category</t>
  </si>
  <si>
    <t>Defect ID</t>
  </si>
  <si>
    <t>Substrate Defect</t>
  </si>
  <si>
    <t>Other</t>
  </si>
  <si>
    <t>Poor Rub /Scuff Resistance</t>
  </si>
  <si>
    <t>Weak Print</t>
  </si>
  <si>
    <t>Art Work/Digital File</t>
  </si>
  <si>
    <t>Wrong Ink used</t>
  </si>
  <si>
    <t>Color Match</t>
  </si>
  <si>
    <t>Ink Transfer / Press Setup</t>
  </si>
  <si>
    <t>Over Impression</t>
  </si>
  <si>
    <t>Offset (Set-Off)</t>
  </si>
  <si>
    <t>Mottled Print (pudding/volcanoes)</t>
  </si>
  <si>
    <t>Ink Quality</t>
  </si>
  <si>
    <t>Instant Fail</t>
  </si>
  <si>
    <t>Registration Mark</t>
  </si>
  <si>
    <t>Pin Holing/Fisheyes</t>
  </si>
  <si>
    <t>Fail</t>
  </si>
  <si>
    <t>No</t>
  </si>
  <si>
    <t>Pass</t>
  </si>
  <si>
    <t>Yes</t>
  </si>
  <si>
    <t>Pass or Fail post-print performance check</t>
  </si>
  <si>
    <t>Visible in finished?</t>
  </si>
  <si>
    <t>Weight</t>
  </si>
  <si>
    <t>Zone</t>
  </si>
  <si>
    <t>Category</t>
  </si>
  <si>
    <t>Performance Check</t>
  </si>
  <si>
    <t>Defect Visibility</t>
  </si>
  <si>
    <t>Defect Locations</t>
  </si>
  <si>
    <t>Check Points</t>
  </si>
  <si>
    <t>Substrate_Defect_D</t>
  </si>
  <si>
    <t>diameter &gt; 10 mm OR red shade spot &gt; 3 mm</t>
  </si>
  <si>
    <t>3 mm &lt; diameter &lt; 10 mm</t>
  </si>
  <si>
    <t>diameter &lt; 3 mm</t>
  </si>
  <si>
    <t>Unwanted_Print_D</t>
  </si>
  <si>
    <t>Key Character</t>
  </si>
  <si>
    <t>Missing_Print_D</t>
  </si>
  <si>
    <t>area &gt; 25x25 mm</t>
  </si>
  <si>
    <t>10x10mm &lt; area &lt; 25x25 mm</t>
  </si>
  <si>
    <t>Print_Clarity_D</t>
  </si>
  <si>
    <t>Spot Color different from proof</t>
  </si>
  <si>
    <t>Built Color different from proof</t>
  </si>
  <si>
    <t>Print_Color_D</t>
  </si>
  <si>
    <t>Please Select a Defect Category</t>
  </si>
  <si>
    <t>Select_D</t>
  </si>
  <si>
    <t>H Weight</t>
  </si>
  <si>
    <t>M Weight</t>
  </si>
  <si>
    <t>L Weight</t>
  </si>
  <si>
    <t>High Limit Name</t>
  </si>
  <si>
    <t>Mid Limit Nme</t>
  </si>
  <si>
    <t>Low Limit Name</t>
  </si>
  <si>
    <t>Deductions</t>
  </si>
  <si>
    <t>Substrate_Defect</t>
  </si>
  <si>
    <t>Unwanted_Print</t>
  </si>
  <si>
    <t>Missing_Print</t>
  </si>
  <si>
    <t>Print_Clarity</t>
  </si>
  <si>
    <t>Print_Color</t>
  </si>
  <si>
    <t>Categories</t>
  </si>
  <si>
    <t>area &lt; 10x10 mm OR Misregistration</t>
  </si>
  <si>
    <t>v2</t>
  </si>
  <si>
    <t>Version</t>
  </si>
  <si>
    <t>Date</t>
  </si>
  <si>
    <t>Change &amp; Reason</t>
  </si>
  <si>
    <t>Live Zone</t>
  </si>
  <si>
    <t>Non-Live Zone</t>
  </si>
  <si>
    <t>Current</t>
  </si>
  <si>
    <t>New_4</t>
  </si>
  <si>
    <t>New vs. Current</t>
  </si>
  <si>
    <t>Zone 1 (50%)</t>
  </si>
  <si>
    <t>Zone 2 (30%)</t>
  </si>
  <si>
    <t>Zone 3 (20%)</t>
  </si>
  <si>
    <t>Cover Area</t>
  </si>
  <si>
    <t>1. Change from 3 zones to 2 zones in order to simplify the future work flow and better suite for automatic vision system approach.
2. Reduce Non-Live_Zone (Zone 3) Weighting from 1 to 0.7. Set Live_Zone Weighting at 2.33. (Rationale: typical ink % coverage of Zone1:Zone2:Zone3 is about 1:1.25:2.5.)
3. Increase the base deduct score from -0.49978 to -0.7179 of "Unwanted Print". In order to reduce the visual score to &lt;3.0 if 1 high Severity "Unwanted Print" occurs at Non-Life zone). It is to aligned with the  BFA 18-009 RPN guidelines.</t>
  </si>
  <si>
    <t>Zone 1</t>
  </si>
  <si>
    <t>Zone 2</t>
  </si>
  <si>
    <t>Zone 3</t>
  </si>
  <si>
    <t>v3</t>
  </si>
  <si>
    <t>EPQ Visual Check Score Card_v2</t>
  </si>
  <si>
    <t>RESTRICTED</t>
  </si>
  <si>
    <t>Version: 002</t>
  </si>
  <si>
    <t>GCAS:92096202</t>
  </si>
  <si>
    <t>DE50 Table</t>
  </si>
  <si>
    <t>DE100 Table</t>
  </si>
  <si>
    <t>Sample 10</t>
  </si>
  <si>
    <t>Sample 9</t>
  </si>
  <si>
    <t>Sample 8</t>
  </si>
  <si>
    <t>Sample 7</t>
  </si>
  <si>
    <t>Sample 6</t>
  </si>
  <si>
    <t>Sample 5</t>
  </si>
  <si>
    <t>Sample 4</t>
  </si>
  <si>
    <t>Sample 3</t>
  </si>
  <si>
    <t>Sample 2</t>
  </si>
  <si>
    <t>Sample 1</t>
  </si>
  <si>
    <t>DE50 score</t>
    <phoneticPr fontId="15" type="noConversion"/>
  </si>
  <si>
    <t>DE100 score</t>
    <phoneticPr fontId="15" type="noConversion"/>
  </si>
  <si>
    <t>∆E</t>
    <phoneticPr fontId="15" type="noConversion"/>
  </si>
  <si>
    <t>DE Values</t>
    <phoneticPr fontId="15" type="noConversion"/>
  </si>
  <si>
    <t>Full Score</t>
    <phoneticPr fontId="15" type="noConversion"/>
  </si>
  <si>
    <t>DA Table (Y)</t>
  </si>
  <si>
    <t>DA Table (all)</t>
  </si>
  <si>
    <t>Sample 10</t>
    <phoneticPr fontId="15" type="noConversion"/>
  </si>
  <si>
    <t>Sample 9</t>
    <phoneticPr fontId="15" type="noConversion"/>
  </si>
  <si>
    <t>Sample 8</t>
    <phoneticPr fontId="15" type="noConversion"/>
  </si>
  <si>
    <t>Sample 7</t>
    <phoneticPr fontId="15" type="noConversion"/>
  </si>
  <si>
    <t>Sample 6</t>
    <phoneticPr fontId="15" type="noConversion"/>
  </si>
  <si>
    <t>Sample 5</t>
    <phoneticPr fontId="15" type="noConversion"/>
  </si>
  <si>
    <t>Sample 4</t>
    <phoneticPr fontId="15" type="noConversion"/>
  </si>
  <si>
    <t>Sample 3</t>
    <phoneticPr fontId="15" type="noConversion"/>
  </si>
  <si>
    <t>Sample 2</t>
    <phoneticPr fontId="15" type="noConversion"/>
  </si>
  <si>
    <t>score</t>
    <phoneticPr fontId="15" type="noConversion"/>
  </si>
  <si>
    <t>absolute ∆DA</t>
    <phoneticPr fontId="15" type="noConversion"/>
  </si>
  <si>
    <t>∆DA</t>
    <phoneticPr fontId="15" type="noConversion"/>
  </si>
  <si>
    <t>Sample</t>
    <phoneticPr fontId="15" type="noConversion"/>
  </si>
  <si>
    <t>Ref</t>
    <phoneticPr fontId="15" type="noConversion"/>
  </si>
  <si>
    <t>DA Values</t>
    <phoneticPr fontId="15" type="noConversion"/>
  </si>
  <si>
    <t>KH=</t>
    <phoneticPr fontId="15" type="noConversion"/>
  </si>
  <si>
    <t>KC=</t>
    <phoneticPr fontId="15" type="noConversion"/>
  </si>
  <si>
    <t>HX'=</t>
    <phoneticPr fontId="15" type="noConversion"/>
  </si>
  <si>
    <t>KL=</t>
    <phoneticPr fontId="15" type="noConversion"/>
  </si>
  <si>
    <t>h2'=</t>
    <phoneticPr fontId="15" type="noConversion"/>
  </si>
  <si>
    <t>RT=</t>
    <phoneticPr fontId="15" type="noConversion"/>
  </si>
  <si>
    <t>h1'=</t>
    <phoneticPr fontId="15" type="noConversion"/>
  </si>
  <si>
    <t>RC=</t>
    <phoneticPr fontId="15" type="noConversion"/>
  </si>
  <si>
    <t>CX'=</t>
    <phoneticPr fontId="15" type="noConversion"/>
  </si>
  <si>
    <t>TH=</t>
    <phoneticPr fontId="15" type="noConversion"/>
  </si>
  <si>
    <t>C2'=</t>
    <phoneticPr fontId="15" type="noConversion"/>
  </si>
  <si>
    <t>SH=</t>
    <phoneticPr fontId="15" type="noConversion"/>
  </si>
  <si>
    <t>C1'=</t>
    <phoneticPr fontId="15" type="noConversion"/>
  </si>
  <si>
    <t>SC=</t>
    <phoneticPr fontId="15" type="noConversion"/>
  </si>
  <si>
    <t>a2'=</t>
    <phoneticPr fontId="15" type="noConversion"/>
  </si>
  <si>
    <t>SL=</t>
    <phoneticPr fontId="15" type="noConversion"/>
  </si>
  <si>
    <t>a1'=</t>
    <phoneticPr fontId="15" type="noConversion"/>
  </si>
  <si>
    <t>DH'=</t>
    <phoneticPr fontId="15" type="noConversion"/>
  </si>
  <si>
    <t>G=</t>
    <phoneticPr fontId="15" type="noConversion"/>
  </si>
  <si>
    <t>DC'=</t>
    <phoneticPr fontId="15" type="noConversion"/>
  </si>
  <si>
    <t>CX=</t>
    <phoneticPr fontId="15" type="noConversion"/>
  </si>
  <si>
    <t>DL'=</t>
    <phoneticPr fontId="15" type="noConversion"/>
  </si>
  <si>
    <t>C2=</t>
    <phoneticPr fontId="15" type="noConversion"/>
  </si>
  <si>
    <t>Dh'</t>
    <phoneticPr fontId="15" type="noConversion"/>
  </si>
  <si>
    <t>C1=</t>
    <phoneticPr fontId="15" type="noConversion"/>
  </si>
  <si>
    <t>∆E2000=</t>
    <phoneticPr fontId="15" type="noConversion"/>
  </si>
  <si>
    <t>T=</t>
    <phoneticPr fontId="15" type="noConversion"/>
  </si>
  <si>
    <t>LX'=</t>
    <phoneticPr fontId="15" type="noConversion"/>
  </si>
  <si>
    <t>F=</t>
    <phoneticPr fontId="15" type="noConversion"/>
  </si>
  <si>
    <t>∆H=</t>
    <phoneticPr fontId="15" type="noConversion"/>
  </si>
  <si>
    <t>∆E CMC=</t>
    <phoneticPr fontId="15" type="noConversion"/>
  </si>
  <si>
    <t>∆C=</t>
    <phoneticPr fontId="15" type="noConversion"/>
  </si>
  <si>
    <t>∆b=</t>
    <phoneticPr fontId="15" type="noConversion"/>
  </si>
  <si>
    <t>c=</t>
    <phoneticPr fontId="15" type="noConversion"/>
  </si>
  <si>
    <t>∆a=</t>
    <phoneticPr fontId="15" type="noConversion"/>
  </si>
  <si>
    <t>l=</t>
    <phoneticPr fontId="15" type="noConversion"/>
  </si>
  <si>
    <t>∆L=</t>
    <phoneticPr fontId="15" type="noConversion"/>
  </si>
  <si>
    <t>sample 10</t>
    <phoneticPr fontId="15" type="noConversion"/>
  </si>
  <si>
    <t>ref 10</t>
    <phoneticPr fontId="15" type="noConversion"/>
  </si>
  <si>
    <t>sample 9</t>
    <phoneticPr fontId="15" type="noConversion"/>
  </si>
  <si>
    <t>ref 9</t>
    <phoneticPr fontId="15" type="noConversion"/>
  </si>
  <si>
    <t>sample 8</t>
    <phoneticPr fontId="15" type="noConversion"/>
  </si>
  <si>
    <t>ref 8</t>
    <phoneticPr fontId="15" type="noConversion"/>
  </si>
  <si>
    <t>sample 7</t>
    <phoneticPr fontId="15" type="noConversion"/>
  </si>
  <si>
    <t>ref 7</t>
    <phoneticPr fontId="15" type="noConversion"/>
  </si>
  <si>
    <t>sample 6</t>
    <phoneticPr fontId="15" type="noConversion"/>
  </si>
  <si>
    <t>ref 6</t>
    <phoneticPr fontId="15" type="noConversion"/>
  </si>
  <si>
    <t>sample 5</t>
    <phoneticPr fontId="15" type="noConversion"/>
  </si>
  <si>
    <t>ref 5</t>
    <phoneticPr fontId="15" type="noConversion"/>
  </si>
  <si>
    <t>sample 4</t>
    <phoneticPr fontId="15" type="noConversion"/>
  </si>
  <si>
    <t>ref 4</t>
    <phoneticPr fontId="15" type="noConversion"/>
  </si>
  <si>
    <t>sample 3</t>
    <phoneticPr fontId="15" type="noConversion"/>
  </si>
  <si>
    <t>ref 3</t>
    <phoneticPr fontId="15" type="noConversion"/>
  </si>
  <si>
    <t>sample 2</t>
    <phoneticPr fontId="15" type="noConversion"/>
  </si>
  <si>
    <t>ref 2</t>
    <phoneticPr fontId="15" type="noConversion"/>
  </si>
  <si>
    <t>sample 1</t>
    <phoneticPr fontId="15" type="noConversion"/>
  </si>
  <si>
    <t>ref 1</t>
    <phoneticPr fontId="15" type="noConversion"/>
  </si>
  <si>
    <t>H</t>
    <phoneticPr fontId="15" type="noConversion"/>
  </si>
  <si>
    <t>C</t>
    <phoneticPr fontId="15" type="noConversion"/>
  </si>
  <si>
    <t>b</t>
    <phoneticPr fontId="15" type="noConversion"/>
  </si>
  <si>
    <t>a</t>
    <phoneticPr fontId="15" type="noConversion"/>
  </si>
  <si>
    <t>L</t>
    <phoneticPr fontId="15" type="noConversion"/>
  </si>
  <si>
    <t>Tint</t>
    <phoneticPr fontId="15" type="noConversion"/>
  </si>
  <si>
    <t>Solid</t>
    <phoneticPr fontId="15" type="noConversion"/>
  </si>
  <si>
    <t>96543979</t>
  </si>
  <si>
    <t>Pampers</t>
  </si>
  <si>
    <t>Breathable Film Daika 15gsm CW222mm GOC2-BS GCAAI M5 XL-size 3C Registered</t>
  </si>
  <si>
    <t>PMS 0151 DKJP-G</t>
  </si>
  <si>
    <t>PMS 0109 DKJP-G</t>
  </si>
  <si>
    <t>PMS 3272 DKJP-G</t>
  </si>
  <si>
    <t>Please Specify</t>
  </si>
  <si>
    <t>96445847</t>
  </si>
  <si>
    <t>96543978</t>
  </si>
  <si>
    <t>Breathable Film Daika 15gsm CW206mm GOC2-BS GCAAI M5 L-size 3C Registered</t>
  </si>
  <si>
    <t>PMS 0151 DKJP-F</t>
  </si>
  <si>
    <t>PMS 0109 DKJP-F</t>
  </si>
  <si>
    <t>PMS 3272 DKJP-F</t>
  </si>
  <si>
    <t>96445846</t>
  </si>
  <si>
    <t>96543977</t>
  </si>
  <si>
    <t>Breathable Film Daika 15gsm CW206mm GOC2-BS GCAAI M5 M-size 3C Registered</t>
  </si>
  <si>
    <t>96445845</t>
  </si>
  <si>
    <t>96543976</t>
  </si>
  <si>
    <t>Breathable Film Daika 15gsm CW206mm GOC2-BS GCAAI M5 S-size 2C Registered</t>
  </si>
  <si>
    <t>96445843</t>
  </si>
  <si>
    <t>96543975</t>
  </si>
  <si>
    <t>Breathable Film Daika 15gsm CW206mm GOC2-BS GC M5 NB-size 2C Registered</t>
  </si>
  <si>
    <t>96445842</t>
  </si>
  <si>
    <t>96639155</t>
  </si>
  <si>
    <t>Breathable Film Daika 15gsm CW222mm GOC2-BS GCAAI MP4 XL size 3C Registered</t>
  </si>
  <si>
    <t>PMS 0376 DKJP-G</t>
  </si>
  <si>
    <t>92258633</t>
  </si>
  <si>
    <t>96639154</t>
  </si>
  <si>
    <t>Breathable Film Daika 15gsm CW206mm GOC2-BS GCAAI MP4 L size 3C Registered</t>
  </si>
  <si>
    <t>PMS 0376 DKJP-F</t>
  </si>
  <si>
    <t>92258632</t>
  </si>
  <si>
    <t>96639153</t>
  </si>
  <si>
    <t>Breathable Film Daika 15gsm CW206mm GOC2-BS GCAAI MP4 M size 3C Registered</t>
  </si>
  <si>
    <t>92258631</t>
  </si>
  <si>
    <t>96639152</t>
  </si>
  <si>
    <t>Breathable Film Daika 15gsm CW206mm GOC2-BS GCAAI MP4 S size 2C Registered</t>
  </si>
  <si>
    <t>92258630</t>
  </si>
  <si>
    <t>96639151</t>
  </si>
  <si>
    <t>Breathable Film Daika 15gsm CW206mm GOC2-BS GCAAI MP4 NB size 2C Registered</t>
  </si>
  <si>
    <t>92258629</t>
  </si>
  <si>
    <t>96639156</t>
  </si>
  <si>
    <t>Breathable Film Daika 15gsm CW206mm GOC2-BS GC AAI MP3 NB 3C Registered</t>
  </si>
  <si>
    <t>PMS 0158 DKJP-F</t>
  </si>
  <si>
    <t>PMS 0366 DKJP-F</t>
  </si>
  <si>
    <t>92105258</t>
  </si>
  <si>
    <t>Please Specify (required)</t>
  </si>
  <si>
    <t>IPMS Info</t>
  </si>
  <si>
    <t>N/A</t>
  </si>
  <si>
    <r>
      <t>PMS 0109 DKJP-</t>
    </r>
    <r>
      <rPr>
        <sz val="10"/>
        <rFont val="Verdana"/>
      </rPr>
      <t>G</t>
    </r>
  </si>
  <si>
    <t>PMS 7481 DKJP-F</t>
  </si>
  <si>
    <t>PMS 1405 DKJP-F</t>
  </si>
  <si>
    <t>PG 0087 DKJP-F</t>
  </si>
  <si>
    <t>PMS 0372 DKJP-F</t>
  </si>
  <si>
    <t>PG 1500 DKJP-F</t>
  </si>
  <si>
    <t>PG 0056 DKJP-F</t>
  </si>
  <si>
    <t>PG 0068 DKJP-F</t>
  </si>
  <si>
    <t>PG 0054 DKJP-F</t>
  </si>
  <si>
    <t>Dot Area</t>
  </si>
  <si>
    <t>b</t>
  </si>
  <si>
    <t>a</t>
  </si>
  <si>
    <t>L</t>
  </si>
  <si>
    <t>Filter</t>
  </si>
  <si>
    <t>Midtone</t>
  </si>
  <si>
    <t>Solid</t>
  </si>
  <si>
    <t>Weak Patchy Print</t>
  </si>
  <si>
    <t>UPC Issues</t>
  </si>
  <si>
    <t>S10</t>
    <phoneticPr fontId="15" type="noConversion"/>
  </si>
  <si>
    <t>S9</t>
    <phoneticPr fontId="15" type="noConversion"/>
  </si>
  <si>
    <t>S8</t>
    <phoneticPr fontId="15" type="noConversion"/>
  </si>
  <si>
    <t>S7</t>
    <phoneticPr fontId="15" type="noConversion"/>
  </si>
  <si>
    <t>Over-impression</t>
  </si>
  <si>
    <t>Poor Rub/Scuff Resistance</t>
  </si>
  <si>
    <t>S6</t>
    <phoneticPr fontId="15" type="noConversion"/>
  </si>
  <si>
    <t>Offset</t>
  </si>
  <si>
    <t>S5</t>
    <phoneticPr fontId="15" type="noConversion"/>
  </si>
  <si>
    <t>Mottled Print</t>
  </si>
  <si>
    <t>S4</t>
    <phoneticPr fontId="15" type="noConversion"/>
  </si>
  <si>
    <t>Odor</t>
  </si>
  <si>
    <t>S3</t>
    <phoneticPr fontId="15" type="noConversion"/>
  </si>
  <si>
    <t>S2</t>
    <phoneticPr fontId="15" type="noConversion"/>
  </si>
  <si>
    <t>S1</t>
    <phoneticPr fontId="15" type="noConversion"/>
  </si>
  <si>
    <t>V</t>
    <phoneticPr fontId="15" type="noConversion"/>
  </si>
  <si>
    <t>G</t>
    <phoneticPr fontId="15" type="noConversion"/>
  </si>
  <si>
    <t>Wrong Ink</t>
  </si>
  <si>
    <t>Curing (UV)</t>
  </si>
  <si>
    <t>O</t>
    <phoneticPr fontId="15" type="noConversion"/>
  </si>
  <si>
    <t>Status E + Special Filter</t>
    <phoneticPr fontId="15" type="noConversion"/>
  </si>
  <si>
    <t>C/2˚</t>
  </si>
  <si>
    <t>K</t>
    <phoneticPr fontId="15" type="noConversion"/>
  </si>
  <si>
    <t>Brittleness</t>
  </si>
  <si>
    <t>Special Filter</t>
    <phoneticPr fontId="15" type="noConversion"/>
  </si>
  <si>
    <t>D65/10˚</t>
    <phoneticPr fontId="15" type="noConversion"/>
  </si>
  <si>
    <t>Y</t>
    <phoneticPr fontId="15" type="noConversion"/>
  </si>
  <si>
    <t>Barcode Legibility</t>
  </si>
  <si>
    <t>Blocking</t>
  </si>
  <si>
    <t>Status I / DIN 16536 NB</t>
  </si>
  <si>
    <t>D65/2˚</t>
    <phoneticPr fontId="15" type="noConversion"/>
  </si>
  <si>
    <t>M</t>
    <phoneticPr fontId="15" type="noConversion"/>
  </si>
  <si>
    <t>Backtrapping</t>
  </si>
  <si>
    <t>Status E / DIN 16536</t>
  </si>
  <si>
    <t>D50/10˚</t>
    <phoneticPr fontId="15" type="noConversion"/>
  </si>
  <si>
    <t>Back</t>
    <phoneticPr fontId="15" type="noConversion"/>
  </si>
  <si>
    <t>DE 2000</t>
    <phoneticPr fontId="15" type="noConversion"/>
  </si>
  <si>
    <t>Muangchonburi, Thailand</t>
  </si>
  <si>
    <t>Wrong IPMS#</t>
  </si>
  <si>
    <t>Adhesion</t>
  </si>
  <si>
    <t>Status T</t>
    <phoneticPr fontId="15" type="noConversion"/>
  </si>
  <si>
    <t>D50/2˚</t>
    <phoneticPr fontId="15" type="noConversion"/>
  </si>
  <si>
    <t>Front</t>
    <phoneticPr fontId="15" type="noConversion"/>
  </si>
  <si>
    <t>DE CMC 2:1</t>
    <phoneticPr fontId="15" type="noConversion"/>
  </si>
  <si>
    <t>Paper</t>
    <phoneticPr fontId="15" type="noConversion"/>
  </si>
  <si>
    <t>Please Specify</t>
    <phoneticPr fontId="15" type="noConversion"/>
  </si>
  <si>
    <t>Atrwork / File Issues</t>
  </si>
  <si>
    <t>Color Matching</t>
  </si>
  <si>
    <t>Ink Performance</t>
  </si>
  <si>
    <t>Locations</t>
  </si>
  <si>
    <t>Defect Types</t>
  </si>
  <si>
    <t>Density Type</t>
  </si>
  <si>
    <t>Colorimetry</t>
    <phoneticPr fontId="15" type="noConversion"/>
  </si>
  <si>
    <t>Substrate Side</t>
    <phoneticPr fontId="15" type="noConversion"/>
  </si>
  <si>
    <t>DE Types</t>
    <phoneticPr fontId="15" type="noConversion"/>
  </si>
  <si>
    <t>Patch Types</t>
    <phoneticPr fontId="15" type="noConversion"/>
  </si>
  <si>
    <t>Ink Channel</t>
    <phoneticPr fontId="15" type="noConversion"/>
  </si>
  <si>
    <t>Robb Frimming</t>
  </si>
  <si>
    <t>Schawk Global 
Contact Information:</t>
  </si>
  <si>
    <t>Ken Loh</t>
  </si>
  <si>
    <t>Schawk Regional 
Contact Information:</t>
  </si>
  <si>
    <t>PQP3 Score</t>
    <phoneticPr fontId="15" type="noConversion"/>
  </si>
  <si>
    <t>Visual Score</t>
    <phoneticPr fontId="15" type="noConversion"/>
  </si>
  <si>
    <t>DA Score</t>
    <phoneticPr fontId="15" type="noConversion"/>
  </si>
  <si>
    <t>DE50 Score</t>
    <phoneticPr fontId="15" type="noConversion"/>
  </si>
  <si>
    <t>DE100 Score</t>
    <phoneticPr fontId="15" type="noConversion"/>
  </si>
  <si>
    <t>Reg Score</t>
    <phoneticPr fontId="15" type="noConversion"/>
  </si>
  <si>
    <t>Final Score</t>
  </si>
  <si>
    <t>Scoring Summary</t>
  </si>
  <si>
    <t>Artwork/Files</t>
    <phoneticPr fontId="15" type="noConversion"/>
  </si>
  <si>
    <t>Substrate</t>
    <phoneticPr fontId="15" type="noConversion"/>
  </si>
  <si>
    <t>Color Matching</t>
    <phoneticPr fontId="15" type="noConversion"/>
  </si>
  <si>
    <t>Ink performance</t>
    <phoneticPr fontId="15" type="noConversion"/>
  </si>
  <si>
    <t>Defect Info (optional)</t>
    <phoneticPr fontId="15" type="noConversion"/>
  </si>
  <si>
    <t>Worksheet:</t>
  </si>
  <si>
    <t>Visual</t>
  </si>
  <si>
    <t>Registration Info</t>
    <phoneticPr fontId="15" type="noConversion"/>
  </si>
  <si>
    <t>Act Dot Score</t>
    <phoneticPr fontId="15" type="noConversion"/>
  </si>
  <si>
    <t>DE score</t>
    <phoneticPr fontId="15" type="noConversion"/>
  </si>
  <si>
    <t xml:space="preserve">∆DEN ∆DOT
</t>
    <phoneticPr fontId="15" type="noConversion"/>
  </si>
  <si>
    <t>DEN 
(DOT)</t>
    <phoneticPr fontId="15" type="noConversion"/>
  </si>
  <si>
    <t>b*</t>
    <phoneticPr fontId="15" type="noConversion"/>
  </si>
  <si>
    <t>a*</t>
    <phoneticPr fontId="15" type="noConversion"/>
  </si>
  <si>
    <t>L*</t>
    <phoneticPr fontId="15" type="noConversion"/>
  </si>
  <si>
    <t>Input Value</t>
    <phoneticPr fontId="15" type="noConversion"/>
  </si>
  <si>
    <t>Type</t>
    <phoneticPr fontId="15" type="noConversion"/>
  </si>
  <si>
    <t>P&amp;G Ink Name</t>
    <phoneticPr fontId="15" type="noConversion"/>
  </si>
  <si>
    <t>#</t>
    <phoneticPr fontId="15" type="noConversion"/>
  </si>
  <si>
    <t>Sample Values</t>
    <phoneticPr fontId="15" type="noConversion"/>
  </si>
  <si>
    <t>OP5</t>
    <phoneticPr fontId="15" type="noConversion"/>
  </si>
  <si>
    <t>OP4</t>
    <phoneticPr fontId="15" type="noConversion"/>
  </si>
  <si>
    <t>OP3</t>
    <phoneticPr fontId="15" type="noConversion"/>
  </si>
  <si>
    <t>OP2</t>
    <phoneticPr fontId="15" type="noConversion"/>
  </si>
  <si>
    <t>OP1</t>
    <phoneticPr fontId="15" type="noConversion"/>
  </si>
  <si>
    <t>Substrate Opacity</t>
    <phoneticPr fontId="15" type="noConversion"/>
  </si>
  <si>
    <t>Front</t>
  </si>
  <si>
    <t>Substrate Name</t>
    <phoneticPr fontId="15" type="noConversion"/>
  </si>
  <si>
    <t>Substrate Info</t>
    <phoneticPr fontId="15" type="noConversion"/>
  </si>
  <si>
    <t>--</t>
  </si>
  <si>
    <t>Dot</t>
    <phoneticPr fontId="15" type="noConversion"/>
  </si>
  <si>
    <t>Den</t>
    <phoneticPr fontId="15" type="noConversion"/>
  </si>
  <si>
    <t>Filter</t>
    <phoneticPr fontId="15" type="noConversion"/>
  </si>
  <si>
    <t>Filter Type</t>
    <phoneticPr fontId="15" type="noConversion"/>
  </si>
  <si>
    <t>REF50
b*</t>
  </si>
  <si>
    <t>REF50
a*</t>
  </si>
  <si>
    <t>REF50
L*</t>
  </si>
  <si>
    <t>REF100
b*</t>
    <phoneticPr fontId="15" type="noConversion"/>
  </si>
  <si>
    <t>REF100
a*</t>
    <phoneticPr fontId="15" type="noConversion"/>
  </si>
  <si>
    <t>REF100
L*</t>
    <phoneticPr fontId="15" type="noConversion"/>
  </si>
  <si>
    <t>Channel</t>
    <phoneticPr fontId="15" type="noConversion"/>
  </si>
  <si>
    <t>Reference Values</t>
    <phoneticPr fontId="15" type="noConversion"/>
  </si>
  <si>
    <t>SpectroEye</t>
  </si>
  <si>
    <t>Model:</t>
    <phoneticPr fontId="15" type="noConversion"/>
  </si>
  <si>
    <t>X-Rite</t>
  </si>
  <si>
    <t>Mnf:</t>
    <phoneticPr fontId="15" type="noConversion"/>
  </si>
  <si>
    <t>Measurement Device</t>
  </si>
  <si>
    <t>Status T</t>
  </si>
  <si>
    <t>DE CMC 2:1</t>
  </si>
  <si>
    <t>Color Tolerance Formula</t>
    <phoneticPr fontId="15" type="noConversion"/>
  </si>
  <si>
    <t>Measurement Settings</t>
    <phoneticPr fontId="15" type="noConversion"/>
  </si>
  <si>
    <t>Comments</t>
    <phoneticPr fontId="15" type="noConversion"/>
  </si>
  <si>
    <t xml:space="preserve"> </t>
  </si>
  <si>
    <t>Lane # (operator side)</t>
  </si>
  <si>
    <t>Master Roll #</t>
  </si>
  <si>
    <r>
      <t>Date Measured</t>
    </r>
    <r>
      <rPr>
        <sz val="8"/>
        <rFont val="Verdana"/>
        <charset val="161"/>
      </rPr>
      <t xml:space="preserve"> (mm/dd/yyyy)</t>
    </r>
  </si>
  <si>
    <r>
      <t>Date Printed</t>
    </r>
    <r>
      <rPr>
        <sz val="8"/>
        <rFont val="Verdana"/>
        <charset val="161"/>
      </rPr>
      <t xml:space="preserve"> (mm/dd/yyyy)</t>
    </r>
  </si>
  <si>
    <t>Sample Info</t>
    <phoneticPr fontId="15" type="noConversion"/>
  </si>
  <si>
    <t>Print Method</t>
    <phoneticPr fontId="15" type="noConversion"/>
  </si>
  <si>
    <t>Total Individual Rolls</t>
  </si>
  <si>
    <r>
      <t>Items/m</t>
    </r>
    <r>
      <rPr>
        <vertAlign val="superscript"/>
        <sz val="10"/>
        <rFont val="Verdana"/>
        <family val="2"/>
      </rPr>
      <t>2</t>
    </r>
  </si>
  <si>
    <r>
      <t>Run Length</t>
    </r>
    <r>
      <rPr>
        <sz val="10"/>
        <rFont val="Verdana"/>
      </rPr>
      <t xml:space="preserve"> (Hours)</t>
    </r>
  </si>
  <si>
    <r>
      <t>Order/Lot</t>
    </r>
    <r>
      <rPr>
        <sz val="10"/>
        <rFont val="Verdana"/>
      </rPr>
      <t xml:space="preserve"> </t>
    </r>
    <r>
      <rPr>
        <sz val="10"/>
        <rFont val="Verdana"/>
      </rPr>
      <t>#</t>
    </r>
  </si>
  <si>
    <t>Production Info</t>
    <phoneticPr fontId="15" type="noConversion"/>
  </si>
  <si>
    <t>Line #</t>
  </si>
  <si>
    <t>Artwork GCAS#</t>
  </si>
  <si>
    <t>Number of Colors</t>
    <phoneticPr fontId="15" type="noConversion"/>
  </si>
  <si>
    <t>Job Description</t>
    <phoneticPr fontId="15" type="noConversion"/>
  </si>
  <si>
    <t>Brand</t>
  </si>
  <si>
    <t>IRMS</t>
  </si>
  <si>
    <t>P&amp;G Job Info</t>
    <phoneticPr fontId="15" type="noConversion"/>
  </si>
  <si>
    <t>P&amp;G</t>
    <phoneticPr fontId="15" type="noConversion"/>
  </si>
  <si>
    <t>Company / Client</t>
  </si>
  <si>
    <t>Printer Location</t>
  </si>
  <si>
    <t>Daika</t>
  </si>
  <si>
    <t>Printer Name</t>
    <phoneticPr fontId="15" type="noConversion"/>
  </si>
  <si>
    <t>Basic Job Info</t>
    <phoneticPr fontId="15" type="noConversion"/>
  </si>
  <si>
    <t>96865242</t>
  </si>
  <si>
    <t>97031220</t>
  </si>
  <si>
    <t>97031222</t>
  </si>
  <si>
    <t>97031223</t>
  </si>
  <si>
    <t>97187513</t>
  </si>
  <si>
    <t>97049424</t>
  </si>
  <si>
    <t>96891206</t>
  </si>
  <si>
    <t>96891208</t>
  </si>
  <si>
    <t>97237967</t>
  </si>
  <si>
    <t>97237971</t>
  </si>
  <si>
    <t>97080999</t>
  </si>
  <si>
    <t>97239788</t>
  </si>
  <si>
    <t>96890858</t>
  </si>
  <si>
    <t>96890928</t>
  </si>
  <si>
    <t>97031373</t>
  </si>
  <si>
    <t>97161139</t>
  </si>
  <si>
    <t>97239786</t>
  </si>
  <si>
    <t>97239787</t>
  </si>
  <si>
    <t>97319383</t>
  </si>
  <si>
    <t>97319384</t>
  </si>
  <si>
    <t>97319385</t>
  </si>
  <si>
    <t>97319386</t>
  </si>
  <si>
    <t>96846622</t>
  </si>
  <si>
    <t>96846623</t>
  </si>
  <si>
    <t>96846624</t>
  </si>
  <si>
    <t>96846625</t>
  </si>
  <si>
    <t>97027491</t>
  </si>
  <si>
    <t>97027492</t>
  </si>
  <si>
    <t>97088576</t>
  </si>
  <si>
    <t>97027493</t>
  </si>
  <si>
    <t>96892821</t>
  </si>
  <si>
    <t>Film Backsheet Daika HB GOC2P 15gsm 206mm S3 DART FS GCAAI Gender Neutral</t>
  </si>
  <si>
    <t>Film Backsheet Daika HB GOC2P 15gsm 206mm S4 DART FS GCAAI Gender Neutral</t>
  </si>
  <si>
    <t>Film Backsheet Daika HB GOC2P 15gsm 206mm S5 DART FS GCAAI Gender Neutral</t>
  </si>
  <si>
    <t>Film Backsheet Daika HB GOC2P 15gsm 206mm S6 DART FS GCAAI Gender Neutral</t>
  </si>
  <si>
    <t>Breathable Film Daika 15gsm CW206mm GOC-2 BS AAI DART FS S 4Colors Registered Printed</t>
  </si>
  <si>
    <t>Breathable Film Daika 15gsm CW206mm GOC-2 BS GCAAI DART FS M 4Colors Registered Printed</t>
  </si>
  <si>
    <t>Breathable Film Daika 15gsm CW206mm GOC-2 BS GCAAI DART FS L 4Colors Registered Printed</t>
  </si>
  <si>
    <t>Breathable Film Daika 15gsm CW206mm GOC-2 BS GCAAI DART FS XL 4Colors Registered Printed</t>
  </si>
  <si>
    <t>Breathable Film Daika 15gsm CW206mm GOC2-BS GCAAI M5 Plus NB-size 2C Registered</t>
  </si>
  <si>
    <t>Breathable Film Daika 15gsm CW206mm GOC2-BS GCAAI M5 Plus S-size 2C Registered</t>
  </si>
  <si>
    <t>Breathable Film Daika 15gsm CW222mm GOC2-BS AAI M5 XL Plus size 3C Registered</t>
  </si>
  <si>
    <t>Breathable Film Daika 15gsm CW206mm GOC2-BS GCAAI M5 Plus M-size 3C</t>
  </si>
  <si>
    <t>PG 0054 DKJP-G</t>
  </si>
  <si>
    <t>PG 0068 DKJP-G</t>
  </si>
  <si>
    <t>PG 0056 DKJP-G</t>
  </si>
  <si>
    <t>Orange DKJP-F</t>
  </si>
  <si>
    <t>Green DKJP-F</t>
  </si>
  <si>
    <t>PMS 0389 DKJP-F</t>
  </si>
  <si>
    <t>97375001</t>
  </si>
  <si>
    <t>97375003</t>
  </si>
  <si>
    <t>97385244</t>
  </si>
  <si>
    <t>97385271</t>
  </si>
  <si>
    <t>FIBS DAI HBGOC2P 15GSM206MM S2 BF6GC 6in</t>
  </si>
  <si>
    <t>FIBSDAI HBGOC2P15GSM206MM S3 BF6GCJP6in</t>
  </si>
  <si>
    <t>FIBSDAI HBGOC2P 15GSM206MM S4 BF6GCJP6in</t>
  </si>
  <si>
    <t>FIBS DAI HBGOC2P 15GSM222MM S5 BF6GC 6in</t>
  </si>
  <si>
    <t>97386971</t>
  </si>
  <si>
    <t>97386972</t>
  </si>
  <si>
    <t>97386973</t>
  </si>
  <si>
    <t>97386974</t>
  </si>
  <si>
    <t>97386975</t>
  </si>
  <si>
    <t>97265926</t>
  </si>
  <si>
    <t>97265927</t>
  </si>
  <si>
    <t>97540268</t>
  </si>
  <si>
    <t>97540269</t>
  </si>
  <si>
    <t>97540270</t>
  </si>
  <si>
    <t>97540271</t>
  </si>
  <si>
    <t>97540272</t>
  </si>
  <si>
    <t>FIBS DAI HBGOC2P 15GSM S2 DART FS AAI 6in</t>
  </si>
  <si>
    <t>FIBSDAI HBGOC2P15GSM S3 DARTFS GCAAI 6inGN</t>
  </si>
  <si>
    <t>FIBSDAI HBGOC2P15GSM S4 DARTFS GCAAI 6inGN</t>
  </si>
  <si>
    <t>FIBSDAI HBGOC2P15GSM S5 DARTFS GCAAI 6inGN</t>
  </si>
  <si>
    <t>FIBSDAI HBGOC2P15GSM S6 DARTFS GCAAI 6inGN</t>
  </si>
  <si>
    <t xml:space="preserve"> FIBS DAI HBGOC2P 15GSM206MM S1 BF6GC 6in</t>
  </si>
  <si>
    <t>FIBSDAI HBGOC2P15GSM S2 DenimH GC AAI 6in</t>
  </si>
  <si>
    <t>FIBSDAI HBGOC2P15GSM S3 DenimH GC AAI 6in</t>
  </si>
  <si>
    <t>FIBSDAI HBGOC2P15GSM S4 DenimH GC AAI 6in</t>
  </si>
  <si>
    <t>FIBSDAI HBGOC2P15GSM S5 DenimH GC AAI 6in</t>
  </si>
  <si>
    <t>97538892</t>
  </si>
  <si>
    <t>97538893</t>
  </si>
  <si>
    <t>97538894</t>
  </si>
  <si>
    <t>97538895</t>
  </si>
  <si>
    <t>97538896</t>
  </si>
  <si>
    <t>97375005</t>
  </si>
  <si>
    <t>96890857F</t>
  </si>
  <si>
    <t>96890857G</t>
  </si>
  <si>
    <t>96890923F</t>
  </si>
  <si>
    <t>96890923G</t>
  </si>
  <si>
    <t>BRE FI DAI 15gsm GOC2 GCAAI M5P NB 6inCD</t>
  </si>
  <si>
    <t>FIBSDAI HBGOC2P15GSM206MM S2M5PGCAAI 6in</t>
  </si>
  <si>
    <t>BRE FI DAI 15gsm GOC2 AAI M5 XLP 6inCD</t>
  </si>
  <si>
    <t>FIBS DAI HBGOC2P 15GSM206MM S1 M5AAI 6in</t>
  </si>
  <si>
    <t>FIBSDAI HBGOC2P15GSM206MM S4 M5GCAAI 6in</t>
  </si>
  <si>
    <t>FIBSDAI HBGOC2P15GSM222MM S5 M5GCAAI 6in</t>
  </si>
  <si>
    <t>FIBSDAI HBGOC2P15GSM206MM S2 M5GCAAI 6in</t>
  </si>
  <si>
    <t>FIBSDAI HBGOC2P15GSM206MM S3 M5GCAAI 6in</t>
  </si>
  <si>
    <t>FIBSDAI HBGOC2P15GSM S6 DenimH GC AAI 6in</t>
  </si>
  <si>
    <t>Flexo</t>
  </si>
  <si>
    <t>Gravure</t>
  </si>
  <si>
    <t>97265914F</t>
  </si>
  <si>
    <t>97265914G</t>
  </si>
  <si>
    <t>PMS 1405 DKJP-G</t>
  </si>
  <si>
    <t>97265924F</t>
  </si>
  <si>
    <t>97265924G</t>
  </si>
  <si>
    <t>97265925F</t>
  </si>
  <si>
    <t>97265925G</t>
  </si>
  <si>
    <t>EPQ Manual Template v2.3.19 Daika</t>
  </si>
  <si>
    <t>Osaka, Japan</t>
  </si>
  <si>
    <t>Film Backsheet Daika HB GOC2P 15gsm 206mm NB-size M5 Plus Japan 6inch CD</t>
  </si>
  <si>
    <t>Film Backsheet Daika HB GOC2P 15gsm 206mm S-size M5 Plus Japan 6inch CD</t>
  </si>
  <si>
    <t>Film Backsheet Daika HB GOC2P 15gsm 206mm M-size M5 Plus Japan 6inch CD</t>
  </si>
  <si>
    <t>Film Backsheet Daika HB GOC2P 15gsm 206mm L-size M5 Plus Japan 6inch CD</t>
  </si>
  <si>
    <t>Film Backsheet Daika HB GOC2P 15gsm 206mm S3 BF6 GC Japan 6inch CD</t>
  </si>
  <si>
    <t>Film Backsheet Daika HB GOC2P 15gsm 206mm S4 BF6 GC Japan 6inch CD</t>
  </si>
  <si>
    <t>Film Backsheet Daika HB GOC2P 15gsm 206mm S5 BF6 GC Japan 6inch CD</t>
  </si>
  <si>
    <t>Film Backsheet Daika HB GOC2P 15gsm 206mm S2 DART 0.5 FS Japan 6inCD</t>
  </si>
  <si>
    <t>97265995F</t>
  </si>
  <si>
    <t>Film Backsheet Daika HB GOC2P 15gsm 206mm S3 DART 0.5 FS Japan 6inCD</t>
  </si>
  <si>
    <t>97265995G</t>
  </si>
  <si>
    <t>97265996F</t>
  </si>
  <si>
    <t>Film Backsheet Daika HB GOC2P 15gsm 206mm S4 DART 0.5 FS Japan 6inCD</t>
  </si>
  <si>
    <t>97265996G</t>
  </si>
  <si>
    <t>97265997F</t>
  </si>
  <si>
    <t>Film Backsheet Daika HB GOC2P 15gsm 206mm S5 DART 0.5 FS Japan 6inCD</t>
  </si>
  <si>
    <t>97265997G</t>
  </si>
  <si>
    <t>Film Backsheet Daika HB GOC2P 15gsm 206mm S6 DART 0.5 FS Japan 6inCD</t>
  </si>
  <si>
    <t>Film Backsheet Daika HB GOC2P 15gsm 206mm S4 DART Toilet Training Japan 6inch CD</t>
  </si>
  <si>
    <t>Film Backsheet Daika HB GOC2P 15gsm 206mm S5 DART Toilet Training Japan 6inch CD</t>
  </si>
  <si>
    <t>Film Backsheet Daika HB GOC2P 15gsm 206mm S2 Silk Base Japan 6inCD</t>
  </si>
  <si>
    <t>Film Backsheet Daika HB GOC2P 15gsm 206mm S3 Silk Base Japan 6inCD</t>
  </si>
  <si>
    <t>Film Backsheet Daika HB GOC2P 15gsm 206mm S4 Silk Base Japan 6inCD</t>
  </si>
  <si>
    <t>Film Backsheet Daika HB GOC2P 15gsm 206mm S5 Silk Base Japan 6inCD</t>
  </si>
  <si>
    <t>Film Backsheet Daika HB GOC2P 15gsm 206mm S6 Silk Base Japan 6inCD</t>
  </si>
  <si>
    <t>Film Backsheet Daika HB GOC2P 15gsm 190mm S3 Silk Hi GCJP 6inch CD</t>
  </si>
  <si>
    <t>Film Backsheet Daika HB GOC2P 15gsm 190mm S4 Silk Hi GCJP 6inch CD</t>
  </si>
  <si>
    <t>Film Backsheet Daika HB GOC2P 15gsm 190mm S5 Silk Hi GCJP 6inch CD</t>
  </si>
  <si>
    <t>Film Backsheet Daika HB GOC2P 15gsm 190mm S6 Silk Hi GCJP 6inch CD</t>
  </si>
  <si>
    <t>97060600</t>
  </si>
  <si>
    <t>97060601</t>
  </si>
  <si>
    <t>97060602</t>
  </si>
  <si>
    <t>97060603</t>
  </si>
  <si>
    <t>96860812</t>
  </si>
  <si>
    <t>96860813</t>
  </si>
  <si>
    <t>96860814</t>
  </si>
  <si>
    <t>96860815</t>
  </si>
  <si>
    <t>96860816</t>
  </si>
  <si>
    <t>97254958</t>
  </si>
  <si>
    <t>97254960</t>
  </si>
  <si>
    <t>97404692</t>
  </si>
  <si>
    <t>97404693</t>
  </si>
  <si>
    <t>97404694</t>
  </si>
  <si>
    <t>97404695</t>
  </si>
  <si>
    <t>97404696</t>
  </si>
  <si>
    <t>97404643</t>
  </si>
  <si>
    <t>97404644</t>
  </si>
  <si>
    <t>97404645</t>
  </si>
  <si>
    <t>97404646</t>
  </si>
  <si>
    <t>97211925</t>
  </si>
  <si>
    <t>96965151</t>
  </si>
  <si>
    <t>97237537</t>
  </si>
  <si>
    <t>97201130</t>
  </si>
  <si>
    <t>97265994</t>
  </si>
  <si>
    <t>97265998</t>
  </si>
  <si>
    <t>97351854</t>
  </si>
  <si>
    <t>97351855</t>
  </si>
  <si>
    <t>97575058</t>
  </si>
  <si>
    <t>97575059</t>
  </si>
  <si>
    <t>97575060</t>
  </si>
  <si>
    <t>97575061</t>
  </si>
  <si>
    <t>97575062</t>
  </si>
  <si>
    <t>97575067</t>
  </si>
  <si>
    <t>97575068</t>
  </si>
  <si>
    <t>97575069</t>
  </si>
  <si>
    <t>97575070</t>
  </si>
  <si>
    <t>PG 0087 DKJP-G</t>
  </si>
  <si>
    <t>PG 1500 DKJP-G</t>
  </si>
  <si>
    <t>S1</t>
  </si>
  <si>
    <t>S2</t>
  </si>
  <si>
    <t>S3</t>
  </si>
  <si>
    <t>GOC2 15g</t>
  </si>
  <si>
    <t>D1511082035033</t>
  </si>
  <si>
    <t>Lane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</si>
</sst>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%"/>
    <numFmt numFmtId="166" formatCode="0.0000"/>
    <numFmt numFmtId="167" formatCode="0.000000"/>
    <numFmt numFmtId="168" formatCode="0.0"/>
    <numFmt numFmtId="169" formatCode="m/d/yyyy;@"/>
    <numFmt numFmtId="170" formatCode=";;;"/>
  </numFmts>
  <fonts count="55" x14ac:knownFonts="1">
    <font>
      <sz val="10"/>
      <name val="Verdana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Verdana"/>
      <charset val="161"/>
    </font>
    <font>
      <sz val="10"/>
      <color indexed="8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sz val="9"/>
      <name val="Verdana"/>
      <family val="2"/>
    </font>
    <font>
      <sz val="14"/>
      <name val="Verdana"/>
      <family val="2"/>
    </font>
    <font>
      <sz val="24"/>
      <name val="Verdana"/>
      <family val="2"/>
    </font>
    <font>
      <sz val="36"/>
      <name val="Verdana"/>
      <family val="2"/>
    </font>
    <font>
      <sz val="18"/>
      <name val="Verdana"/>
      <family val="2"/>
    </font>
    <font>
      <vertAlign val="superscript"/>
      <sz val="10"/>
      <name val="Verdana"/>
      <family val="2"/>
    </font>
    <font>
      <b/>
      <sz val="18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FF9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22"/>
        <bgColor indexed="8"/>
      </patternFill>
    </fill>
    <fill>
      <patternFill patternType="solid">
        <fgColor rgb="FFFFFF8D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38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14" fillId="16" borderId="0" applyNumberFormat="0" applyBorder="0" applyAlignment="0" applyProtection="0"/>
    <xf numFmtId="0" fontId="18" fillId="11" borderId="16" applyNumberFormat="0" applyAlignment="0" applyProtection="0"/>
    <xf numFmtId="0" fontId="20" fillId="17" borderId="17" applyNumberFormat="0" applyAlignment="0" applyProtection="0"/>
    <xf numFmtId="0" fontId="26" fillId="0" borderId="0"/>
    <xf numFmtId="0" fontId="2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6" applyNumberFormat="0" applyAlignment="0" applyProtection="0"/>
    <xf numFmtId="0" fontId="19" fillId="0" borderId="21" applyNumberFormat="0" applyFill="0" applyAlignment="0" applyProtection="0"/>
    <xf numFmtId="0" fontId="15" fillId="19" borderId="0" applyNumberFormat="0" applyBorder="0" applyAlignment="0" applyProtection="0"/>
    <xf numFmtId="0" fontId="8" fillId="20" borderId="22" applyNumberFormat="0" applyFont="0" applyAlignment="0" applyProtection="0"/>
    <xf numFmtId="0" fontId="17" fillId="11" borderId="23" applyNumberFormat="0" applyAlignment="0" applyProtection="0"/>
    <xf numFmtId="0" fontId="9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14" fillId="16" borderId="0" applyNumberFormat="0" applyBorder="0" applyAlignment="0" applyProtection="0"/>
    <xf numFmtId="0" fontId="18" fillId="11" borderId="16" applyNumberFormat="0" applyAlignment="0" applyProtection="0"/>
    <xf numFmtId="0" fontId="20" fillId="17" borderId="17" applyNumberFormat="0" applyAlignment="0" applyProtection="0"/>
    <xf numFmtId="0" fontId="2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6" applyNumberFormat="0" applyAlignment="0" applyProtection="0"/>
    <xf numFmtId="0" fontId="19" fillId="0" borderId="21" applyNumberFormat="0" applyFill="0" applyAlignment="0" applyProtection="0"/>
    <xf numFmtId="0" fontId="15" fillId="19" borderId="0" applyNumberFormat="0" applyBorder="0" applyAlignment="0" applyProtection="0"/>
    <xf numFmtId="0" fontId="8" fillId="20" borderId="22" applyNumberFormat="0" applyFont="0" applyAlignment="0" applyProtection="0"/>
    <xf numFmtId="0" fontId="17" fillId="11" borderId="23" applyNumberFormat="0" applyAlignment="0" applyProtection="0"/>
    <xf numFmtId="0" fontId="9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544">
    <xf numFmtId="0" fontId="0" fillId="0" borderId="0" xfId="0"/>
    <xf numFmtId="0" fontId="4" fillId="0" borderId="0" xfId="194"/>
    <xf numFmtId="0" fontId="4" fillId="0" borderId="0" xfId="194" applyFill="1"/>
    <xf numFmtId="0" fontId="4" fillId="0" borderId="0" xfId="194" applyAlignment="1">
      <alignment wrapText="1"/>
    </xf>
    <xf numFmtId="2" fontId="4" fillId="0" borderId="0" xfId="194" applyNumberFormat="1"/>
    <xf numFmtId="0" fontId="4" fillId="0" borderId="0" xfId="194" applyBorder="1" applyAlignment="1"/>
    <xf numFmtId="0" fontId="4" fillId="0" borderId="0" xfId="194" applyFill="1" applyBorder="1" applyAlignment="1"/>
    <xf numFmtId="0" fontId="4" fillId="0" borderId="6" xfId="194" applyBorder="1" applyAlignment="1">
      <alignment vertical="center" wrapText="1"/>
    </xf>
    <xf numFmtId="0" fontId="4" fillId="0" borderId="0" xfId="194" applyAlignment="1">
      <alignment vertical="center" wrapText="1"/>
    </xf>
    <xf numFmtId="0" fontId="4" fillId="0" borderId="0" xfId="194" applyAlignment="1">
      <alignment horizontal="left" vertical="top" wrapText="1"/>
    </xf>
    <xf numFmtId="0" fontId="4" fillId="0" borderId="6" xfId="194" applyBorder="1" applyAlignment="1">
      <alignment horizontal="left" vertical="top" wrapText="1"/>
    </xf>
    <xf numFmtId="0" fontId="4" fillId="0" borderId="6" xfId="194" applyFont="1" applyBorder="1" applyAlignment="1">
      <alignment horizontal="left" vertical="top" wrapText="1"/>
    </xf>
    <xf numFmtId="0" fontId="4" fillId="27" borderId="6" xfId="194" applyFont="1" applyFill="1" applyBorder="1" applyAlignment="1">
      <alignment horizontal="left" vertical="top"/>
    </xf>
    <xf numFmtId="0" fontId="4" fillId="27" borderId="6" xfId="194" applyFont="1" applyFill="1" applyBorder="1" applyAlignment="1">
      <alignment horizontal="left" vertical="top" wrapText="1"/>
    </xf>
    <xf numFmtId="0" fontId="4" fillId="28" borderId="6" xfId="194" applyFont="1" applyFill="1" applyBorder="1" applyAlignment="1">
      <alignment horizontal="left" vertical="top"/>
    </xf>
    <xf numFmtId="0" fontId="4" fillId="28" borderId="6" xfId="194" applyFont="1" applyFill="1" applyBorder="1" applyAlignment="1">
      <alignment horizontal="left" vertical="top" wrapText="1"/>
    </xf>
    <xf numFmtId="0" fontId="4" fillId="29" borderId="6" xfId="194" applyFont="1" applyFill="1" applyBorder="1" applyAlignment="1">
      <alignment horizontal="left" vertical="top"/>
    </xf>
    <xf numFmtId="0" fontId="4" fillId="29" borderId="6" xfId="194" applyFont="1" applyFill="1" applyBorder="1" applyAlignment="1">
      <alignment horizontal="left" vertical="top" wrapText="1"/>
    </xf>
    <xf numFmtId="0" fontId="4" fillId="30" borderId="6" xfId="194" applyFont="1" applyFill="1" applyBorder="1" applyAlignment="1">
      <alignment horizontal="left" vertical="top"/>
    </xf>
    <xf numFmtId="0" fontId="4" fillId="30" borderId="6" xfId="194" applyFont="1" applyFill="1" applyBorder="1" applyAlignment="1">
      <alignment horizontal="left" vertical="top" wrapText="1"/>
    </xf>
    <xf numFmtId="0" fontId="4" fillId="0" borderId="0" xfId="194" applyAlignment="1">
      <alignment horizontal="left" vertical="top"/>
    </xf>
    <xf numFmtId="0" fontId="4" fillId="31" borderId="6" xfId="194" applyFont="1" applyFill="1" applyBorder="1" applyAlignment="1">
      <alignment horizontal="left" vertical="top"/>
    </xf>
    <xf numFmtId="0" fontId="4" fillId="31" borderId="6" xfId="194" applyFont="1" applyFill="1" applyBorder="1" applyAlignment="1">
      <alignment horizontal="left" vertical="top" wrapText="1"/>
    </xf>
    <xf numFmtId="0" fontId="4" fillId="0" borderId="0" xfId="194" applyAlignment="1">
      <alignment vertical="center" wrapText="1" shrinkToFit="1"/>
    </xf>
    <xf numFmtId="0" fontId="4" fillId="0" borderId="0" xfId="194" applyFont="1" applyBorder="1" applyAlignment="1">
      <alignment horizontal="left" vertical="top" wrapText="1"/>
    </xf>
    <xf numFmtId="0" fontId="4" fillId="0" borderId="0" xfId="194" applyAlignment="1">
      <alignment horizontal="left"/>
    </xf>
    <xf numFmtId="0" fontId="4" fillId="0" borderId="0" xfId="194" applyAlignment="1">
      <alignment horizontal="left" vertical="center" wrapText="1"/>
    </xf>
    <xf numFmtId="0" fontId="35" fillId="25" borderId="6" xfId="194" applyFont="1" applyFill="1" applyBorder="1" applyAlignment="1">
      <alignment horizontal="left" vertical="top" wrapText="1"/>
    </xf>
    <xf numFmtId="0" fontId="4" fillId="25" borderId="0" xfId="194" applyFill="1" applyAlignment="1">
      <alignment horizontal="left" vertical="top" wrapText="1"/>
    </xf>
    <xf numFmtId="0" fontId="39" fillId="25" borderId="6" xfId="194" applyFont="1" applyFill="1" applyBorder="1" applyAlignment="1">
      <alignment horizontal="left" vertical="top" wrapText="1"/>
    </xf>
    <xf numFmtId="0" fontId="4" fillId="0" borderId="0" xfId="194" applyFont="1" applyBorder="1" applyAlignment="1">
      <alignment vertical="center" wrapText="1"/>
    </xf>
    <xf numFmtId="0" fontId="35" fillId="0" borderId="0" xfId="194" applyFont="1" applyFill="1" applyBorder="1" applyAlignment="1">
      <alignment horizontal="left" vertical="top" wrapText="1"/>
    </xf>
    <xf numFmtId="0" fontId="4" fillId="0" borderId="6" xfId="194" applyBorder="1" applyAlignment="1">
      <alignment horizontal="left" vertical="top"/>
    </xf>
    <xf numFmtId="0" fontId="4" fillId="0" borderId="6" xfId="194" applyBorder="1" applyAlignment="1">
      <alignment horizontal="left"/>
    </xf>
    <xf numFmtId="0" fontId="4" fillId="0" borderId="6" xfId="194" applyBorder="1" applyAlignment="1">
      <alignment horizontal="right"/>
    </xf>
    <xf numFmtId="0" fontId="4" fillId="0" borderId="6" xfId="194" applyBorder="1" applyAlignment="1">
      <alignment horizontal="left" vertical="center" wrapText="1"/>
    </xf>
    <xf numFmtId="0" fontId="35" fillId="0" borderId="6" xfId="194" applyFont="1" applyFill="1" applyBorder="1" applyAlignment="1">
      <alignment horizontal="left" vertical="top" wrapText="1"/>
    </xf>
    <xf numFmtId="0" fontId="4" fillId="0" borderId="6" xfId="194" applyBorder="1" applyAlignment="1">
      <alignment horizontal="right" vertical="center"/>
    </xf>
    <xf numFmtId="0" fontId="4" fillId="0" borderId="0" xfId="194" applyFont="1" applyBorder="1" applyAlignment="1">
      <alignment vertical="top" wrapText="1"/>
    </xf>
    <xf numFmtId="0" fontId="40" fillId="0" borderId="0" xfId="194" applyFont="1" applyBorder="1" applyAlignment="1">
      <alignment horizontal="left" vertical="top" wrapText="1"/>
    </xf>
    <xf numFmtId="0" fontId="4" fillId="0" borderId="35" xfId="194" applyFont="1" applyBorder="1" applyAlignment="1">
      <alignment horizontal="left" vertical="top" wrapText="1"/>
    </xf>
    <xf numFmtId="0" fontId="4" fillId="0" borderId="34" xfId="194" applyFont="1" applyBorder="1" applyAlignment="1">
      <alignment horizontal="left" vertical="top" wrapText="1"/>
    </xf>
    <xf numFmtId="0" fontId="4" fillId="30" borderId="35" xfId="194" applyFont="1" applyFill="1" applyBorder="1" applyAlignment="1">
      <alignment horizontal="left" vertical="top" wrapText="1"/>
    </xf>
    <xf numFmtId="0" fontId="4" fillId="30" borderId="34" xfId="194" applyFont="1" applyFill="1" applyBorder="1" applyAlignment="1">
      <alignment horizontal="left" vertical="top" wrapText="1"/>
    </xf>
    <xf numFmtId="0" fontId="4" fillId="28" borderId="35" xfId="194" applyFont="1" applyFill="1" applyBorder="1" applyAlignment="1">
      <alignment horizontal="left" vertical="top" wrapText="1"/>
    </xf>
    <xf numFmtId="0" fontId="4" fillId="28" borderId="12" xfId="194" applyFont="1" applyFill="1" applyBorder="1" applyAlignment="1">
      <alignment horizontal="left" vertical="top" wrapText="1"/>
    </xf>
    <xf numFmtId="0" fontId="4" fillId="28" borderId="36" xfId="194" applyFont="1" applyFill="1" applyBorder="1" applyAlignment="1">
      <alignment horizontal="left" vertical="top" wrapText="1"/>
    </xf>
    <xf numFmtId="0" fontId="4" fillId="0" borderId="12" xfId="194" applyFont="1" applyBorder="1" applyAlignment="1">
      <alignment horizontal="left" vertical="top" wrapText="1"/>
    </xf>
    <xf numFmtId="0" fontId="4" fillId="30" borderId="12" xfId="194" applyFont="1" applyFill="1" applyBorder="1" applyAlignment="1">
      <alignment horizontal="left" vertical="top" wrapText="1"/>
    </xf>
    <xf numFmtId="0" fontId="4" fillId="29" borderId="35" xfId="194" applyFont="1" applyFill="1" applyBorder="1" applyAlignment="1">
      <alignment horizontal="left" vertical="top" wrapText="1"/>
    </xf>
    <xf numFmtId="0" fontId="4" fillId="27" borderId="37" xfId="194" applyFont="1" applyFill="1" applyBorder="1" applyAlignment="1">
      <alignment horizontal="left" vertical="top" wrapText="1"/>
    </xf>
    <xf numFmtId="0" fontId="4" fillId="31" borderId="35" xfId="194" applyFont="1" applyFill="1" applyBorder="1" applyAlignment="1">
      <alignment horizontal="left" vertical="top" wrapText="1"/>
    </xf>
    <xf numFmtId="0" fontId="4" fillId="29" borderId="34" xfId="194" applyFont="1" applyFill="1" applyBorder="1" applyAlignment="1">
      <alignment horizontal="left" vertical="top" wrapText="1"/>
    </xf>
    <xf numFmtId="0" fontId="4" fillId="27" borderId="13" xfId="194" applyFont="1" applyFill="1" applyBorder="1" applyAlignment="1">
      <alignment horizontal="left" vertical="top" wrapText="1"/>
    </xf>
    <xf numFmtId="0" fontId="4" fillId="31" borderId="34" xfId="194" applyFont="1" applyFill="1" applyBorder="1" applyAlignment="1">
      <alignment horizontal="left" vertical="top" wrapText="1"/>
    </xf>
    <xf numFmtId="0" fontId="4" fillId="31" borderId="36" xfId="194" applyFont="1" applyFill="1" applyBorder="1" applyAlignment="1">
      <alignment horizontal="left" vertical="top" wrapText="1"/>
    </xf>
    <xf numFmtId="0" fontId="4" fillId="31" borderId="33" xfId="194" applyFont="1" applyFill="1" applyBorder="1" applyAlignment="1">
      <alignment horizontal="left" vertical="top" wrapText="1"/>
    </xf>
    <xf numFmtId="0" fontId="4" fillId="29" borderId="12" xfId="194" applyFont="1" applyFill="1" applyBorder="1" applyAlignment="1">
      <alignment horizontal="left" vertical="top" wrapText="1"/>
    </xf>
    <xf numFmtId="0" fontId="4" fillId="31" borderId="32" xfId="194" applyFont="1" applyFill="1" applyBorder="1" applyAlignment="1">
      <alignment horizontal="left" vertical="top" wrapText="1"/>
    </xf>
    <xf numFmtId="0" fontId="4" fillId="31" borderId="12" xfId="194" applyFont="1" applyFill="1" applyBorder="1" applyAlignment="1">
      <alignment horizontal="left" vertical="top" wrapText="1"/>
    </xf>
    <xf numFmtId="0" fontId="4" fillId="31" borderId="14" xfId="194" applyFont="1" applyFill="1" applyBorder="1" applyAlignment="1">
      <alignment horizontal="left" vertical="top" wrapText="1"/>
    </xf>
    <xf numFmtId="0" fontId="4" fillId="31" borderId="13" xfId="194" applyFont="1" applyFill="1" applyBorder="1" applyAlignment="1">
      <alignment horizontal="left" vertical="top" wrapText="1"/>
    </xf>
    <xf numFmtId="0" fontId="35" fillId="25" borderId="12" xfId="194" applyFont="1" applyFill="1" applyBorder="1" applyAlignment="1">
      <alignment horizontal="left" vertical="top" wrapText="1"/>
    </xf>
    <xf numFmtId="0" fontId="35" fillId="25" borderId="0" xfId="194" applyFont="1" applyFill="1" applyBorder="1" applyAlignment="1">
      <alignment horizontal="left" vertical="top" wrapText="1"/>
    </xf>
    <xf numFmtId="0" fontId="35" fillId="25" borderId="27" xfId="194" applyFont="1" applyFill="1" applyBorder="1" applyAlignment="1" applyProtection="1">
      <alignment horizontal="center" wrapText="1"/>
      <protection hidden="1"/>
    </xf>
    <xf numFmtId="0" fontId="35" fillId="25" borderId="31" xfId="194" applyFont="1" applyFill="1" applyBorder="1" applyAlignment="1" applyProtection="1">
      <alignment wrapText="1"/>
      <protection hidden="1"/>
    </xf>
    <xf numFmtId="0" fontId="35" fillId="0" borderId="31" xfId="194" applyFont="1" applyFill="1" applyBorder="1" applyAlignment="1" applyProtection="1">
      <alignment wrapText="1"/>
      <protection hidden="1"/>
    </xf>
    <xf numFmtId="0" fontId="4" fillId="0" borderId="2" xfId="194" applyBorder="1" applyAlignment="1" applyProtection="1">
      <alignment horizontal="left" vertical="top"/>
      <protection hidden="1"/>
    </xf>
    <xf numFmtId="0" fontId="4" fillId="0" borderId="3" xfId="194" applyFill="1" applyBorder="1" applyAlignment="1" applyProtection="1">
      <alignment horizontal="left" vertical="top"/>
      <protection hidden="1"/>
    </xf>
    <xf numFmtId="0" fontId="4" fillId="0" borderId="5" xfId="194" applyBorder="1" applyAlignment="1" applyProtection="1">
      <alignment horizontal="left" vertical="top"/>
      <protection hidden="1"/>
    </xf>
    <xf numFmtId="0" fontId="4" fillId="0" borderId="6" xfId="194" applyFill="1" applyBorder="1" applyAlignment="1" applyProtection="1">
      <alignment horizontal="left" vertical="top"/>
      <protection hidden="1"/>
    </xf>
    <xf numFmtId="0" fontId="4" fillId="0" borderId="8" xfId="194" applyBorder="1" applyAlignment="1" applyProtection="1">
      <alignment horizontal="left" vertical="top"/>
      <protection hidden="1"/>
    </xf>
    <xf numFmtId="0" fontId="4" fillId="0" borderId="9" xfId="194" applyFill="1" applyBorder="1" applyAlignment="1" applyProtection="1">
      <alignment horizontal="left" vertical="top"/>
      <protection hidden="1"/>
    </xf>
    <xf numFmtId="0" fontId="4" fillId="0" borderId="0" xfId="194" applyProtection="1">
      <protection hidden="1"/>
    </xf>
    <xf numFmtId="0" fontId="4" fillId="0" borderId="0" xfId="194" applyFill="1" applyProtection="1">
      <protection hidden="1"/>
    </xf>
    <xf numFmtId="0" fontId="4" fillId="0" borderId="0" xfId="194" applyBorder="1" applyAlignment="1" applyProtection="1">
      <protection hidden="1"/>
    </xf>
    <xf numFmtId="0" fontId="35" fillId="25" borderId="25" xfId="194" applyFont="1" applyFill="1" applyBorder="1" applyAlignment="1" applyProtection="1">
      <alignment wrapText="1"/>
      <protection hidden="1"/>
    </xf>
    <xf numFmtId="0" fontId="4" fillId="26" borderId="3" xfId="194" applyFill="1" applyBorder="1" applyAlignment="1" applyProtection="1">
      <alignment horizontal="left" vertical="top"/>
      <protection hidden="1"/>
    </xf>
    <xf numFmtId="0" fontId="4" fillId="26" borderId="6" xfId="194" applyFill="1" applyBorder="1" applyAlignment="1" applyProtection="1">
      <alignment horizontal="left" vertical="top"/>
      <protection hidden="1"/>
    </xf>
    <xf numFmtId="0" fontId="4" fillId="26" borderId="9" xfId="194" applyFill="1" applyBorder="1" applyAlignment="1" applyProtection="1">
      <alignment horizontal="left" vertical="top"/>
      <protection hidden="1"/>
    </xf>
    <xf numFmtId="0" fontId="32" fillId="0" borderId="0" xfId="194" applyFont="1" applyAlignment="1" applyProtection="1">
      <alignment horizontal="right"/>
      <protection hidden="1"/>
    </xf>
    <xf numFmtId="2" fontId="4" fillId="0" borderId="0" xfId="194" applyNumberFormat="1" applyProtection="1">
      <protection hidden="1"/>
    </xf>
    <xf numFmtId="0" fontId="32" fillId="25" borderId="6" xfId="194" applyFont="1" applyFill="1" applyBorder="1" applyAlignment="1" applyProtection="1">
      <protection hidden="1"/>
    </xf>
    <xf numFmtId="0" fontId="4" fillId="23" borderId="6" xfId="194" applyFill="1" applyBorder="1" applyAlignment="1" applyProtection="1">
      <protection hidden="1"/>
    </xf>
    <xf numFmtId="0" fontId="32" fillId="22" borderId="6" xfId="194" applyFont="1" applyFill="1" applyBorder="1" applyAlignment="1" applyProtection="1">
      <protection hidden="1"/>
    </xf>
    <xf numFmtId="0" fontId="4" fillId="0" borderId="12" xfId="194" applyBorder="1" applyProtection="1">
      <protection hidden="1"/>
    </xf>
    <xf numFmtId="2" fontId="32" fillId="22" borderId="12" xfId="194" applyNumberFormat="1" applyFont="1" applyFill="1" applyBorder="1" applyProtection="1">
      <protection hidden="1"/>
    </xf>
    <xf numFmtId="0" fontId="4" fillId="0" borderId="30" xfId="194" applyBorder="1" applyProtection="1">
      <protection locked="0"/>
    </xf>
    <xf numFmtId="0" fontId="4" fillId="0" borderId="29" xfId="194" applyBorder="1" applyProtection="1">
      <protection locked="0"/>
    </xf>
    <xf numFmtId="0" fontId="4" fillId="0" borderId="28" xfId="194" applyBorder="1" applyProtection="1">
      <protection locked="0"/>
    </xf>
    <xf numFmtId="0" fontId="4" fillId="24" borderId="26" xfId="194" applyFill="1" applyBorder="1" applyAlignment="1" applyProtection="1">
      <alignment horizontal="left" vertical="top"/>
      <protection locked="0" hidden="1"/>
    </xf>
    <xf numFmtId="0" fontId="4" fillId="0" borderId="3" xfId="194" applyFill="1" applyBorder="1" applyAlignment="1" applyProtection="1">
      <alignment horizontal="left" vertical="top"/>
      <protection locked="0" hidden="1"/>
    </xf>
    <xf numFmtId="0" fontId="4" fillId="24" borderId="3" xfId="194" applyFill="1" applyBorder="1" applyAlignment="1" applyProtection="1">
      <alignment horizontal="left" vertical="top"/>
      <protection locked="0" hidden="1"/>
    </xf>
    <xf numFmtId="0" fontId="4" fillId="0" borderId="26" xfId="194" applyFill="1" applyBorder="1" applyAlignment="1" applyProtection="1">
      <alignment horizontal="left" vertical="top"/>
      <protection locked="0" hidden="1"/>
    </xf>
    <xf numFmtId="0" fontId="4" fillId="21" borderId="3" xfId="194" applyFill="1" applyBorder="1" applyAlignment="1" applyProtection="1">
      <alignment horizontal="left" vertical="top"/>
      <protection locked="0" hidden="1"/>
    </xf>
    <xf numFmtId="0" fontId="4" fillId="24" borderId="6" xfId="194" applyFill="1" applyBorder="1" applyAlignment="1" applyProtection="1">
      <alignment horizontal="left" vertical="top"/>
      <protection locked="0" hidden="1"/>
    </xf>
    <xf numFmtId="0" fontId="4" fillId="0" borderId="6" xfId="194" applyFill="1" applyBorder="1" applyAlignment="1" applyProtection="1">
      <alignment horizontal="left" vertical="top"/>
      <protection locked="0" hidden="1"/>
    </xf>
    <xf numFmtId="0" fontId="4" fillId="21" borderId="6" xfId="194" applyFill="1" applyBorder="1" applyAlignment="1" applyProtection="1">
      <alignment horizontal="left" vertical="top"/>
      <protection locked="0" hidden="1"/>
    </xf>
    <xf numFmtId="0" fontId="4" fillId="24" borderId="11" xfId="194" applyFill="1" applyBorder="1" applyAlignment="1" applyProtection="1">
      <alignment horizontal="left" vertical="top"/>
      <protection locked="0" hidden="1"/>
    </xf>
    <xf numFmtId="0" fontId="4" fillId="0" borderId="9" xfId="194" applyFill="1" applyBorder="1" applyAlignment="1" applyProtection="1">
      <alignment horizontal="left" vertical="top"/>
      <protection locked="0" hidden="1"/>
    </xf>
    <xf numFmtId="0" fontId="4" fillId="24" borderId="9" xfId="194" applyFill="1" applyBorder="1" applyAlignment="1" applyProtection="1">
      <alignment horizontal="left" vertical="top"/>
      <protection locked="0" hidden="1"/>
    </xf>
    <xf numFmtId="0" fontId="4" fillId="21" borderId="9" xfId="194" applyFill="1" applyBorder="1" applyAlignment="1" applyProtection="1">
      <alignment horizontal="left" vertical="top"/>
      <protection locked="0" hidden="1"/>
    </xf>
    <xf numFmtId="0" fontId="35" fillId="25" borderId="30" xfId="194" applyFont="1" applyFill="1" applyBorder="1" applyAlignment="1" applyProtection="1">
      <alignment wrapText="1"/>
      <protection hidden="1"/>
    </xf>
    <xf numFmtId="0" fontId="32" fillId="0" borderId="38" xfId="194" applyFont="1" applyBorder="1" applyAlignment="1" applyProtection="1">
      <alignment horizontal="center" vertical="center" wrapText="1"/>
      <protection hidden="1"/>
    </xf>
    <xf numFmtId="0" fontId="4" fillId="0" borderId="39" xfId="194" applyFill="1" applyBorder="1" applyProtection="1">
      <protection hidden="1"/>
    </xf>
    <xf numFmtId="0" fontId="4" fillId="0" borderId="15" xfId="194" applyBorder="1" applyAlignment="1" applyProtection="1">
      <alignment vertical="center" wrapText="1"/>
      <protection hidden="1"/>
    </xf>
    <xf numFmtId="0" fontId="34" fillId="0" borderId="6" xfId="194" applyFont="1" applyBorder="1" applyProtection="1">
      <protection hidden="1"/>
    </xf>
    <xf numFmtId="2" fontId="34" fillId="22" borderId="6" xfId="194" applyNumberFormat="1" applyFont="1" applyFill="1" applyBorder="1" applyProtection="1">
      <protection hidden="1"/>
    </xf>
    <xf numFmtId="0" fontId="33" fillId="0" borderId="0" xfId="194" applyFont="1" applyBorder="1" applyAlignment="1" applyProtection="1">
      <alignment horizontal="center" vertical="center" wrapText="1"/>
      <protection hidden="1"/>
    </xf>
    <xf numFmtId="2" fontId="4" fillId="26" borderId="3" xfId="194" applyNumberFormat="1" applyFill="1" applyBorder="1" applyAlignment="1" applyProtection="1">
      <alignment horizontal="left" vertical="top"/>
      <protection hidden="1"/>
    </xf>
    <xf numFmtId="2" fontId="4" fillId="26" borderId="6" xfId="194" applyNumberFormat="1" applyFill="1" applyBorder="1" applyAlignment="1" applyProtection="1">
      <alignment horizontal="left" vertical="top"/>
      <protection hidden="1"/>
    </xf>
    <xf numFmtId="2" fontId="4" fillId="26" borderId="9" xfId="194" applyNumberFormat="1" applyFill="1" applyBorder="1" applyAlignment="1" applyProtection="1">
      <alignment horizontal="left" vertical="top"/>
      <protection hidden="1"/>
    </xf>
    <xf numFmtId="164" fontId="4" fillId="26" borderId="3" xfId="194" quotePrefix="1" applyNumberFormat="1" applyFill="1" applyBorder="1" applyAlignment="1" applyProtection="1">
      <alignment horizontal="left" vertical="top"/>
      <protection hidden="1"/>
    </xf>
    <xf numFmtId="164" fontId="4" fillId="26" borderId="6" xfId="194" quotePrefix="1" applyNumberFormat="1" applyFill="1" applyBorder="1" applyAlignment="1" applyProtection="1">
      <alignment horizontal="left" vertical="top"/>
      <protection hidden="1"/>
    </xf>
    <xf numFmtId="164" fontId="4" fillId="26" borderId="9" xfId="194" quotePrefix="1" applyNumberFormat="1" applyFill="1" applyBorder="1" applyAlignment="1" applyProtection="1">
      <alignment horizontal="left" vertical="top"/>
      <protection hidden="1"/>
    </xf>
    <xf numFmtId="164" fontId="4" fillId="26" borderId="4" xfId="194" applyNumberFormat="1" applyFill="1" applyBorder="1" applyProtection="1">
      <protection hidden="1"/>
    </xf>
    <xf numFmtId="164" fontId="4" fillId="26" borderId="7" xfId="194" applyNumberFormat="1" applyFill="1" applyBorder="1" applyProtection="1">
      <protection hidden="1"/>
    </xf>
    <xf numFmtId="164" fontId="4" fillId="26" borderId="10" xfId="194" applyNumberFormat="1" applyFill="1" applyBorder="1" applyProtection="1">
      <protection hidden="1"/>
    </xf>
    <xf numFmtId="164" fontId="4" fillId="0" borderId="6" xfId="194" applyNumberForma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" fillId="32" borderId="0" xfId="194" applyFill="1" applyAlignment="1">
      <alignment horizontal="left"/>
    </xf>
    <xf numFmtId="9" fontId="4" fillId="0" borderId="0" xfId="194" applyNumberFormat="1" applyAlignment="1">
      <alignment horizontal="left" vertical="top" wrapText="1"/>
    </xf>
    <xf numFmtId="165" fontId="4" fillId="33" borderId="0" xfId="194" applyNumberFormat="1" applyFill="1" applyAlignment="1">
      <alignment horizontal="left" vertical="center" wrapText="1"/>
    </xf>
    <xf numFmtId="2" fontId="4" fillId="32" borderId="0" xfId="194" applyNumberFormat="1" applyFill="1" applyAlignment="1">
      <alignment horizontal="left" vertical="top" wrapText="1"/>
    </xf>
    <xf numFmtId="2" fontId="4" fillId="32" borderId="0" xfId="194" applyNumberFormat="1" applyFont="1" applyFill="1" applyBorder="1" applyAlignment="1">
      <alignment horizontal="left" vertical="top" wrapText="1"/>
    </xf>
    <xf numFmtId="0" fontId="3" fillId="0" borderId="0" xfId="239"/>
    <xf numFmtId="0" fontId="3" fillId="0" borderId="40" xfId="239" applyBorder="1"/>
    <xf numFmtId="0" fontId="3" fillId="34" borderId="41" xfId="239" applyFill="1" applyBorder="1" applyAlignment="1">
      <alignment horizontal="center"/>
    </xf>
    <xf numFmtId="0" fontId="35" fillId="35" borderId="41" xfId="239" applyFont="1" applyFill="1" applyBorder="1" applyAlignment="1">
      <alignment horizontal="center"/>
    </xf>
    <xf numFmtId="165" fontId="35" fillId="0" borderId="42" xfId="240" applyNumberFormat="1" applyFont="1" applyBorder="1" applyAlignment="1">
      <alignment horizontal="center"/>
    </xf>
    <xf numFmtId="0" fontId="4" fillId="0" borderId="33" xfId="194" applyBorder="1" applyAlignment="1">
      <alignment horizontal="right"/>
    </xf>
    <xf numFmtId="0" fontId="4" fillId="34" borderId="0" xfId="194" applyFill="1" applyBorder="1" applyAlignment="1">
      <alignment horizontal="center" vertical="top" wrapText="1"/>
    </xf>
    <xf numFmtId="2" fontId="3" fillId="35" borderId="0" xfId="239" applyNumberFormat="1" applyFill="1" applyBorder="1" applyAlignment="1">
      <alignment horizontal="center"/>
    </xf>
    <xf numFmtId="165" fontId="35" fillId="0" borderId="32" xfId="240" applyNumberFormat="1" applyFont="1" applyBorder="1" applyAlignment="1">
      <alignment horizontal="center"/>
    </xf>
    <xf numFmtId="0" fontId="4" fillId="0" borderId="37" xfId="194" applyBorder="1" applyAlignment="1">
      <alignment horizontal="right"/>
    </xf>
    <xf numFmtId="0" fontId="4" fillId="34" borderId="43" xfId="194" applyFont="1" applyFill="1" applyBorder="1" applyAlignment="1">
      <alignment horizontal="center" vertical="top" wrapText="1"/>
    </xf>
    <xf numFmtId="2" fontId="42" fillId="35" borderId="43" xfId="239" applyNumberFormat="1" applyFont="1" applyFill="1" applyBorder="1" applyAlignment="1">
      <alignment horizontal="center"/>
    </xf>
    <xf numFmtId="165" fontId="35" fillId="0" borderId="36" xfId="240" applyNumberFormat="1" applyFont="1" applyBorder="1" applyAlignment="1">
      <alignment horizontal="center"/>
    </xf>
    <xf numFmtId="166" fontId="4" fillId="32" borderId="6" xfId="194" applyNumberFormat="1" applyFill="1" applyBorder="1" applyAlignment="1">
      <alignment horizontal="left" vertical="top"/>
    </xf>
    <xf numFmtId="0" fontId="8" fillId="0" borderId="0" xfId="0" applyFont="1" applyAlignment="1">
      <alignment vertical="center" wrapText="1"/>
    </xf>
    <xf numFmtId="0" fontId="3" fillId="0" borderId="0" xfId="239" applyAlignment="1">
      <alignment horizontal="center"/>
    </xf>
    <xf numFmtId="0" fontId="4" fillId="0" borderId="0" xfId="194" applyFill="1" applyAlignment="1">
      <alignment horizontal="center"/>
    </xf>
    <xf numFmtId="2" fontId="3" fillId="0" borderId="0" xfId="239" applyNumberFormat="1" applyAlignment="1">
      <alignment horizontal="center"/>
    </xf>
    <xf numFmtId="0" fontId="8" fillId="0" borderId="0" xfId="0" applyFont="1" applyAlignment="1">
      <alignment horizontal="right"/>
    </xf>
    <xf numFmtId="0" fontId="3" fillId="0" borderId="44" xfId="239" applyBorder="1" applyAlignment="1">
      <alignment horizontal="center"/>
    </xf>
    <xf numFmtId="164" fontId="3" fillId="0" borderId="44" xfId="239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32" fillId="0" borderId="0" xfId="194" applyFont="1"/>
    <xf numFmtId="0" fontId="32" fillId="0" borderId="0" xfId="194" applyFont="1" applyFill="1"/>
    <xf numFmtId="0" fontId="43" fillId="0" borderId="0" xfId="194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46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48" xfId="0" applyNumberForma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8" xfId="0" applyBorder="1"/>
    <xf numFmtId="0" fontId="0" fillId="0" borderId="52" xfId="0" applyBorder="1"/>
    <xf numFmtId="0" fontId="41" fillId="0" borderId="0" xfId="0" applyFont="1"/>
    <xf numFmtId="1" fontId="0" fillId="0" borderId="0" xfId="0" applyNumberFormat="1" applyBorder="1"/>
    <xf numFmtId="0" fontId="0" fillId="0" borderId="45" xfId="0" applyBorder="1"/>
    <xf numFmtId="0" fontId="0" fillId="0" borderId="1" xfId="0" applyBorder="1"/>
    <xf numFmtId="1" fontId="0" fillId="0" borderId="1" xfId="0" applyNumberFormat="1" applyBorder="1"/>
    <xf numFmtId="0" fontId="0" fillId="0" borderId="47" xfId="0" applyBorder="1"/>
    <xf numFmtId="1" fontId="0" fillId="0" borderId="0" xfId="0" applyNumberFormat="1"/>
    <xf numFmtId="0" fontId="0" fillId="0" borderId="47" xfId="0" applyFill="1" applyBorder="1"/>
    <xf numFmtId="0" fontId="0" fillId="0" borderId="0" xfId="0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Fill="1"/>
    <xf numFmtId="167" fontId="0" fillId="36" borderId="44" xfId="0" applyNumberFormat="1" applyFill="1" applyBorder="1"/>
    <xf numFmtId="0" fontId="0" fillId="0" borderId="0" xfId="0" applyFill="1" applyAlignment="1">
      <alignment horizontal="right"/>
    </xf>
    <xf numFmtId="167" fontId="0" fillId="0" borderId="0" xfId="0" applyNumberFormat="1" applyFill="1" applyBorder="1"/>
    <xf numFmtId="167" fontId="0" fillId="37" borderId="44" xfId="0" applyNumberFormat="1" applyFill="1" applyBorder="1"/>
    <xf numFmtId="167" fontId="0" fillId="0" borderId="0" xfId="0" applyNumberFormat="1" applyFill="1" applyBorder="1" applyAlignment="1">
      <alignment horizontal="right"/>
    </xf>
    <xf numFmtId="0" fontId="0" fillId="38" borderId="52" xfId="0" applyFill="1" applyBorder="1"/>
    <xf numFmtId="0" fontId="0" fillId="36" borderId="44" xfId="0" applyFill="1" applyBorder="1"/>
    <xf numFmtId="0" fontId="0" fillId="0" borderId="0" xfId="0" applyAlignment="1">
      <alignment horizontal="right"/>
    </xf>
    <xf numFmtId="0" fontId="8" fillId="38" borderId="52" xfId="0" applyFont="1" applyFill="1" applyBorder="1"/>
    <xf numFmtId="0" fontId="8" fillId="0" borderId="0" xfId="0" applyFont="1" applyFill="1" applyBorder="1"/>
    <xf numFmtId="0" fontId="0" fillId="37" borderId="44" xfId="0" applyFill="1" applyBorder="1"/>
    <xf numFmtId="0" fontId="0" fillId="0" borderId="53" xfId="0" applyBorder="1"/>
    <xf numFmtId="0" fontId="0" fillId="0" borderId="54" xfId="0" applyBorder="1"/>
    <xf numFmtId="164" fontId="0" fillId="36" borderId="44" xfId="0" applyNumberFormat="1" applyFill="1" applyBorder="1"/>
    <xf numFmtId="164" fontId="0" fillId="36" borderId="55" xfId="0" applyNumberFormat="1" applyFill="1" applyBorder="1"/>
    <xf numFmtId="0" fontId="0" fillId="0" borderId="56" xfId="0" applyBorder="1"/>
    <xf numFmtId="164" fontId="0" fillId="0" borderId="0" xfId="0" applyNumberFormat="1" applyFill="1" applyBorder="1"/>
    <xf numFmtId="0" fontId="0" fillId="36" borderId="55" xfId="0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0" xfId="0" applyNumberFormat="1" applyFill="1" applyBorder="1" applyAlignment="1"/>
    <xf numFmtId="0" fontId="0" fillId="0" borderId="0" xfId="0" applyNumberFormat="1" applyAlignment="1"/>
    <xf numFmtId="2" fontId="0" fillId="0" borderId="0" xfId="0" applyNumberFormat="1" applyFill="1" applyBorder="1" applyAlignment="1"/>
    <xf numFmtId="2" fontId="0" fillId="0" borderId="0" xfId="0" applyNumberFormat="1" applyAlignment="1"/>
    <xf numFmtId="2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2" fontId="49" fillId="0" borderId="0" xfId="0" applyNumberFormat="1" applyFont="1" applyFill="1" applyBorder="1" applyAlignment="1" applyProtection="1">
      <alignment horizontal="center" vertical="center"/>
      <protection hidden="1"/>
    </xf>
    <xf numFmtId="2" fontId="5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 applyProtection="1">
      <alignment vertical="top" wrapText="1"/>
      <protection hidden="1"/>
    </xf>
    <xf numFmtId="0" fontId="41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2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>
      <alignment vertical="top"/>
    </xf>
    <xf numFmtId="2" fontId="41" fillId="43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44" fillId="40" borderId="7" xfId="0" applyFont="1" applyFill="1" applyBorder="1" applyAlignment="1" applyProtection="1">
      <alignment horizontal="left" vertical="top" wrapText="1"/>
      <protection hidden="1"/>
    </xf>
    <xf numFmtId="0" fontId="44" fillId="40" borderId="44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>
      <alignment vertical="top" wrapText="1"/>
    </xf>
    <xf numFmtId="2" fontId="49" fillId="38" borderId="10" xfId="0" applyNumberFormat="1" applyFont="1" applyFill="1" applyBorder="1" applyAlignment="1" applyProtection="1">
      <alignment horizontal="center" vertical="center"/>
      <protection hidden="1"/>
    </xf>
    <xf numFmtId="0" fontId="49" fillId="38" borderId="9" xfId="0" applyFont="1" applyFill="1" applyBorder="1" applyAlignment="1" applyProtection="1">
      <alignment horizontal="center" vertical="center"/>
      <protection hidden="1"/>
    </xf>
    <xf numFmtId="2" fontId="8" fillId="38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8" fillId="38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8" borderId="9" xfId="0" applyFill="1" applyBorder="1" applyAlignment="1" applyProtection="1">
      <alignment vertical="center"/>
      <protection hidden="1"/>
    </xf>
    <xf numFmtId="168" fontId="8" fillId="40" borderId="4" xfId="0" applyNumberFormat="1" applyFont="1" applyFill="1" applyBorder="1" applyAlignment="1" applyProtection="1">
      <alignment horizontal="center" vertical="center" wrapText="1"/>
      <protection hidden="1"/>
    </xf>
    <xf numFmtId="0" fontId="49" fillId="38" borderId="3" xfId="0" applyFont="1" applyFill="1" applyBorder="1" applyAlignment="1" applyProtection="1">
      <alignment horizontal="center" vertical="center"/>
      <protection hidden="1"/>
    </xf>
    <xf numFmtId="2" fontId="8" fillId="38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8" fillId="38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38" borderId="3" xfId="0" applyFill="1" applyBorder="1" applyAlignment="1" applyProtection="1">
      <alignment vertical="center"/>
      <protection hidden="1"/>
    </xf>
    <xf numFmtId="2" fontId="49" fillId="38" borderId="70" xfId="0" applyNumberFormat="1" applyFont="1" applyFill="1" applyBorder="1" applyAlignment="1" applyProtection="1">
      <alignment horizontal="center" vertical="center"/>
      <protection hidden="1"/>
    </xf>
    <xf numFmtId="0" fontId="49" fillId="38" borderId="12" xfId="0" applyFont="1" applyFill="1" applyBorder="1" applyAlignment="1" applyProtection="1">
      <alignment horizontal="center" vertical="center"/>
      <protection hidden="1"/>
    </xf>
    <xf numFmtId="2" fontId="8" fillId="38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8" borderId="12" xfId="0" applyFill="1" applyBorder="1" applyAlignment="1" applyProtection="1">
      <alignment vertical="center"/>
      <protection hidden="1"/>
    </xf>
    <xf numFmtId="0" fontId="0" fillId="40" borderId="70" xfId="0" applyFill="1" applyBorder="1" applyAlignment="1" applyProtection="1">
      <alignment vertical="top" wrapText="1"/>
      <protection hidden="1"/>
    </xf>
    <xf numFmtId="0" fontId="0" fillId="40" borderId="12" xfId="0" applyFill="1" applyBorder="1" applyAlignment="1" applyProtection="1">
      <alignment vertical="top" wrapText="1"/>
      <protection hidden="1"/>
    </xf>
    <xf numFmtId="0" fontId="0" fillId="40" borderId="12" xfId="0" applyFill="1" applyBorder="1" applyAlignment="1" applyProtection="1">
      <alignment vertical="top"/>
      <protection hidden="1"/>
    </xf>
    <xf numFmtId="0" fontId="41" fillId="38" borderId="52" xfId="0" applyFont="1" applyFill="1" applyBorder="1" applyAlignment="1" applyProtection="1">
      <alignment horizontal="left" vertical="top"/>
      <protection hidden="1"/>
    </xf>
    <xf numFmtId="0" fontId="0" fillId="0" borderId="57" xfId="0" applyBorder="1" applyAlignment="1" applyProtection="1">
      <alignment horizontal="left" vertical="top"/>
      <protection locked="0"/>
    </xf>
    <xf numFmtId="0" fontId="0" fillId="40" borderId="11" xfId="0" applyFill="1" applyBorder="1" applyAlignment="1" applyProtection="1">
      <alignment horizontal="left" vertical="top"/>
      <protection hidden="1"/>
    </xf>
    <xf numFmtId="1" fontId="0" fillId="38" borderId="7" xfId="0" applyNumberFormat="1" applyFont="1" applyFill="1" applyBorder="1" applyAlignment="1" applyProtection="1">
      <alignment horizontal="left" vertical="top"/>
      <protection hidden="1"/>
    </xf>
    <xf numFmtId="2" fontId="0" fillId="38" borderId="44" xfId="0" applyNumberFormat="1" applyFont="1" applyFill="1" applyBorder="1" applyAlignment="1" applyProtection="1">
      <alignment horizontal="left" vertical="top"/>
      <protection hidden="1"/>
    </xf>
    <xf numFmtId="2" fontId="0" fillId="38" borderId="44" xfId="0" applyNumberFormat="1" applyFill="1" applyBorder="1" applyAlignment="1" applyProtection="1">
      <alignment horizontal="left" vertical="top"/>
      <protection locked="0"/>
    </xf>
    <xf numFmtId="0" fontId="0" fillId="36" borderId="9" xfId="0" applyFont="1" applyFill="1" applyBorder="1" applyAlignment="1" applyProtection="1">
      <alignment vertical="top" wrapText="1"/>
      <protection locked="0"/>
    </xf>
    <xf numFmtId="0" fontId="0" fillId="36" borderId="44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 wrapText="1"/>
    </xf>
    <xf numFmtId="0" fontId="0" fillId="40" borderId="7" xfId="0" applyFont="1" applyFill="1" applyBorder="1" applyAlignment="1" applyProtection="1">
      <alignment vertical="top"/>
      <protection hidden="1"/>
    </xf>
    <xf numFmtId="0" fontId="0" fillId="40" borderId="44" xfId="0" applyFont="1" applyFill="1" applyBorder="1" applyAlignment="1" applyProtection="1">
      <alignment vertical="top"/>
      <protection hidden="1"/>
    </xf>
    <xf numFmtId="0" fontId="0" fillId="40" borderId="44" xfId="0" applyFont="1" applyFill="1" applyBorder="1" applyAlignment="1" applyProtection="1">
      <alignment vertical="top" wrapText="1"/>
      <protection hidden="1"/>
    </xf>
    <xf numFmtId="0" fontId="0" fillId="40" borderId="9" xfId="0" applyFill="1" applyBorder="1" applyAlignment="1" applyProtection="1">
      <alignment vertical="top"/>
      <protection hidden="1"/>
    </xf>
    <xf numFmtId="0" fontId="0" fillId="0" borderId="0" xfId="0" applyBorder="1" applyAlignment="1"/>
    <xf numFmtId="0" fontId="0" fillId="0" borderId="0" xfId="0" applyAlignment="1">
      <alignment vertical="top"/>
    </xf>
    <xf numFmtId="0" fontId="54" fillId="0" borderId="0" xfId="0" applyFont="1" applyFill="1" applyAlignment="1">
      <alignment vertical="top"/>
    </xf>
    <xf numFmtId="0" fontId="0" fillId="0" borderId="0" xfId="0" applyFill="1" applyAlignment="1"/>
    <xf numFmtId="0" fontId="0" fillId="0" borderId="5" xfId="0" applyFont="1" applyFill="1" applyBorder="1" applyAlignment="1" applyProtection="1">
      <alignment vertical="top"/>
      <protection hidden="1"/>
    </xf>
    <xf numFmtId="0" fontId="0" fillId="0" borderId="5" xfId="0" applyFont="1" applyFill="1" applyBorder="1" applyAlignment="1" applyProtection="1">
      <alignment horizontal="left" vertical="top"/>
      <protection hidden="1"/>
    </xf>
    <xf numFmtId="0" fontId="0" fillId="0" borderId="5" xfId="0" applyFont="1" applyFill="1" applyBorder="1" applyAlignment="1" applyProtection="1">
      <alignment horizontal="left" vertical="top" wrapText="1"/>
      <protection hidden="1"/>
    </xf>
    <xf numFmtId="0" fontId="0" fillId="0" borderId="8" xfId="0" applyFont="1" applyFill="1" applyBorder="1" applyAlignment="1" applyProtection="1">
      <alignment horizontal="left" vertical="top" wrapText="1"/>
      <protection hidden="1"/>
    </xf>
    <xf numFmtId="0" fontId="0" fillId="0" borderId="71" xfId="0" applyFill="1" applyBorder="1" applyAlignment="1" applyProtection="1">
      <alignment vertical="top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0" fillId="0" borderId="8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67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vertical="center" wrapText="1"/>
      <protection hidden="1"/>
    </xf>
    <xf numFmtId="0" fontId="44" fillId="0" borderId="5" xfId="0" applyFont="1" applyFill="1" applyBorder="1" applyAlignment="1" applyProtection="1">
      <alignment horizontal="left" vertical="top" wrapText="1"/>
      <protection hidden="1"/>
    </xf>
    <xf numFmtId="2" fontId="0" fillId="0" borderId="0" xfId="0" applyNumberFormat="1" applyFill="1" applyAlignment="1"/>
    <xf numFmtId="0" fontId="0" fillId="0" borderId="0" xfId="0" applyNumberFormat="1" applyFill="1" applyAlignment="1"/>
    <xf numFmtId="2" fontId="41" fillId="0" borderId="0" xfId="0" applyNumberFormat="1" applyFont="1" applyFill="1" applyBorder="1" applyAlignment="1" applyProtection="1">
      <alignment horizontal="left" vertical="top"/>
      <protection hidden="1"/>
    </xf>
    <xf numFmtId="2" fontId="0" fillId="0" borderId="0" xfId="0" applyNumberFormat="1" applyFill="1" applyBorder="1" applyAlignment="1">
      <alignment horizontal="left"/>
    </xf>
    <xf numFmtId="2" fontId="4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vertical="top" wrapText="1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2" fontId="0" fillId="0" borderId="0" xfId="0" applyNumberFormat="1" applyFill="1" applyBorder="1" applyAlignment="1">
      <alignment vertical="center"/>
    </xf>
    <xf numFmtId="170" fontId="8" fillId="0" borderId="0" xfId="0" applyNumberFormat="1" applyFont="1" applyFill="1" applyBorder="1" applyAlignment="1" applyProtection="1">
      <alignment vertical="top"/>
      <protection hidden="1"/>
    </xf>
    <xf numFmtId="170" fontId="8" fillId="39" borderId="0" xfId="0" applyNumberFormat="1" applyFont="1" applyFill="1" applyBorder="1" applyAlignment="1" applyProtection="1">
      <alignment vertical="top"/>
      <protection hidden="1"/>
    </xf>
    <xf numFmtId="170" fontId="46" fillId="39" borderId="0" xfId="0" applyNumberFormat="1" applyFont="1" applyFill="1" applyBorder="1" applyAlignment="1" applyProtection="1">
      <alignment vertical="top"/>
      <protection hidden="1"/>
    </xf>
    <xf numFmtId="170" fontId="0" fillId="39" borderId="0" xfId="0" applyNumberFormat="1" applyFont="1" applyFill="1" applyBorder="1" applyAlignment="1" applyProtection="1">
      <alignment vertical="top"/>
      <protection hidden="1"/>
    </xf>
    <xf numFmtId="170" fontId="0" fillId="39" borderId="0" xfId="0" applyNumberFormat="1" applyFill="1" applyBorder="1" applyAlignment="1" applyProtection="1">
      <protection hidden="1"/>
    </xf>
    <xf numFmtId="170" fontId="0" fillId="39" borderId="0" xfId="0" applyNumberFormat="1" applyFill="1" applyBorder="1" applyAlignment="1" applyProtection="1">
      <alignment vertical="top"/>
      <protection hidden="1"/>
    </xf>
    <xf numFmtId="170" fontId="0" fillId="0" borderId="0" xfId="0" applyNumberFormat="1" applyFill="1" applyBorder="1" applyAlignment="1" applyProtection="1">
      <alignment vertical="top"/>
      <protection hidden="1"/>
    </xf>
    <xf numFmtId="170" fontId="8" fillId="0" borderId="0" xfId="0" applyNumberFormat="1" applyFont="1" applyAlignment="1">
      <alignment vertical="top"/>
    </xf>
    <xf numFmtId="170" fontId="0" fillId="0" borderId="0" xfId="0" applyNumberFormat="1" applyFont="1" applyAlignment="1">
      <alignment vertical="top"/>
    </xf>
    <xf numFmtId="170" fontId="0" fillId="0" borderId="0" xfId="0" applyNumberFormat="1" applyFont="1" applyFill="1" applyBorder="1" applyAlignment="1" applyProtection="1">
      <alignment horizontal="left" vertical="top"/>
      <protection hidden="1"/>
    </xf>
    <xf numFmtId="170" fontId="8" fillId="39" borderId="0" xfId="0" applyNumberFormat="1" applyFont="1" applyFill="1" applyBorder="1" applyAlignment="1" applyProtection="1">
      <alignment horizontal="left" vertical="top"/>
      <protection hidden="1"/>
    </xf>
    <xf numFmtId="170" fontId="0" fillId="39" borderId="0" xfId="0" applyNumberFormat="1" applyFont="1" applyFill="1" applyBorder="1" applyAlignment="1" applyProtection="1">
      <alignment horizontal="left" vertical="top"/>
      <protection hidden="1"/>
    </xf>
    <xf numFmtId="170" fontId="8" fillId="0" borderId="0" xfId="0" applyNumberFormat="1" applyFont="1" applyFill="1" applyBorder="1" applyAlignment="1" applyProtection="1">
      <alignment horizontal="left" vertical="top"/>
      <protection hidden="1"/>
    </xf>
    <xf numFmtId="170" fontId="0" fillId="0" borderId="0" xfId="0" applyNumberFormat="1" applyFill="1" applyBorder="1" applyAlignment="1" applyProtection="1">
      <alignment horizontal="left" vertical="top"/>
      <protection hidden="1"/>
    </xf>
    <xf numFmtId="170" fontId="48" fillId="39" borderId="0" xfId="0" applyNumberFormat="1" applyFont="1" applyFill="1" applyBorder="1" applyAlignment="1" applyProtection="1">
      <alignment vertical="top"/>
      <protection hidden="1"/>
    </xf>
    <xf numFmtId="170" fontId="48" fillId="39" borderId="0" xfId="0" applyNumberFormat="1" applyFont="1" applyFill="1" applyBorder="1" applyAlignment="1" applyProtection="1">
      <protection hidden="1"/>
    </xf>
    <xf numFmtId="170" fontId="8" fillId="39" borderId="0" xfId="0" applyNumberFormat="1" applyFont="1" applyFill="1" applyBorder="1" applyAlignment="1" applyProtection="1">
      <protection hidden="1"/>
    </xf>
    <xf numFmtId="170" fontId="46" fillId="0" borderId="0" xfId="0" applyNumberFormat="1" applyFont="1" applyFill="1" applyAlignment="1" applyProtection="1">
      <alignment vertical="top"/>
      <protection hidden="1"/>
    </xf>
    <xf numFmtId="170" fontId="0" fillId="39" borderId="0" xfId="0" applyNumberFormat="1" applyFont="1" applyFill="1" applyBorder="1" applyAlignment="1" applyProtection="1">
      <alignment vertical="top" wrapText="1"/>
      <protection hidden="1"/>
    </xf>
    <xf numFmtId="170" fontId="8" fillId="39" borderId="0" xfId="0" applyNumberFormat="1" applyFont="1" applyFill="1" applyBorder="1" applyAlignment="1" applyProtection="1">
      <alignment vertical="top" wrapText="1"/>
      <protection hidden="1"/>
    </xf>
    <xf numFmtId="170" fontId="0" fillId="0" borderId="0" xfId="0" applyNumberFormat="1" applyFont="1" applyBorder="1" applyAlignment="1">
      <alignment horizontal="left" vertical="top"/>
    </xf>
    <xf numFmtId="170" fontId="45" fillId="0" borderId="0" xfId="0" applyNumberFormat="1" applyFont="1" applyBorder="1" applyAlignment="1" applyProtection="1">
      <alignment horizontal="left" vertical="top"/>
      <protection hidden="1"/>
    </xf>
    <xf numFmtId="170" fontId="26" fillId="0" borderId="0" xfId="0" applyNumberFormat="1" applyFont="1" applyAlignment="1" applyProtection="1">
      <alignment horizontal="left" vertical="top"/>
      <protection hidden="1"/>
    </xf>
    <xf numFmtId="170" fontId="0" fillId="0" borderId="0" xfId="0" applyNumberFormat="1" applyAlignment="1" applyProtection="1">
      <alignment horizontal="left" vertical="top"/>
      <protection hidden="1"/>
    </xf>
    <xf numFmtId="170" fontId="8" fillId="0" borderId="0" xfId="0" applyNumberFormat="1" applyFont="1" applyBorder="1" applyAlignment="1" applyProtection="1">
      <alignment horizontal="left" vertical="top"/>
      <protection hidden="1"/>
    </xf>
    <xf numFmtId="170" fontId="8" fillId="0" borderId="0" xfId="0" applyNumberFormat="1" applyFont="1" applyBorder="1" applyAlignment="1" applyProtection="1">
      <alignment horizontal="left" vertical="top" wrapText="1"/>
      <protection hidden="1"/>
    </xf>
    <xf numFmtId="170" fontId="0" fillId="39" borderId="0" xfId="0" applyNumberFormat="1" applyFont="1" applyFill="1" applyBorder="1" applyAlignment="1" applyProtection="1">
      <alignment horizontal="left" vertical="top" wrapText="1"/>
      <protection hidden="1"/>
    </xf>
    <xf numFmtId="170" fontId="8" fillId="0" borderId="0" xfId="0" applyNumberFormat="1" applyFont="1" applyFill="1" applyBorder="1" applyAlignment="1" applyProtection="1">
      <protection hidden="1"/>
    </xf>
    <xf numFmtId="170" fontId="8" fillId="0" borderId="0" xfId="0" applyNumberFormat="1" applyFont="1" applyBorder="1" applyAlignment="1">
      <alignment horizontal="left" vertical="top"/>
    </xf>
    <xf numFmtId="170" fontId="47" fillId="0" borderId="0" xfId="0" applyNumberFormat="1" applyFont="1" applyAlignment="1" applyProtection="1">
      <alignment horizontal="left" vertical="top"/>
      <protection hidden="1"/>
    </xf>
    <xf numFmtId="170" fontId="47" fillId="0" borderId="0" xfId="0" applyNumberFormat="1" applyFont="1" applyAlignment="1" applyProtection="1">
      <alignment horizontal="left" vertical="top" wrapText="1"/>
      <protection hidden="1"/>
    </xf>
    <xf numFmtId="170" fontId="0" fillId="0" borderId="0" xfId="0" applyNumberFormat="1" applyFill="1" applyBorder="1" applyAlignment="1">
      <alignment horizontal="left" vertical="top"/>
    </xf>
    <xf numFmtId="170" fontId="26" fillId="0" borderId="0" xfId="0" applyNumberFormat="1" applyFont="1" applyAlignment="1" applyProtection="1">
      <alignment vertical="top"/>
      <protection hidden="1"/>
    </xf>
    <xf numFmtId="170" fontId="0" fillId="0" borderId="0" xfId="0" applyNumberFormat="1" applyAlignment="1" applyProtection="1">
      <alignment vertical="top"/>
      <protection hidden="1"/>
    </xf>
    <xf numFmtId="170" fontId="8" fillId="0" borderId="0" xfId="0" applyNumberFormat="1" applyFont="1" applyBorder="1" applyAlignment="1" applyProtection="1">
      <alignment vertical="top" wrapText="1"/>
      <protection hidden="1"/>
    </xf>
    <xf numFmtId="170" fontId="0" fillId="0" borderId="0" xfId="0" applyNumberFormat="1" applyFill="1" applyBorder="1" applyAlignment="1">
      <alignment vertical="top"/>
    </xf>
    <xf numFmtId="170" fontId="0" fillId="0" borderId="0" xfId="0" applyNumberFormat="1" applyAlignment="1">
      <alignment vertical="top"/>
    </xf>
    <xf numFmtId="170" fontId="0" fillId="0" borderId="0" xfId="0" applyNumberFormat="1" applyAlignment="1"/>
    <xf numFmtId="170" fontId="0" fillId="0" borderId="0" xfId="0" applyNumberFormat="1" applyFill="1" applyBorder="1" applyAlignment="1"/>
    <xf numFmtId="170" fontId="8" fillId="0" borderId="0" xfId="0" applyNumberFormat="1" applyFont="1" applyFill="1" applyBorder="1" applyAlignment="1" applyProtection="1">
      <alignment vertical="top" wrapText="1"/>
      <protection hidden="1"/>
    </xf>
    <xf numFmtId="170" fontId="0" fillId="0" borderId="0" xfId="0" applyNumberFormat="1" applyFill="1" applyAlignment="1">
      <alignment vertical="top"/>
    </xf>
    <xf numFmtId="170" fontId="0" fillId="0" borderId="0" xfId="0" applyNumberFormat="1" applyFont="1" applyFill="1" applyBorder="1" applyAlignment="1" applyProtection="1">
      <alignment horizontal="left" vertical="top" wrapText="1"/>
      <protection hidden="1"/>
    </xf>
    <xf numFmtId="170" fontId="0" fillId="0" borderId="0" xfId="0" applyNumberFormat="1" applyAlignment="1">
      <alignment horizontal="left" vertical="top"/>
    </xf>
    <xf numFmtId="170" fontId="0" fillId="31" borderId="0" xfId="0" applyNumberFormat="1" applyFill="1" applyBorder="1" applyAlignment="1">
      <alignment vertical="top"/>
    </xf>
    <xf numFmtId="0" fontId="32" fillId="0" borderId="51" xfId="29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protection hidden="1"/>
    </xf>
    <xf numFmtId="0" fontId="0" fillId="0" borderId="49" xfId="0" applyBorder="1" applyAlignment="1" applyProtection="1">
      <protection hidden="1"/>
    </xf>
    <xf numFmtId="0" fontId="0" fillId="0" borderId="48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47" xfId="0" applyBorder="1" applyAlignment="1" applyProtection="1">
      <protection hidden="1"/>
    </xf>
    <xf numFmtId="0" fontId="0" fillId="0" borderId="46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45" xfId="0" applyBorder="1" applyAlignment="1" applyProtection="1">
      <protection hidden="1"/>
    </xf>
    <xf numFmtId="0" fontId="1" fillId="0" borderId="50" xfId="290" applyBorder="1" applyAlignment="1" applyProtection="1">
      <alignment vertical="center" wrapText="1"/>
      <protection hidden="1"/>
    </xf>
    <xf numFmtId="2" fontId="50" fillId="38" borderId="6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 vertical="center" wrapText="1"/>
      <protection hidden="1"/>
    </xf>
    <xf numFmtId="2" fontId="50" fillId="38" borderId="4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2" xfId="0" applyNumberFormat="1" applyFont="1" applyBorder="1" applyAlignment="1" applyProtection="1">
      <alignment horizontal="center" vertical="center" wrapText="1"/>
      <protection hidden="1"/>
    </xf>
    <xf numFmtId="2" fontId="0" fillId="0" borderId="57" xfId="0" applyNumberFormat="1" applyFont="1" applyBorder="1" applyAlignment="1" applyProtection="1">
      <alignment horizontal="center" vertical="center" wrapText="1"/>
      <protection hidden="1"/>
    </xf>
    <xf numFmtId="2" fontId="0" fillId="0" borderId="58" xfId="0" applyNumberFormat="1" applyFont="1" applyBorder="1" applyAlignment="1" applyProtection="1">
      <alignment horizontal="center" vertical="center" wrapText="1"/>
      <protection hidden="1"/>
    </xf>
    <xf numFmtId="2" fontId="0" fillId="38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38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38" borderId="45" xfId="0" applyNumberFormat="1" applyFont="1" applyFill="1" applyBorder="1" applyAlignment="1" applyProtection="1">
      <alignment horizontal="center" vertical="center" wrapText="1"/>
      <protection hidden="1"/>
    </xf>
    <xf numFmtId="2" fontId="8" fillId="36" borderId="64" xfId="0" applyNumberFormat="1" applyFont="1" applyFill="1" applyBorder="1" applyAlignment="1" applyProtection="1">
      <alignment horizontal="left" vertical="top"/>
      <protection locked="0"/>
    </xf>
    <xf numFmtId="0" fontId="0" fillId="0" borderId="6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36" borderId="64" xfId="0" applyFill="1" applyBorder="1" applyAlignment="1" applyProtection="1">
      <alignment horizontal="left" vertical="top"/>
      <protection locked="0"/>
    </xf>
    <xf numFmtId="0" fontId="8" fillId="36" borderId="64" xfId="0" applyFont="1" applyFill="1" applyBorder="1" applyAlignment="1" applyProtection="1">
      <alignment horizontal="left" vertical="top"/>
      <protection locked="0"/>
    </xf>
    <xf numFmtId="2" fontId="51" fillId="38" borderId="6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1" fillId="42" borderId="67" xfId="0" applyFont="1" applyFill="1" applyBorder="1" applyAlignment="1" applyProtection="1">
      <alignment vertical="top"/>
      <protection hidden="1"/>
    </xf>
    <xf numFmtId="0" fontId="0" fillId="0" borderId="66" xfId="0" applyBorder="1" applyAlignment="1">
      <alignment vertical="top"/>
    </xf>
    <xf numFmtId="0" fontId="0" fillId="0" borderId="65" xfId="0" applyBorder="1" applyAlignment="1">
      <alignment vertical="top"/>
    </xf>
    <xf numFmtId="0" fontId="41" fillId="41" borderId="67" xfId="0" applyFont="1" applyFill="1" applyBorder="1" applyAlignment="1" applyProtection="1">
      <alignment vertical="top"/>
      <protection hidden="1"/>
    </xf>
    <xf numFmtId="0" fontId="41" fillId="41" borderId="66" xfId="0" applyFont="1" applyFill="1" applyBorder="1" applyAlignment="1">
      <alignment vertical="top"/>
    </xf>
    <xf numFmtId="0" fontId="41" fillId="41" borderId="65" xfId="0" applyFont="1" applyFill="1" applyBorder="1" applyAlignment="1">
      <alignment vertical="top"/>
    </xf>
    <xf numFmtId="0" fontId="0" fillId="40" borderId="63" xfId="0" applyFont="1" applyFill="1" applyBorder="1" applyAlignment="1" applyProtection="1">
      <alignment vertical="top" wrapText="1"/>
      <protection hidden="1"/>
    </xf>
    <xf numFmtId="0" fontId="0" fillId="40" borderId="55" xfId="0" applyFont="1" applyFill="1" applyBorder="1" applyAlignment="1" applyProtection="1">
      <alignment vertical="top" wrapText="1"/>
      <protection hidden="1"/>
    </xf>
    <xf numFmtId="0" fontId="0" fillId="40" borderId="64" xfId="0" applyFont="1" applyFill="1" applyBorder="1" applyAlignment="1" applyProtection="1">
      <alignment vertical="top" wrapText="1"/>
      <protection hidden="1"/>
    </xf>
    <xf numFmtId="0" fontId="0" fillId="40" borderId="64" xfId="0" applyFont="1" applyFill="1" applyBorder="1" applyAlignment="1" applyProtection="1">
      <alignment vertical="top"/>
      <protection hidden="1"/>
    </xf>
    <xf numFmtId="0" fontId="0" fillId="40" borderId="61" xfId="0" applyFont="1" applyFill="1" applyBorder="1" applyAlignment="1" applyProtection="1">
      <alignment vertical="top"/>
      <protection hidden="1"/>
    </xf>
    <xf numFmtId="0" fontId="0" fillId="0" borderId="62" xfId="0" applyBorder="1" applyAlignment="1">
      <alignment vertical="top"/>
    </xf>
    <xf numFmtId="0" fontId="0" fillId="0" borderId="61" xfId="0" applyBorder="1" applyAlignment="1">
      <alignment vertical="top"/>
    </xf>
    <xf numFmtId="0" fontId="41" fillId="42" borderId="51" xfId="0" applyFont="1" applyFill="1" applyBorder="1" applyAlignment="1" applyProtection="1">
      <alignment horizontal="left" vertical="top"/>
      <protection hidden="1"/>
    </xf>
    <xf numFmtId="0" fontId="0" fillId="0" borderId="50" xfId="0" applyBorder="1" applyAlignment="1"/>
    <xf numFmtId="0" fontId="0" fillId="0" borderId="49" xfId="0" applyBorder="1" applyAlignment="1"/>
    <xf numFmtId="0" fontId="8" fillId="40" borderId="64" xfId="0" applyFont="1" applyFill="1" applyBorder="1" applyAlignment="1" applyProtection="1">
      <alignment horizontal="left" vertical="top"/>
      <protection hidden="1"/>
    </xf>
    <xf numFmtId="0" fontId="0" fillId="40" borderId="64" xfId="0" applyFont="1" applyFill="1" applyBorder="1" applyAlignment="1" applyProtection="1">
      <alignment horizontal="left" vertical="top"/>
      <protection hidden="1"/>
    </xf>
    <xf numFmtId="2" fontId="52" fillId="0" borderId="60" xfId="0" applyNumberFormat="1" applyFont="1" applyFill="1" applyBorder="1" applyAlignment="1" applyProtection="1">
      <alignment horizontal="center" vertical="center"/>
      <protection locked="0" hidden="1"/>
    </xf>
    <xf numFmtId="0" fontId="52" fillId="0" borderId="41" xfId="0" applyFont="1" applyFill="1" applyBorder="1" applyAlignment="1" applyProtection="1">
      <alignment horizontal="center" vertical="center"/>
      <protection locked="0" hidden="1"/>
    </xf>
    <xf numFmtId="0" fontId="52" fillId="0" borderId="47" xfId="0" applyFont="1" applyFill="1" applyBorder="1" applyAlignment="1" applyProtection="1">
      <alignment horizontal="center" vertical="center"/>
      <protection locked="0" hidden="1"/>
    </xf>
    <xf numFmtId="0" fontId="52" fillId="0" borderId="46" xfId="0" applyFont="1" applyFill="1" applyBorder="1" applyAlignment="1" applyProtection="1">
      <alignment horizontal="center" vertical="center"/>
      <protection locked="0" hidden="1"/>
    </xf>
    <xf numFmtId="0" fontId="52" fillId="0" borderId="1" xfId="0" applyFont="1" applyFill="1" applyBorder="1" applyAlignment="1" applyProtection="1">
      <alignment horizontal="center" vertical="center"/>
      <protection locked="0" hidden="1"/>
    </xf>
    <xf numFmtId="0" fontId="52" fillId="0" borderId="45" xfId="0" applyFont="1" applyFill="1" applyBorder="1" applyAlignment="1" applyProtection="1">
      <alignment horizontal="center" vertical="center"/>
      <protection locked="0" hidden="1"/>
    </xf>
    <xf numFmtId="0" fontId="0" fillId="38" borderId="9" xfId="0" applyFill="1" applyBorder="1" applyAlignment="1" applyProtection="1">
      <alignment vertical="center"/>
      <protection hidden="1"/>
    </xf>
    <xf numFmtId="2" fontId="49" fillId="38" borderId="9" xfId="0" applyNumberFormat="1" applyFont="1" applyFill="1" applyBorder="1" applyAlignment="1" applyProtection="1">
      <alignment horizontal="center" vertical="center"/>
      <protection hidden="1"/>
    </xf>
    <xf numFmtId="0" fontId="0" fillId="38" borderId="2" xfId="0" applyFill="1" applyBorder="1" applyAlignment="1" applyProtection="1">
      <alignment vertical="center"/>
      <protection hidden="1"/>
    </xf>
    <xf numFmtId="0" fontId="0" fillId="38" borderId="3" xfId="0" applyFill="1" applyBorder="1" applyAlignment="1" applyProtection="1">
      <alignment vertical="center"/>
      <protection hidden="1"/>
    </xf>
    <xf numFmtId="2" fontId="49" fillId="38" borderId="74" xfId="0" applyNumberFormat="1" applyFont="1" applyFill="1" applyBorder="1" applyAlignment="1" applyProtection="1">
      <alignment horizontal="center" vertical="center"/>
      <protection hidden="1"/>
    </xf>
    <xf numFmtId="2" fontId="49" fillId="38" borderId="3" xfId="0" applyNumberFormat="1" applyFont="1" applyFill="1" applyBorder="1" applyAlignment="1" applyProtection="1">
      <alignment horizontal="center" vertical="center"/>
      <protection hidden="1"/>
    </xf>
    <xf numFmtId="0" fontId="0" fillId="38" borderId="8" xfId="0" applyFill="1" applyBorder="1" applyAlignment="1" applyProtection="1">
      <alignment vertical="center"/>
      <protection hidden="1"/>
    </xf>
    <xf numFmtId="2" fontId="49" fillId="38" borderId="72" xfId="0" applyNumberFormat="1" applyFont="1" applyFill="1" applyBorder="1" applyAlignment="1" applyProtection="1">
      <alignment horizontal="center" vertical="center"/>
      <protection hidden="1"/>
    </xf>
    <xf numFmtId="0" fontId="41" fillId="42" borderId="67" xfId="0" applyFont="1" applyFill="1" applyBorder="1" applyAlignment="1" applyProtection="1">
      <alignment horizontal="left" vertical="top"/>
      <protection hidden="1"/>
    </xf>
    <xf numFmtId="0" fontId="0" fillId="0" borderId="66" xfId="0" applyBorder="1" applyAlignment="1" applyProtection="1">
      <alignment horizontal="left" vertical="top"/>
      <protection hidden="1"/>
    </xf>
    <xf numFmtId="0" fontId="0" fillId="0" borderId="65" xfId="0" applyBorder="1" applyAlignment="1" applyProtection="1">
      <alignment horizontal="left" vertical="top"/>
      <protection hidden="1"/>
    </xf>
    <xf numFmtId="0" fontId="41" fillId="42" borderId="67" xfId="0" applyFont="1" applyFill="1" applyBorder="1" applyAlignment="1" applyProtection="1">
      <alignment vertical="top" wrapText="1"/>
      <protection hidden="1"/>
    </xf>
    <xf numFmtId="0" fontId="0" fillId="0" borderId="6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48" fillId="40" borderId="63" xfId="0" applyFont="1" applyFill="1" applyBorder="1" applyAlignment="1" applyProtection="1">
      <alignment horizontal="left" vertical="top"/>
      <protection hidden="1"/>
    </xf>
    <xf numFmtId="0" fontId="0" fillId="0" borderId="62" xfId="0" applyBorder="1" applyAlignment="1"/>
    <xf numFmtId="0" fontId="52" fillId="0" borderId="71" xfId="0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0" fillId="38" borderId="71" xfId="0" applyFill="1" applyBorder="1" applyAlignment="1" applyProtection="1">
      <alignment vertical="center"/>
      <protection hidden="1"/>
    </xf>
    <xf numFmtId="0" fontId="0" fillId="38" borderId="12" xfId="0" applyFill="1" applyBorder="1" applyAlignment="1" applyProtection="1">
      <alignment vertical="center"/>
      <protection hidden="1"/>
    </xf>
    <xf numFmtId="2" fontId="49" fillId="38" borderId="42" xfId="0" applyNumberFormat="1" applyFont="1" applyFill="1" applyBorder="1" applyAlignment="1" applyProtection="1">
      <alignment horizontal="center" vertical="center"/>
      <protection hidden="1"/>
    </xf>
    <xf numFmtId="2" fontId="49" fillId="38" borderId="12" xfId="0" applyNumberFormat="1" applyFont="1" applyFill="1" applyBorder="1" applyAlignment="1" applyProtection="1">
      <alignment horizontal="center" vertical="center"/>
      <protection hidden="1"/>
    </xf>
    <xf numFmtId="0" fontId="52" fillId="0" borderId="70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vertical="top"/>
      <protection hidden="1"/>
    </xf>
    <xf numFmtId="0" fontId="0" fillId="0" borderId="65" xfId="0" applyBorder="1" applyAlignment="1" applyProtection="1">
      <alignment vertical="top"/>
      <protection hidden="1"/>
    </xf>
    <xf numFmtId="0" fontId="0" fillId="40" borderId="40" xfId="0" applyFill="1" applyBorder="1" applyAlignment="1" applyProtection="1">
      <alignment vertical="top"/>
      <protection hidden="1"/>
    </xf>
    <xf numFmtId="0" fontId="0" fillId="0" borderId="42" xfId="0" applyBorder="1" applyAlignment="1" applyProtection="1">
      <alignment vertical="top"/>
      <protection hidden="1"/>
    </xf>
    <xf numFmtId="0" fontId="0" fillId="40" borderId="12" xfId="0" applyFill="1" applyBorder="1" applyAlignment="1" applyProtection="1">
      <alignment vertical="top" wrapText="1"/>
      <protection hidden="1"/>
    </xf>
    <xf numFmtId="0" fontId="0" fillId="38" borderId="44" xfId="0" applyFont="1" applyFill="1" applyBorder="1" applyAlignment="1" applyProtection="1">
      <alignment vertical="top"/>
      <protection hidden="1"/>
    </xf>
    <xf numFmtId="0" fontId="0" fillId="38" borderId="9" xfId="0" applyFont="1" applyFill="1" applyBorder="1" applyAlignment="1" applyProtection="1">
      <alignment vertical="top"/>
      <protection hidden="1"/>
    </xf>
    <xf numFmtId="0" fontId="0" fillId="40" borderId="63" xfId="0" applyFill="1" applyBorder="1" applyAlignment="1" applyProtection="1">
      <alignment vertical="top"/>
      <protection hidden="1"/>
    </xf>
    <xf numFmtId="0" fontId="0" fillId="40" borderId="62" xfId="0" applyFill="1" applyBorder="1" applyAlignment="1" applyProtection="1">
      <alignment vertical="top"/>
      <protection hidden="1"/>
    </xf>
    <xf numFmtId="0" fontId="0" fillId="40" borderId="55" xfId="0" applyFill="1" applyBorder="1" applyAlignment="1" applyProtection="1">
      <alignment vertical="top"/>
      <protection hidden="1"/>
    </xf>
    <xf numFmtId="0" fontId="0" fillId="0" borderId="64" xfId="0" applyBorder="1" applyAlignment="1" applyProtection="1">
      <alignment vertical="top"/>
      <protection locked="0"/>
    </xf>
    <xf numFmtId="0" fontId="0" fillId="0" borderId="62" xfId="0" applyBorder="1" applyAlignment="1" applyProtection="1">
      <alignment vertical="top"/>
      <protection locked="0"/>
    </xf>
    <xf numFmtId="0" fontId="0" fillId="0" borderId="61" xfId="0" applyBorder="1" applyAlignment="1" applyProtection="1">
      <alignment vertical="top"/>
      <protection locked="0"/>
    </xf>
    <xf numFmtId="0" fontId="0" fillId="36" borderId="64" xfId="0" applyFill="1" applyBorder="1" applyAlignment="1" applyProtection="1">
      <alignment vertical="top"/>
      <protection locked="0"/>
    </xf>
    <xf numFmtId="0" fontId="0" fillId="36" borderId="62" xfId="0" applyFill="1" applyBorder="1" applyAlignment="1" applyProtection="1">
      <alignment vertical="top"/>
      <protection locked="0"/>
    </xf>
    <xf numFmtId="0" fontId="0" fillId="36" borderId="59" xfId="0" applyFill="1" applyBorder="1" applyAlignment="1" applyProtection="1">
      <alignment vertical="top"/>
      <protection locked="0"/>
    </xf>
    <xf numFmtId="0" fontId="0" fillId="40" borderId="46" xfId="0" applyFill="1" applyBorder="1" applyAlignment="1" applyProtection="1">
      <alignment vertical="top"/>
      <protection hidden="1"/>
    </xf>
    <xf numFmtId="0" fontId="0" fillId="40" borderId="1" xfId="0" applyFill="1" applyBorder="1" applyAlignment="1" applyProtection="1">
      <alignment vertical="top"/>
      <protection hidden="1"/>
    </xf>
    <xf numFmtId="0" fontId="0" fillId="40" borderId="58" xfId="0" applyFill="1" applyBorder="1" applyAlignment="1" applyProtection="1">
      <alignment vertical="top"/>
      <protection hidden="1"/>
    </xf>
    <xf numFmtId="0" fontId="0" fillId="0" borderId="66" xfId="0" applyFont="1" applyBorder="1" applyAlignment="1" applyProtection="1">
      <alignment vertical="top"/>
      <protection hidden="1"/>
    </xf>
    <xf numFmtId="0" fontId="0" fillId="0" borderId="65" xfId="0" applyFont="1" applyBorder="1" applyAlignment="1" applyProtection="1">
      <alignment vertical="top"/>
      <protection hidden="1"/>
    </xf>
    <xf numFmtId="0" fontId="0" fillId="40" borderId="44" xfId="0" applyFont="1" applyFill="1" applyBorder="1" applyAlignment="1" applyProtection="1">
      <alignment vertical="top"/>
      <protection hidden="1"/>
    </xf>
    <xf numFmtId="0" fontId="0" fillId="0" borderId="44" xfId="0" applyFont="1" applyBorder="1" applyAlignment="1" applyProtection="1">
      <alignment vertical="top"/>
      <protection hidden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41" fillId="42" borderId="2" xfId="0" applyFont="1" applyFill="1" applyBorder="1" applyAlignment="1" applyProtection="1">
      <alignment vertical="top"/>
      <protection hidden="1"/>
    </xf>
    <xf numFmtId="0" fontId="0" fillId="0" borderId="3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40" borderId="5" xfId="0" applyFill="1" applyBorder="1" applyAlignment="1" applyProtection="1">
      <alignment vertical="top"/>
      <protection hidden="1"/>
    </xf>
    <xf numFmtId="0" fontId="0" fillId="40" borderId="44" xfId="0" applyFill="1" applyBorder="1" applyAlignment="1" applyProtection="1">
      <alignment vertical="top"/>
      <protection hidden="1"/>
    </xf>
    <xf numFmtId="0" fontId="0" fillId="36" borderId="44" xfId="0" applyFill="1" applyBorder="1" applyAlignment="1" applyProtection="1">
      <alignment vertical="top"/>
      <protection locked="0"/>
    </xf>
    <xf numFmtId="0" fontId="0" fillId="36" borderId="44" xfId="0" applyFill="1" applyBorder="1" applyAlignment="1" applyProtection="1">
      <protection locked="0"/>
    </xf>
    <xf numFmtId="0" fontId="0" fillId="36" borderId="7" xfId="0" applyFill="1" applyBorder="1" applyAlignment="1" applyProtection="1">
      <protection locked="0"/>
    </xf>
    <xf numFmtId="0" fontId="8" fillId="40" borderId="8" xfId="0" applyFont="1" applyFill="1" applyBorder="1" applyAlignment="1" applyProtection="1">
      <alignment vertical="top"/>
      <protection hidden="1"/>
    </xf>
    <xf numFmtId="0" fontId="0" fillId="40" borderId="9" xfId="0" applyFill="1" applyBorder="1" applyAlignment="1" applyProtection="1">
      <alignment vertical="top"/>
      <protection hidden="1"/>
    </xf>
    <xf numFmtId="0" fontId="0" fillId="0" borderId="9" xfId="0" applyBorder="1" applyAlignment="1" applyProtection="1">
      <alignment vertical="top"/>
      <protection locked="0"/>
    </xf>
    <xf numFmtId="0" fontId="8" fillId="0" borderId="9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41" borderId="63" xfId="0" applyFill="1" applyBorder="1" applyAlignment="1" applyProtection="1">
      <alignment vertical="top"/>
      <protection hidden="1"/>
    </xf>
    <xf numFmtId="0" fontId="0" fillId="41" borderId="62" xfId="0" applyFill="1" applyBorder="1" applyAlignment="1" applyProtection="1">
      <alignment vertical="top"/>
      <protection hidden="1"/>
    </xf>
    <xf numFmtId="0" fontId="0" fillId="41" borderId="55" xfId="0" applyFill="1" applyBorder="1" applyAlignment="1" applyProtection="1">
      <alignment vertical="top"/>
      <protection hidden="1"/>
    </xf>
    <xf numFmtId="49" fontId="0" fillId="41" borderId="64" xfId="0" applyNumberFormat="1" applyFill="1" applyBorder="1" applyAlignment="1" applyProtection="1">
      <alignment horizontal="left" vertical="top"/>
      <protection locked="0"/>
    </xf>
    <xf numFmtId="49" fontId="0" fillId="41" borderId="62" xfId="0" applyNumberFormat="1" applyFill="1" applyBorder="1" applyAlignment="1" applyProtection="1">
      <alignment horizontal="left" vertical="top"/>
      <protection locked="0"/>
    </xf>
    <xf numFmtId="49" fontId="0" fillId="41" borderId="61" xfId="0" applyNumberFormat="1" applyFill="1" applyBorder="1" applyAlignment="1" applyProtection="1">
      <alignment horizontal="left" vertical="top"/>
      <protection locked="0"/>
    </xf>
    <xf numFmtId="0" fontId="0" fillId="41" borderId="73" xfId="0" applyFill="1" applyBorder="1" applyAlignment="1" applyProtection="1">
      <alignment vertical="top"/>
      <protection hidden="1"/>
    </xf>
    <xf numFmtId="0" fontId="0" fillId="41" borderId="77" xfId="0" applyFill="1" applyBorder="1" applyAlignment="1" applyProtection="1">
      <alignment vertical="top"/>
      <protection hidden="1"/>
    </xf>
    <xf numFmtId="0" fontId="0" fillId="41" borderId="72" xfId="0" applyFill="1" applyBorder="1" applyAlignment="1" applyProtection="1">
      <alignment vertical="top"/>
      <protection hidden="1"/>
    </xf>
    <xf numFmtId="0" fontId="0" fillId="41" borderId="78" xfId="0" applyFill="1" applyBorder="1" applyAlignment="1" applyProtection="1">
      <alignment horizontal="left" vertical="top"/>
      <protection locked="0"/>
    </xf>
    <xf numFmtId="0" fontId="0" fillId="41" borderId="77" xfId="0" applyFill="1" applyBorder="1" applyAlignment="1" applyProtection="1">
      <alignment horizontal="left" vertical="top"/>
      <protection locked="0"/>
    </xf>
    <xf numFmtId="0" fontId="0" fillId="41" borderId="76" xfId="0" applyFill="1" applyBorder="1" applyAlignment="1" applyProtection="1">
      <alignment horizontal="left" vertical="top"/>
      <protection locked="0"/>
    </xf>
    <xf numFmtId="0" fontId="41" fillId="42" borderId="51" xfId="0" applyFont="1" applyFill="1" applyBorder="1" applyAlignment="1" applyProtection="1">
      <alignment vertical="top" wrapText="1"/>
      <protection hidden="1"/>
    </xf>
    <xf numFmtId="0" fontId="0" fillId="0" borderId="50" xfId="0" applyBorder="1" applyProtection="1">
      <protection hidden="1"/>
    </xf>
    <xf numFmtId="0" fontId="0" fillId="0" borderId="49" xfId="0" applyBorder="1" applyProtection="1">
      <protection hidden="1"/>
    </xf>
    <xf numFmtId="0" fontId="0" fillId="40" borderId="73" xfId="0" applyFill="1" applyBorder="1" applyAlignment="1" applyProtection="1">
      <alignment vertical="top"/>
      <protection hidden="1"/>
    </xf>
    <xf numFmtId="0" fontId="0" fillId="40" borderId="77" xfId="0" applyFill="1" applyBorder="1" applyAlignment="1" applyProtection="1">
      <alignment vertical="top"/>
      <protection hidden="1"/>
    </xf>
    <xf numFmtId="0" fontId="0" fillId="40" borderId="72" xfId="0" applyFill="1" applyBorder="1" applyAlignment="1" applyProtection="1">
      <alignment vertical="top"/>
      <protection hidden="1"/>
    </xf>
    <xf numFmtId="0" fontId="8" fillId="38" borderId="9" xfId="0" applyFont="1" applyFill="1" applyBorder="1" applyAlignment="1" applyProtection="1">
      <alignment horizontal="left" vertical="top"/>
      <protection hidden="1"/>
    </xf>
    <xf numFmtId="0" fontId="8" fillId="38" borderId="9" xfId="0" applyFont="1" applyFill="1" applyBorder="1" applyAlignment="1" applyProtection="1">
      <alignment horizontal="left"/>
      <protection hidden="1"/>
    </xf>
    <xf numFmtId="0" fontId="8" fillId="38" borderId="10" xfId="0" applyFont="1" applyFill="1" applyBorder="1" applyAlignment="1" applyProtection="1">
      <alignment horizontal="left"/>
      <protection hidden="1"/>
    </xf>
    <xf numFmtId="0" fontId="0" fillId="44" borderId="63" xfId="0" applyFill="1" applyBorder="1" applyAlignment="1" applyProtection="1">
      <alignment vertical="top"/>
      <protection hidden="1"/>
    </xf>
    <xf numFmtId="0" fontId="0" fillId="44" borderId="62" xfId="0" applyFill="1" applyBorder="1" applyAlignment="1" applyProtection="1">
      <alignment vertical="top"/>
      <protection hidden="1"/>
    </xf>
    <xf numFmtId="0" fontId="0" fillId="44" borderId="55" xfId="0" applyFill="1" applyBorder="1" applyAlignment="1" applyProtection="1">
      <alignment vertical="top"/>
      <protection hidden="1"/>
    </xf>
    <xf numFmtId="169" fontId="0" fillId="0" borderId="64" xfId="0" applyNumberFormat="1" applyBorder="1" applyAlignment="1" applyProtection="1">
      <alignment horizontal="left" vertical="top"/>
      <protection locked="0"/>
    </xf>
    <xf numFmtId="169" fontId="0" fillId="0" borderId="62" xfId="0" applyNumberFormat="1" applyBorder="1" applyAlignment="1" applyProtection="1">
      <alignment horizontal="left" vertical="top"/>
      <protection locked="0"/>
    </xf>
    <xf numFmtId="169" fontId="0" fillId="0" borderId="61" xfId="0" applyNumberFormat="1" applyBorder="1" applyAlignment="1" applyProtection="1">
      <alignment horizontal="left" vertical="top"/>
      <protection locked="0"/>
    </xf>
    <xf numFmtId="0" fontId="0" fillId="40" borderId="8" xfId="0" applyFill="1" applyBorder="1" applyAlignment="1" applyProtection="1">
      <alignment vertical="top"/>
      <protection hidden="1"/>
    </xf>
    <xf numFmtId="0" fontId="8" fillId="0" borderId="9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40" borderId="63" xfId="0" applyFont="1" applyFill="1" applyBorder="1" applyAlignment="1" applyProtection="1">
      <alignment vertical="top"/>
      <protection hidden="1"/>
    </xf>
    <xf numFmtId="0" fontId="8" fillId="40" borderId="62" xfId="0" applyFont="1" applyFill="1" applyBorder="1" applyAlignment="1" applyProtection="1">
      <alignment vertical="top"/>
      <protection hidden="1"/>
    </xf>
    <xf numFmtId="0" fontId="8" fillId="40" borderId="55" xfId="0" applyFont="1" applyFill="1" applyBorder="1" applyAlignment="1" applyProtection="1">
      <alignment vertical="top"/>
      <protection hidden="1"/>
    </xf>
    <xf numFmtId="0" fontId="0" fillId="0" borderId="62" xfId="0" applyBorder="1" applyAlignment="1" applyProtection="1">
      <alignment vertical="top"/>
      <protection hidden="1"/>
    </xf>
    <xf numFmtId="0" fontId="0" fillId="0" borderId="55" xfId="0" applyBorder="1" applyAlignment="1" applyProtection="1">
      <alignment vertical="top"/>
      <protection hidden="1"/>
    </xf>
    <xf numFmtId="0" fontId="8" fillId="0" borderId="64" xfId="0" applyFont="1" applyBorder="1" applyAlignment="1" applyProtection="1">
      <alignment horizontal="left" vertical="top"/>
      <protection locked="0"/>
    </xf>
    <xf numFmtId="0" fontId="0" fillId="41" borderId="5" xfId="0" applyFill="1" applyBorder="1" applyAlignment="1" applyProtection="1">
      <alignment vertical="top"/>
      <protection hidden="1"/>
    </xf>
    <xf numFmtId="0" fontId="0" fillId="41" borderId="44" xfId="0" applyFill="1" applyBorder="1" applyAlignment="1" applyProtection="1">
      <alignment vertical="top"/>
      <protection hidden="1"/>
    </xf>
    <xf numFmtId="0" fontId="0" fillId="41" borderId="44" xfId="0" applyFill="1" applyBorder="1" applyAlignment="1" applyProtection="1">
      <alignment horizontal="left" vertical="top"/>
      <protection locked="0"/>
    </xf>
    <xf numFmtId="0" fontId="0" fillId="41" borderId="7" xfId="0" applyFill="1" applyBorder="1" applyAlignment="1" applyProtection="1">
      <alignment horizontal="left" vertical="top"/>
      <protection locked="0"/>
    </xf>
    <xf numFmtId="1" fontId="0" fillId="46" borderId="44" xfId="0" applyNumberFormat="1" applyFill="1" applyBorder="1" applyAlignment="1" applyProtection="1">
      <alignment horizontal="left" vertical="top"/>
      <protection locked="0"/>
    </xf>
    <xf numFmtId="1" fontId="0" fillId="46" borderId="7" xfId="0" applyNumberFormat="1" applyFill="1" applyBorder="1" applyAlignment="1" applyProtection="1">
      <alignment horizontal="left" vertical="top"/>
      <protection locked="0"/>
    </xf>
    <xf numFmtId="0" fontId="0" fillId="44" borderId="5" xfId="0" applyFill="1" applyBorder="1" applyAlignment="1" applyProtection="1">
      <alignment vertical="top"/>
      <protection hidden="1"/>
    </xf>
    <xf numFmtId="0" fontId="0" fillId="44" borderId="44" xfId="0" applyFill="1" applyBorder="1" applyAlignment="1" applyProtection="1">
      <alignment vertical="top"/>
      <protection hidden="1"/>
    </xf>
    <xf numFmtId="0" fontId="0" fillId="45" borderId="44" xfId="0" applyFill="1" applyBorder="1" applyAlignment="1" applyProtection="1">
      <alignment vertical="top"/>
      <protection hidden="1"/>
    </xf>
    <xf numFmtId="0" fontId="8" fillId="38" borderId="44" xfId="0" applyFont="1" applyFill="1" applyBorder="1" applyAlignment="1" applyProtection="1">
      <alignment horizontal="left" vertical="top"/>
      <protection hidden="1"/>
    </xf>
    <xf numFmtId="0" fontId="8" fillId="38" borderId="44" xfId="0" applyFont="1" applyFill="1" applyBorder="1" applyAlignment="1" applyProtection="1">
      <alignment horizontal="left"/>
      <protection hidden="1"/>
    </xf>
    <xf numFmtId="0" fontId="8" fillId="38" borderId="7" xfId="0" applyFont="1" applyFill="1" applyBorder="1" applyAlignment="1" applyProtection="1">
      <alignment horizontal="left"/>
      <protection hidden="1"/>
    </xf>
    <xf numFmtId="0" fontId="0" fillId="21" borderId="44" xfId="0" applyFont="1" applyFill="1" applyBorder="1" applyAlignment="1" applyProtection="1">
      <alignment horizontal="left" vertical="top"/>
      <protection hidden="1"/>
    </xf>
    <xf numFmtId="0" fontId="8" fillId="21" borderId="44" xfId="0" applyFont="1" applyFill="1" applyBorder="1" applyAlignment="1" applyProtection="1">
      <alignment horizontal="left"/>
      <protection hidden="1"/>
    </xf>
    <xf numFmtId="0" fontId="8" fillId="21" borderId="7" xfId="0" applyFont="1" applyFill="1" applyBorder="1" applyAlignment="1" applyProtection="1">
      <alignment horizontal="left"/>
      <protection hidden="1"/>
    </xf>
    <xf numFmtId="0" fontId="0" fillId="46" borderId="64" xfId="0" applyFont="1" applyFill="1" applyBorder="1" applyAlignment="1" applyProtection="1">
      <alignment horizontal="left" vertical="top"/>
      <protection locked="0"/>
    </xf>
    <xf numFmtId="0" fontId="0" fillId="46" borderId="62" xfId="0" applyFill="1" applyBorder="1" applyAlignment="1" applyProtection="1">
      <alignment horizontal="left" vertical="top"/>
      <protection locked="0"/>
    </xf>
    <xf numFmtId="0" fontId="0" fillId="46" borderId="61" xfId="0" applyFill="1" applyBorder="1" applyAlignment="1" applyProtection="1">
      <alignment horizontal="left" vertical="top"/>
      <protection locked="0"/>
    </xf>
    <xf numFmtId="0" fontId="0" fillId="45" borderId="79" xfId="0" applyFill="1" applyBorder="1" applyAlignment="1" applyProtection="1">
      <alignment vertical="top"/>
      <protection hidden="1"/>
    </xf>
    <xf numFmtId="49" fontId="8" fillId="47" borderId="64" xfId="0" applyNumberFormat="1" applyFont="1" applyFill="1" applyBorder="1" applyAlignment="1" applyProtection="1">
      <alignment horizontal="left" vertical="top"/>
      <protection hidden="1"/>
    </xf>
    <xf numFmtId="0" fontId="0" fillId="47" borderId="62" xfId="0" applyFill="1" applyBorder="1" applyAlignment="1" applyProtection="1">
      <alignment horizontal="left" vertical="top"/>
      <protection hidden="1"/>
    </xf>
    <xf numFmtId="0" fontId="0" fillId="47" borderId="61" xfId="0" applyFill="1" applyBorder="1" applyAlignment="1" applyProtection="1">
      <alignment horizontal="left" vertical="top"/>
      <protection hidden="1"/>
    </xf>
    <xf numFmtId="0" fontId="0" fillId="0" borderId="48" xfId="0" applyBorder="1"/>
    <xf numFmtId="0" fontId="0" fillId="0" borderId="0" xfId="0" applyBorder="1"/>
    <xf numFmtId="0" fontId="0" fillId="0" borderId="0" xfId="0"/>
    <xf numFmtId="0" fontId="4" fillId="24" borderId="6" xfId="194" applyFill="1" applyBorder="1" applyAlignment="1" applyProtection="1">
      <protection hidden="1"/>
    </xf>
    <xf numFmtId="0" fontId="4" fillId="0" borderId="6" xfId="194" applyBorder="1" applyAlignment="1" applyProtection="1">
      <protection hidden="1"/>
    </xf>
    <xf numFmtId="0" fontId="4" fillId="21" borderId="6" xfId="194" applyFill="1" applyBorder="1" applyAlignment="1" applyProtection="1">
      <protection hidden="1"/>
    </xf>
    <xf numFmtId="0" fontId="4" fillId="22" borderId="6" xfId="194" applyFill="1" applyBorder="1" applyAlignment="1" applyProtection="1">
      <protection hidden="1"/>
    </xf>
    <xf numFmtId="0" fontId="36" fillId="0" borderId="0" xfId="194" applyFont="1" applyAlignment="1">
      <alignment horizontal="center" vertical="center"/>
    </xf>
    <xf numFmtId="0" fontId="4" fillId="0" borderId="0" xfId="194" applyAlignment="1">
      <alignment horizontal="center" vertical="center"/>
    </xf>
    <xf numFmtId="0" fontId="4" fillId="0" borderId="1" xfId="194" applyBorder="1" applyAlignment="1">
      <alignment horizontal="center" vertical="center"/>
    </xf>
  </cellXfs>
  <cellStyles count="385">
    <cellStyle name="20% - Accent1" xfId="1"/>
    <cellStyle name="20% - Accent1 2" xfId="242"/>
    <cellStyle name="20% - Accent2" xfId="2"/>
    <cellStyle name="20% - Accent2 2" xfId="243"/>
    <cellStyle name="20% - Accent3" xfId="3"/>
    <cellStyle name="20% - Accent3 2" xfId="244"/>
    <cellStyle name="20% - Accent4" xfId="4"/>
    <cellStyle name="20% - Accent4 2" xfId="245"/>
    <cellStyle name="20% - Accent5" xfId="5"/>
    <cellStyle name="20% - Accent5 2" xfId="246"/>
    <cellStyle name="20% - Accent6" xfId="6"/>
    <cellStyle name="20% - Accent6 2" xfId="247"/>
    <cellStyle name="40% - Accent1" xfId="7"/>
    <cellStyle name="40% - Accent1 2" xfId="248"/>
    <cellStyle name="40% - Accent2" xfId="8"/>
    <cellStyle name="40% - Accent2 2" xfId="249"/>
    <cellStyle name="40% - Accent3" xfId="9"/>
    <cellStyle name="40% - Accent3 2" xfId="250"/>
    <cellStyle name="40% - Accent4" xfId="10"/>
    <cellStyle name="40% - Accent4 2" xfId="251"/>
    <cellStyle name="40% - Accent5" xfId="11"/>
    <cellStyle name="40% - Accent5 2" xfId="252"/>
    <cellStyle name="40% - Accent6" xfId="12"/>
    <cellStyle name="40% - Accent6 2" xfId="253"/>
    <cellStyle name="60% - Accent1" xfId="13"/>
    <cellStyle name="60% - Accent1 2" xfId="254"/>
    <cellStyle name="60% - Accent2" xfId="14"/>
    <cellStyle name="60% - Accent2 2" xfId="255"/>
    <cellStyle name="60% - Accent3" xfId="15"/>
    <cellStyle name="60% - Accent3 2" xfId="256"/>
    <cellStyle name="60% - Accent4" xfId="16"/>
    <cellStyle name="60% - Accent4 2" xfId="257"/>
    <cellStyle name="60% - Accent5" xfId="17"/>
    <cellStyle name="60% - Accent5 2" xfId="258"/>
    <cellStyle name="60% - Accent6" xfId="18"/>
    <cellStyle name="60% - Accent6 2" xfId="259"/>
    <cellStyle name="Accent1" xfId="19"/>
    <cellStyle name="Accent1 2" xfId="260"/>
    <cellStyle name="Accent2" xfId="20"/>
    <cellStyle name="Accent2 2" xfId="261"/>
    <cellStyle name="Accent3" xfId="21"/>
    <cellStyle name="Accent3 2" xfId="262"/>
    <cellStyle name="Accent4" xfId="22"/>
    <cellStyle name="Accent4 2" xfId="263"/>
    <cellStyle name="Accent5" xfId="23"/>
    <cellStyle name="Accent5 2" xfId="264"/>
    <cellStyle name="Accent6" xfId="24"/>
    <cellStyle name="Accent6 2" xfId="265"/>
    <cellStyle name="Bad" xfId="25"/>
    <cellStyle name="Bad 2" xfId="266"/>
    <cellStyle name="Calculation" xfId="26"/>
    <cellStyle name="Calculation 2" xfId="267"/>
    <cellStyle name="Check Cell" xfId="27"/>
    <cellStyle name="Check Cell 2" xfId="268"/>
    <cellStyle name="Excel Built-in Normal" xfId="28"/>
    <cellStyle name="Explanatory Text" xfId="29"/>
    <cellStyle name="Explanatory Text 2" xfId="269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Good" xfId="30"/>
    <cellStyle name="Good 2" xfId="270"/>
    <cellStyle name="Heading 1" xfId="31"/>
    <cellStyle name="Heading 1 2" xfId="271"/>
    <cellStyle name="Heading 2" xfId="32"/>
    <cellStyle name="Heading 2 2" xfId="272"/>
    <cellStyle name="Heading 3" xfId="33"/>
    <cellStyle name="Heading 3 2" xfId="273"/>
    <cellStyle name="Heading 4" xfId="34"/>
    <cellStyle name="Heading 4 2" xfId="274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Input" xfId="35"/>
    <cellStyle name="Input 2" xfId="275"/>
    <cellStyle name="Linked Cell" xfId="36"/>
    <cellStyle name="Linked Cell 2" xfId="276"/>
    <cellStyle name="Neutral" xfId="37"/>
    <cellStyle name="Neutral 2" xfId="277"/>
    <cellStyle name="Normal" xfId="0" builtinId="0"/>
    <cellStyle name="Normal 2" xfId="187"/>
    <cellStyle name="Normal 2 2" xfId="190"/>
    <cellStyle name="Normal 2 2 2" xfId="285"/>
    <cellStyle name="Normal 2 3" xfId="192"/>
    <cellStyle name="Normal 2 3 2" xfId="287"/>
    <cellStyle name="Normal 2 4" xfId="194"/>
    <cellStyle name="Normal 2 4 2" xfId="290"/>
    <cellStyle name="Normal 3" xfId="188"/>
    <cellStyle name="Normal 3 2" xfId="283"/>
    <cellStyle name="Normal 3 3" xfId="289"/>
    <cellStyle name="Normal 4" xfId="189"/>
    <cellStyle name="Normal 4 2" xfId="284"/>
    <cellStyle name="Normal 5" xfId="191"/>
    <cellStyle name="Normal 5 2" xfId="286"/>
    <cellStyle name="Normal 6" xfId="193"/>
    <cellStyle name="Normal 7" xfId="241"/>
    <cellStyle name="Normal 8" xfId="288"/>
    <cellStyle name="Normal 9" xfId="239"/>
    <cellStyle name="Note" xfId="38"/>
    <cellStyle name="Note 2" xfId="278"/>
    <cellStyle name="Output" xfId="39"/>
    <cellStyle name="Output 2" xfId="279"/>
    <cellStyle name="Percent 2" xfId="240"/>
    <cellStyle name="Title" xfId="40"/>
    <cellStyle name="Title 2" xfId="280"/>
    <cellStyle name="Total" xfId="41"/>
    <cellStyle name="Total 2" xfId="281"/>
    <cellStyle name="Warning Text" xfId="42"/>
    <cellStyle name="Warning Text 2" xfId="282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9"/>
  <sheetViews>
    <sheetView showGridLines="0" tabSelected="1" view="pageLayout" topLeftCell="A69" workbookViewId="0">
      <selection activeCell="D9" sqref="D9:N9"/>
    </sheetView>
  </sheetViews>
  <sheetFormatPr defaultColWidth="7.125" defaultRowHeight="12.75" x14ac:dyDescent="0.2"/>
  <cols>
    <col min="1" max="1" width="4.375" style="279" customWidth="1"/>
    <col min="2" max="2" width="9" style="209" customWidth="1"/>
    <col min="3" max="14" width="6.875" style="209" customWidth="1"/>
    <col min="15" max="34" width="6.875" style="208" customWidth="1"/>
    <col min="35" max="16384" width="7.125" style="208"/>
  </cols>
  <sheetData>
    <row r="1" spans="1:18" s="224" customFormat="1" ht="27" customHeight="1" thickBot="1" x14ac:dyDescent="0.25">
      <c r="A1" s="278" t="s">
        <v>564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8" s="224" customFormat="1" ht="23.1" customHeight="1" x14ac:dyDescent="0.2">
      <c r="A2" s="376" t="s">
        <v>456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8"/>
    </row>
    <row r="3" spans="1:18" s="224" customFormat="1" ht="23.1" customHeight="1" x14ac:dyDescent="0.2">
      <c r="A3" s="434" t="s">
        <v>455</v>
      </c>
      <c r="B3" s="435"/>
      <c r="C3" s="436"/>
      <c r="D3" s="524" t="s">
        <v>454</v>
      </c>
      <c r="E3" s="525"/>
      <c r="F3" s="525"/>
      <c r="G3" s="525"/>
      <c r="H3" s="525"/>
      <c r="I3" s="525"/>
      <c r="J3" s="525"/>
      <c r="K3" s="525"/>
      <c r="L3" s="525"/>
      <c r="M3" s="525"/>
      <c r="N3" s="526"/>
    </row>
    <row r="4" spans="1:18" s="224" customFormat="1" ht="23.1" customHeight="1" x14ac:dyDescent="0.2">
      <c r="A4" s="434" t="s">
        <v>453</v>
      </c>
      <c r="B4" s="435"/>
      <c r="C4" s="436"/>
      <c r="D4" s="527" t="s">
        <v>348</v>
      </c>
      <c r="E4" s="528"/>
      <c r="F4" s="528"/>
      <c r="G4" s="528"/>
      <c r="H4" s="528"/>
      <c r="I4" s="528"/>
      <c r="J4" s="528"/>
      <c r="K4" s="528"/>
      <c r="L4" s="528"/>
      <c r="M4" s="528"/>
      <c r="N4" s="529"/>
    </row>
    <row r="5" spans="1:18" s="224" customFormat="1" ht="23.1" customHeight="1" x14ac:dyDescent="0.2">
      <c r="A5" s="496" t="s">
        <v>452</v>
      </c>
      <c r="B5" s="497"/>
      <c r="C5" s="530"/>
      <c r="D5" s="531" t="s">
        <v>451</v>
      </c>
      <c r="E5" s="532"/>
      <c r="F5" s="532"/>
      <c r="G5" s="532"/>
      <c r="H5" s="532"/>
      <c r="I5" s="532"/>
      <c r="J5" s="532"/>
      <c r="K5" s="532"/>
      <c r="L5" s="532"/>
      <c r="M5" s="532"/>
      <c r="N5" s="533"/>
    </row>
    <row r="6" spans="1:18" ht="15" customHeight="1" thickBot="1" x14ac:dyDescent="0.25">
      <c r="O6" s="238"/>
      <c r="P6" s="238"/>
      <c r="Q6" s="238"/>
      <c r="R6" s="238"/>
    </row>
    <row r="7" spans="1:18" ht="23.1" customHeight="1" x14ac:dyDescent="0.2">
      <c r="A7" s="376" t="s">
        <v>450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8"/>
    </row>
    <row r="8" spans="1:18" ht="23.1" customHeight="1" x14ac:dyDescent="0.2">
      <c r="A8" s="462" t="s">
        <v>449</v>
      </c>
      <c r="B8" s="463"/>
      <c r="C8" s="463"/>
      <c r="D8" s="516" t="s">
        <v>469</v>
      </c>
      <c r="E8" s="516"/>
      <c r="F8" s="516"/>
      <c r="G8" s="516"/>
      <c r="H8" s="516"/>
      <c r="I8" s="516"/>
      <c r="J8" s="516"/>
      <c r="K8" s="516"/>
      <c r="L8" s="516"/>
      <c r="M8" s="516"/>
      <c r="N8" s="517"/>
    </row>
    <row r="9" spans="1:18" s="224" customFormat="1" ht="23.1" customHeight="1" x14ac:dyDescent="0.2">
      <c r="A9" s="518" t="s">
        <v>448</v>
      </c>
      <c r="B9" s="519"/>
      <c r="C9" s="520"/>
      <c r="D9" s="521" t="str">
        <f>IF(VLOOKUP($D$8,$A$202:$W$280,21,FALSE)="","",(VLOOKUP($D$8,$A$202:$W$280,21,FALSE)))</f>
        <v>Pampers</v>
      </c>
      <c r="E9" s="522"/>
      <c r="F9" s="522"/>
      <c r="G9" s="522"/>
      <c r="H9" s="522"/>
      <c r="I9" s="522"/>
      <c r="J9" s="522"/>
      <c r="K9" s="522"/>
      <c r="L9" s="522"/>
      <c r="M9" s="522"/>
      <c r="N9" s="523"/>
    </row>
    <row r="10" spans="1:18" s="224" customFormat="1" ht="23.1" customHeight="1" x14ac:dyDescent="0.2">
      <c r="A10" s="462" t="s">
        <v>447</v>
      </c>
      <c r="B10" s="463"/>
      <c r="C10" s="463"/>
      <c r="D10" s="521" t="str">
        <f>IF(VLOOKUP($D$8,$A$202:$W$280,17,FALSE)="","",(VLOOKUP($D$8,$A$202:$W$280,17,FALSE)))</f>
        <v>FIBSDAI HBGOC2P15GSM206MM S3 M5GCAAI 6in</v>
      </c>
      <c r="E10" s="522"/>
      <c r="F10" s="522"/>
      <c r="G10" s="522"/>
      <c r="H10" s="522"/>
      <c r="I10" s="522"/>
      <c r="J10" s="522"/>
      <c r="K10" s="522"/>
      <c r="L10" s="522"/>
      <c r="M10" s="522"/>
      <c r="N10" s="523"/>
    </row>
    <row r="11" spans="1:18" s="224" customFormat="1" ht="23.1" customHeight="1" x14ac:dyDescent="0.2">
      <c r="A11" s="462" t="s">
        <v>446</v>
      </c>
      <c r="B11" s="463"/>
      <c r="C11" s="463"/>
      <c r="D11" s="521">
        <f>IF(VLOOKUP($D$8,$A$202:$W$280,16,FALSE)=0,"",(VLOOKUP($D$8,$A$202:$W$280,16,FALSE)))</f>
        <v>3</v>
      </c>
      <c r="E11" s="522"/>
      <c r="F11" s="522"/>
      <c r="G11" s="522"/>
      <c r="H11" s="522"/>
      <c r="I11" s="522"/>
      <c r="J11" s="522"/>
      <c r="K11" s="522"/>
      <c r="L11" s="522"/>
      <c r="M11" s="522"/>
      <c r="N11" s="523"/>
    </row>
    <row r="12" spans="1:18" s="224" customFormat="1" ht="23.1" customHeight="1" x14ac:dyDescent="0.2">
      <c r="A12" s="462" t="s">
        <v>445</v>
      </c>
      <c r="B12" s="463"/>
      <c r="C12" s="463"/>
      <c r="D12" s="521" t="str">
        <f>IF(VLOOKUP($D$8,$A$202:$W$280,22,FALSE)="","",(VLOOKUP($D$8,$A$202:$W$280,22,FALSE)))</f>
        <v>96543977</v>
      </c>
      <c r="E12" s="522"/>
      <c r="F12" s="522"/>
      <c r="G12" s="522"/>
      <c r="H12" s="522"/>
      <c r="I12" s="522"/>
      <c r="J12" s="522"/>
      <c r="K12" s="522"/>
      <c r="L12" s="522"/>
      <c r="M12" s="522"/>
      <c r="N12" s="523"/>
    </row>
    <row r="13" spans="1:18" s="224" customFormat="1" ht="23.1" customHeight="1" x14ac:dyDescent="0.2">
      <c r="A13" s="512"/>
      <c r="B13" s="513"/>
      <c r="C13" s="513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5"/>
    </row>
    <row r="14" spans="1:18" s="224" customFormat="1" ht="23.1" customHeight="1" thickBot="1" x14ac:dyDescent="0.25">
      <c r="A14" s="502" t="s">
        <v>444</v>
      </c>
      <c r="B14" s="468"/>
      <c r="C14" s="468"/>
      <c r="D14" s="503" t="s">
        <v>555</v>
      </c>
      <c r="E14" s="504"/>
      <c r="F14" s="504"/>
      <c r="G14" s="504"/>
      <c r="H14" s="504"/>
      <c r="I14" s="504"/>
      <c r="J14" s="504"/>
      <c r="K14" s="504"/>
      <c r="L14" s="504"/>
      <c r="M14" s="504"/>
      <c r="N14" s="505"/>
    </row>
    <row r="15" spans="1:18" s="224" customFormat="1" ht="15" customHeight="1" thickBot="1" x14ac:dyDescent="0.25">
      <c r="A15" s="237"/>
      <c r="B15" s="237"/>
      <c r="C15" s="237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</row>
    <row r="16" spans="1:18" s="224" customFormat="1" ht="23.1" customHeight="1" x14ac:dyDescent="0.2">
      <c r="A16" s="376" t="s">
        <v>443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8"/>
    </row>
    <row r="17" spans="1:18" s="224" customFormat="1" ht="23.1" customHeight="1" x14ac:dyDescent="0.2">
      <c r="A17" s="506" t="s">
        <v>442</v>
      </c>
      <c r="B17" s="507"/>
      <c r="C17" s="508"/>
      <c r="D17" s="472" t="s">
        <v>638</v>
      </c>
      <c r="E17" s="473"/>
      <c r="F17" s="473"/>
      <c r="G17" s="473"/>
      <c r="H17" s="473"/>
      <c r="I17" s="473"/>
      <c r="J17" s="473"/>
      <c r="K17" s="473"/>
      <c r="L17" s="473"/>
      <c r="M17" s="473"/>
      <c r="N17" s="474"/>
    </row>
    <row r="18" spans="1:18" s="224" customFormat="1" ht="23.1" customHeight="1" x14ac:dyDescent="0.2">
      <c r="A18" s="506" t="s">
        <v>441</v>
      </c>
      <c r="B18" s="509"/>
      <c r="C18" s="510"/>
      <c r="D18" s="511"/>
      <c r="E18" s="473"/>
      <c r="F18" s="473"/>
      <c r="G18" s="473"/>
      <c r="H18" s="473"/>
      <c r="I18" s="473"/>
      <c r="J18" s="473"/>
      <c r="K18" s="473"/>
      <c r="L18" s="473"/>
      <c r="M18" s="473"/>
      <c r="N18" s="474"/>
    </row>
    <row r="19" spans="1:18" ht="23.1" customHeight="1" x14ac:dyDescent="0.2">
      <c r="A19" s="434" t="s">
        <v>440</v>
      </c>
      <c r="B19" s="435"/>
      <c r="C19" s="436"/>
      <c r="D19" s="472"/>
      <c r="E19" s="473"/>
      <c r="F19" s="473"/>
      <c r="G19" s="473"/>
      <c r="H19" s="473"/>
      <c r="I19" s="473"/>
      <c r="J19" s="473"/>
      <c r="K19" s="473"/>
      <c r="L19" s="473"/>
      <c r="M19" s="473"/>
      <c r="N19" s="474"/>
    </row>
    <row r="20" spans="1:18" s="224" customFormat="1" ht="23.1" customHeight="1" x14ac:dyDescent="0.2">
      <c r="A20" s="434" t="s">
        <v>439</v>
      </c>
      <c r="B20" s="435"/>
      <c r="C20" s="436"/>
      <c r="D20" s="472"/>
      <c r="E20" s="473"/>
      <c r="F20" s="473"/>
      <c r="G20" s="473"/>
      <c r="H20" s="473"/>
      <c r="I20" s="473"/>
      <c r="J20" s="473"/>
      <c r="K20" s="473"/>
      <c r="L20" s="473"/>
      <c r="M20" s="473"/>
      <c r="N20" s="474"/>
    </row>
    <row r="21" spans="1:18" s="224" customFormat="1" ht="23.1" customHeight="1" thickBot="1" x14ac:dyDescent="0.25">
      <c r="A21" s="490" t="s">
        <v>438</v>
      </c>
      <c r="B21" s="491"/>
      <c r="C21" s="492"/>
      <c r="D21" s="493" t="str">
        <f>IF(VLOOKUP($D$8,$A$202:$W$280,23,FALSE)="","",(VLOOKUP($D$8,$A$202:$W$280,23,FALSE)))</f>
        <v>Flexo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5"/>
    </row>
    <row r="22" spans="1:18" s="224" customFormat="1" ht="23.1" customHeight="1" x14ac:dyDescent="0.2">
      <c r="A22" s="237"/>
      <c r="B22" s="237"/>
      <c r="C22" s="237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8" s="224" customFormat="1" ht="23.1" customHeight="1" thickBot="1" x14ac:dyDescent="0.25">
      <c r="A23" s="237"/>
      <c r="B23" s="237"/>
      <c r="C23" s="237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</row>
    <row r="24" spans="1:18" ht="23.1" customHeight="1" x14ac:dyDescent="0.2">
      <c r="A24" s="376" t="s">
        <v>437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8"/>
    </row>
    <row r="25" spans="1:18" s="224" customFormat="1" ht="23.1" customHeight="1" x14ac:dyDescent="0.2">
      <c r="A25" s="496" t="s">
        <v>436</v>
      </c>
      <c r="B25" s="497"/>
      <c r="C25" s="498"/>
      <c r="D25" s="499">
        <v>40855</v>
      </c>
      <c r="E25" s="500"/>
      <c r="F25" s="500"/>
      <c r="G25" s="500"/>
      <c r="H25" s="500"/>
      <c r="I25" s="500"/>
      <c r="J25" s="500"/>
      <c r="K25" s="500"/>
      <c r="L25" s="500"/>
      <c r="M25" s="500"/>
      <c r="N25" s="501"/>
    </row>
    <row r="26" spans="1:18" s="224" customFormat="1" ht="23.1" customHeight="1" x14ac:dyDescent="0.2">
      <c r="A26" s="496" t="s">
        <v>435</v>
      </c>
      <c r="B26" s="497"/>
      <c r="C26" s="498"/>
      <c r="D26" s="499">
        <v>40855</v>
      </c>
      <c r="E26" s="500"/>
      <c r="F26" s="500"/>
      <c r="G26" s="500"/>
      <c r="H26" s="500"/>
      <c r="I26" s="500"/>
      <c r="J26" s="500"/>
      <c r="K26" s="500"/>
      <c r="L26" s="500"/>
      <c r="M26" s="500"/>
      <c r="N26" s="501"/>
    </row>
    <row r="27" spans="1:18" ht="23.1" customHeight="1" x14ac:dyDescent="0.2">
      <c r="A27" s="434" t="s">
        <v>434</v>
      </c>
      <c r="B27" s="435"/>
      <c r="C27" s="436"/>
      <c r="D27" s="472" t="s">
        <v>638</v>
      </c>
      <c r="E27" s="473"/>
      <c r="F27" s="473"/>
      <c r="G27" s="473"/>
      <c r="H27" s="473"/>
      <c r="I27" s="473"/>
      <c r="J27" s="473"/>
      <c r="K27" s="473"/>
      <c r="L27" s="473"/>
      <c r="M27" s="473"/>
      <c r="N27" s="474"/>
    </row>
    <row r="28" spans="1:18" ht="23.1" customHeight="1" x14ac:dyDescent="0.2">
      <c r="A28" s="434" t="s">
        <v>433</v>
      </c>
      <c r="B28" s="435"/>
      <c r="C28" s="436"/>
      <c r="D28" s="472" t="s">
        <v>639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4"/>
    </row>
    <row r="29" spans="1:18" ht="23.1" customHeight="1" x14ac:dyDescent="0.2">
      <c r="A29" s="475"/>
      <c r="B29" s="476"/>
      <c r="C29" s="477"/>
      <c r="D29" s="478" t="s">
        <v>432</v>
      </c>
      <c r="E29" s="479"/>
      <c r="F29" s="479"/>
      <c r="G29" s="479"/>
      <c r="H29" s="479"/>
      <c r="I29" s="479"/>
      <c r="J29" s="479"/>
      <c r="K29" s="479"/>
      <c r="L29" s="479"/>
      <c r="M29" s="479"/>
      <c r="N29" s="480"/>
    </row>
    <row r="30" spans="1:18" ht="23.1" customHeight="1" thickBot="1" x14ac:dyDescent="0.25">
      <c r="A30" s="481"/>
      <c r="B30" s="482"/>
      <c r="C30" s="483"/>
      <c r="D30" s="484" t="s">
        <v>432</v>
      </c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238"/>
      <c r="P30" s="238"/>
      <c r="Q30" s="238"/>
      <c r="R30" s="238"/>
    </row>
    <row r="31" spans="1:18" ht="15" customHeight="1" thickBot="1" x14ac:dyDescent="0.25">
      <c r="A31" s="228"/>
      <c r="B31" s="228"/>
      <c r="C31" s="227"/>
      <c r="D31" s="225"/>
      <c r="E31" s="225"/>
      <c r="F31" s="225"/>
      <c r="G31" s="225"/>
      <c r="H31" s="225"/>
      <c r="I31" s="227"/>
      <c r="J31" s="225"/>
      <c r="K31" s="225"/>
      <c r="L31" s="226"/>
      <c r="M31" s="225"/>
      <c r="N31" s="225"/>
    </row>
    <row r="32" spans="1:18" ht="23.1" customHeight="1" x14ac:dyDescent="0.2">
      <c r="A32" s="487" t="s">
        <v>431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9"/>
    </row>
    <row r="33" spans="1:18" ht="23.1" customHeight="1" x14ac:dyDescent="0.2">
      <c r="A33" s="450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2"/>
    </row>
    <row r="34" spans="1:18" ht="23.1" customHeight="1" x14ac:dyDescent="0.2">
      <c r="A34" s="453"/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5"/>
    </row>
    <row r="35" spans="1:18" ht="23.1" customHeight="1" x14ac:dyDescent="0.2">
      <c r="A35" s="453"/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5"/>
    </row>
    <row r="36" spans="1:18" s="224" customFormat="1" ht="23.1" customHeight="1" x14ac:dyDescent="0.2">
      <c r="A36" s="453"/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5"/>
    </row>
    <row r="37" spans="1:18" s="224" customFormat="1" ht="23.1" customHeight="1" x14ac:dyDescent="0.2">
      <c r="A37" s="453"/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5"/>
    </row>
    <row r="38" spans="1:18" ht="23.1" customHeight="1" x14ac:dyDescent="0.2">
      <c r="A38" s="453"/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5"/>
    </row>
    <row r="39" spans="1:18" ht="23.1" customHeight="1" x14ac:dyDescent="0.2">
      <c r="A39" s="453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5"/>
    </row>
    <row r="40" spans="1:18" ht="23.1" customHeight="1" x14ac:dyDescent="0.2">
      <c r="A40" s="453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5"/>
    </row>
    <row r="41" spans="1:18" s="224" customFormat="1" ht="23.1" customHeight="1" x14ac:dyDescent="0.2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5"/>
    </row>
    <row r="42" spans="1:18" s="224" customFormat="1" ht="23.1" customHeight="1" x14ac:dyDescent="0.2">
      <c r="A42" s="453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5"/>
    </row>
    <row r="43" spans="1:18" ht="23.1" customHeight="1" x14ac:dyDescent="0.2">
      <c r="A43" s="453"/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5"/>
    </row>
    <row r="44" spans="1:18" ht="23.1" customHeight="1" thickBot="1" x14ac:dyDescent="0.25">
      <c r="A44" s="456"/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8"/>
      <c r="O44" s="238"/>
      <c r="P44" s="238"/>
      <c r="Q44" s="238"/>
      <c r="R44" s="238"/>
    </row>
    <row r="45" spans="1:18" ht="23.1" customHeight="1" thickBot="1" x14ac:dyDescent="0.25">
      <c r="A45" s="208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38"/>
      <c r="P45" s="238"/>
      <c r="Q45" s="238"/>
      <c r="R45" s="238"/>
    </row>
    <row r="46" spans="1:18" s="224" customFormat="1" ht="23.1" customHeight="1" x14ac:dyDescent="0.2">
      <c r="A46" s="459" t="s">
        <v>430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1"/>
    </row>
    <row r="47" spans="1:18" s="224" customFormat="1" ht="23.1" customHeight="1" x14ac:dyDescent="0.2">
      <c r="A47" s="462" t="s">
        <v>363</v>
      </c>
      <c r="B47" s="463"/>
      <c r="C47" s="463"/>
      <c r="D47" s="464" t="s">
        <v>332</v>
      </c>
      <c r="E47" s="465"/>
      <c r="F47" s="465"/>
      <c r="G47" s="465"/>
      <c r="H47" s="465"/>
      <c r="I47" s="465"/>
      <c r="J47" s="465"/>
      <c r="K47" s="465"/>
      <c r="L47" s="465"/>
      <c r="M47" s="465"/>
      <c r="N47" s="466"/>
    </row>
    <row r="48" spans="1:18" s="224" customFormat="1" ht="23.1" customHeight="1" x14ac:dyDescent="0.2">
      <c r="A48" s="462" t="s">
        <v>429</v>
      </c>
      <c r="B48" s="463"/>
      <c r="C48" s="463"/>
      <c r="D48" s="464" t="s">
        <v>428</v>
      </c>
      <c r="E48" s="465"/>
      <c r="F48" s="465"/>
      <c r="G48" s="465"/>
      <c r="H48" s="465"/>
      <c r="I48" s="465"/>
      <c r="J48" s="465"/>
      <c r="K48" s="465"/>
      <c r="L48" s="465"/>
      <c r="M48" s="465"/>
      <c r="N48" s="466"/>
    </row>
    <row r="49" spans="1:18" s="224" customFormat="1" ht="23.1" customHeight="1" x14ac:dyDescent="0.2">
      <c r="A49" s="462" t="s">
        <v>362</v>
      </c>
      <c r="B49" s="463"/>
      <c r="C49" s="463"/>
      <c r="D49" s="464" t="s">
        <v>427</v>
      </c>
      <c r="E49" s="465"/>
      <c r="F49" s="465"/>
      <c r="G49" s="465"/>
      <c r="H49" s="465"/>
      <c r="I49" s="465"/>
      <c r="J49" s="465"/>
      <c r="K49" s="465"/>
      <c r="L49" s="465"/>
      <c r="M49" s="465"/>
      <c r="N49" s="466"/>
    </row>
    <row r="50" spans="1:18" s="224" customFormat="1" ht="23.1" customHeight="1" thickBot="1" x14ac:dyDescent="0.25">
      <c r="A50" s="467" t="s">
        <v>426</v>
      </c>
      <c r="B50" s="468"/>
      <c r="C50" s="468"/>
      <c r="D50" s="275" t="s">
        <v>425</v>
      </c>
      <c r="E50" s="469" t="s">
        <v>424</v>
      </c>
      <c r="F50" s="469"/>
      <c r="G50" s="275" t="s">
        <v>423</v>
      </c>
      <c r="H50" s="470" t="s">
        <v>422</v>
      </c>
      <c r="I50" s="469"/>
      <c r="J50" s="469"/>
      <c r="K50" s="469"/>
      <c r="L50" s="469"/>
      <c r="M50" s="469"/>
      <c r="N50" s="471"/>
    </row>
    <row r="51" spans="1:18" s="224" customFormat="1" ht="15" customHeight="1" thickBot="1" x14ac:dyDescent="0.25">
      <c r="A51" s="237"/>
      <c r="B51" s="237"/>
      <c r="C51" s="237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</row>
    <row r="52" spans="1:18" ht="23.1" customHeight="1" x14ac:dyDescent="0.2">
      <c r="A52" s="376" t="s">
        <v>421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7"/>
    </row>
    <row r="53" spans="1:18" ht="27" customHeight="1" x14ac:dyDescent="0.2">
      <c r="A53" s="280" t="s">
        <v>398</v>
      </c>
      <c r="B53" s="448" t="s">
        <v>397</v>
      </c>
      <c r="C53" s="449"/>
      <c r="D53" s="273" t="s">
        <v>420</v>
      </c>
      <c r="E53" s="274" t="s">
        <v>419</v>
      </c>
      <c r="F53" s="274" t="s">
        <v>418</v>
      </c>
      <c r="G53" s="274" t="s">
        <v>417</v>
      </c>
      <c r="H53" s="274" t="s">
        <v>416</v>
      </c>
      <c r="I53" s="274" t="s">
        <v>415</v>
      </c>
      <c r="J53" s="274" t="s">
        <v>414</v>
      </c>
      <c r="K53" s="274" t="s">
        <v>413</v>
      </c>
      <c r="L53" s="273" t="s">
        <v>412</v>
      </c>
      <c r="M53" s="273" t="s">
        <v>411</v>
      </c>
      <c r="N53" s="272" t="s">
        <v>410</v>
      </c>
    </row>
    <row r="54" spans="1:18" ht="23.1" customHeight="1" x14ac:dyDescent="0.2">
      <c r="A54" s="281">
        <v>1</v>
      </c>
      <c r="B54" s="432" t="str">
        <f>IF($D$11="","",IF($D$11&gt;=A54,VLOOKUP($D$8,A202:W280,4,FALSE),""))</f>
        <v>PMS 3272 DKJP-F</v>
      </c>
      <c r="C54" s="432"/>
      <c r="D54" s="269" t="s">
        <v>634</v>
      </c>
      <c r="E54" s="266">
        <f t="shared" ref="E54:E63" si="0">IF($B54="","",VLOOKUP($B54,$A$168:$K$191,2,FALSE))</f>
        <v>63.27</v>
      </c>
      <c r="F54" s="266">
        <f t="shared" ref="F54:F63" si="1">IF($B54="","",VLOOKUP($B54,$A$168:$K$191,3,FALSE))</f>
        <v>-57.83</v>
      </c>
      <c r="G54" s="266">
        <f t="shared" ref="G54:G63" si="2">IF($B54="","",VLOOKUP($B54,$A$168:$K$191,4,FALSE))</f>
        <v>-7.6</v>
      </c>
      <c r="H54" s="266">
        <f t="shared" ref="H54:H63" si="3">IF($B54="","",IF(LEFT($B54,3)="PGP","",VLOOKUP($B54,$A$168:$K$191,5,FALSE)))</f>
        <v>81.19</v>
      </c>
      <c r="I54" s="266">
        <f t="shared" ref="I54:I63" si="4">IF($B54="","",IF(LEFT($B54,3)="PGP","",VLOOKUP($B54,$A$168:$K$191,6,FALSE)))</f>
        <v>-24.08</v>
      </c>
      <c r="J54" s="266">
        <f t="shared" ref="J54:J63" si="5">IF($B54="","",IF(LEFT($B54,3)="PGP","",VLOOKUP($B54,$A$168:$K$191,7,FALSE)))</f>
        <v>-3.61</v>
      </c>
      <c r="K54" s="267" t="str">
        <f t="shared" ref="K54:K63" si="6">IF(B54="","",IF(D54="--","",IF($D$49="Status T","T",IF(LEFT($D$49,15)="Status E","E",IF(LEFT($D$49,15)="Status I","I","Max")))))</f>
        <v>T</v>
      </c>
      <c r="L54" s="266" t="str">
        <f t="shared" ref="L54:L63" si="7">IF($B54="","",VLOOKUP($B54,$A$168:$K$191,11,FALSE))</f>
        <v>N/A</v>
      </c>
      <c r="M54" s="266">
        <f t="shared" ref="M54:M63" si="8">IF($B54="","",VLOOKUP($B54,$A$168:$K$191,8,FALSE))</f>
        <v>1.08</v>
      </c>
      <c r="N54" s="265">
        <f t="shared" ref="N54:N63" si="9">IF($B54="","",IF(LEFT($B54,3)="PGP","",VLOOKUP($B54,$A$168:$K$191,10,FALSE)))</f>
        <v>63</v>
      </c>
    </row>
    <row r="55" spans="1:18" ht="23.1" customHeight="1" x14ac:dyDescent="0.2">
      <c r="A55" s="281">
        <v>2</v>
      </c>
      <c r="B55" s="432" t="str">
        <f>IF($D$11="","",IF($D$11&gt;=A55,VLOOKUP($D$8,A202:W280,5,FALSE),""))</f>
        <v>PMS 0109 DKJP-F</v>
      </c>
      <c r="C55" s="432"/>
      <c r="D55" s="269" t="s">
        <v>635</v>
      </c>
      <c r="E55" s="266">
        <f t="shared" si="0"/>
        <v>91</v>
      </c>
      <c r="F55" s="266">
        <f t="shared" si="1"/>
        <v>2.2000000000000002</v>
      </c>
      <c r="G55" s="266">
        <f t="shared" si="2"/>
        <v>71</v>
      </c>
      <c r="H55" s="266">
        <f t="shared" si="3"/>
        <v>92.96</v>
      </c>
      <c r="I55" s="266">
        <f t="shared" si="4"/>
        <v>-0.39</v>
      </c>
      <c r="J55" s="266">
        <f t="shared" si="5"/>
        <v>29.15</v>
      </c>
      <c r="K55" s="267" t="str">
        <f t="shared" si="6"/>
        <v>T</v>
      </c>
      <c r="L55" s="266" t="str">
        <f t="shared" si="7"/>
        <v>N/A</v>
      </c>
      <c r="M55" s="266">
        <f t="shared" si="8"/>
        <v>0.7</v>
      </c>
      <c r="N55" s="265">
        <f t="shared" si="9"/>
        <v>54</v>
      </c>
    </row>
    <row r="56" spans="1:18" ht="23.1" customHeight="1" x14ac:dyDescent="0.2">
      <c r="A56" s="281">
        <v>3</v>
      </c>
      <c r="B56" s="432" t="str">
        <f>IF($D$11="","",IF($D$11&gt;=A56,VLOOKUP($D$8,A202:W280,6,FALSE),""))</f>
        <v>PMS 0151 DKJP-F</v>
      </c>
      <c r="C56" s="432"/>
      <c r="D56" s="269" t="s">
        <v>636</v>
      </c>
      <c r="E56" s="266">
        <f t="shared" si="0"/>
        <v>74.930000000000007</v>
      </c>
      <c r="F56" s="266">
        <f t="shared" si="1"/>
        <v>36.54</v>
      </c>
      <c r="G56" s="266">
        <f t="shared" si="2"/>
        <v>75.89</v>
      </c>
      <c r="H56" s="266">
        <f t="shared" si="3"/>
        <v>84.16</v>
      </c>
      <c r="I56" s="266">
        <f t="shared" si="4"/>
        <v>19.04</v>
      </c>
      <c r="J56" s="266">
        <f t="shared" si="5"/>
        <v>30.21</v>
      </c>
      <c r="K56" s="267" t="str">
        <f t="shared" si="6"/>
        <v>T</v>
      </c>
      <c r="L56" s="266" t="str">
        <f t="shared" si="7"/>
        <v>N/A</v>
      </c>
      <c r="M56" s="266">
        <f t="shared" si="8"/>
        <v>1.1299999999999999</v>
      </c>
      <c r="N56" s="265">
        <f t="shared" si="9"/>
        <v>65</v>
      </c>
    </row>
    <row r="57" spans="1:18" ht="23.1" customHeight="1" x14ac:dyDescent="0.2">
      <c r="A57" s="281">
        <v>4</v>
      </c>
      <c r="B57" s="432" t="str">
        <f>IF($D$11="","",IF($D$11&gt;=A57,VLOOKUP($D$8,A202:W280,7,FALSE),""))</f>
        <v/>
      </c>
      <c r="C57" s="432"/>
      <c r="D57" s="269" t="s">
        <v>409</v>
      </c>
      <c r="E57" s="266" t="str">
        <f t="shared" si="0"/>
        <v/>
      </c>
      <c r="F57" s="266" t="str">
        <f t="shared" si="1"/>
        <v/>
      </c>
      <c r="G57" s="266" t="str">
        <f t="shared" si="2"/>
        <v/>
      </c>
      <c r="H57" s="266" t="str">
        <f t="shared" si="3"/>
        <v/>
      </c>
      <c r="I57" s="266" t="str">
        <f t="shared" si="4"/>
        <v/>
      </c>
      <c r="J57" s="266" t="str">
        <f t="shared" si="5"/>
        <v/>
      </c>
      <c r="K57" s="267" t="str">
        <f t="shared" si="6"/>
        <v/>
      </c>
      <c r="L57" s="266" t="str">
        <f t="shared" si="7"/>
        <v/>
      </c>
      <c r="M57" s="266" t="str">
        <f t="shared" si="8"/>
        <v/>
      </c>
      <c r="N57" s="265" t="str">
        <f t="shared" si="9"/>
        <v/>
      </c>
    </row>
    <row r="58" spans="1:18" s="270" customFormat="1" ht="23.1" customHeight="1" x14ac:dyDescent="0.2">
      <c r="A58" s="281">
        <v>5</v>
      </c>
      <c r="B58" s="432" t="str">
        <f>IF($D$11="","",IF($D$11&gt;=A58,VLOOKUP($D$8,A202:W280,8,FALSE),""))</f>
        <v/>
      </c>
      <c r="C58" s="432"/>
      <c r="D58" s="269" t="s">
        <v>409</v>
      </c>
      <c r="E58" s="266" t="str">
        <f t="shared" si="0"/>
        <v/>
      </c>
      <c r="F58" s="266" t="str">
        <f t="shared" si="1"/>
        <v/>
      </c>
      <c r="G58" s="266" t="str">
        <f t="shared" si="2"/>
        <v/>
      </c>
      <c r="H58" s="266" t="str">
        <f t="shared" si="3"/>
        <v/>
      </c>
      <c r="I58" s="266" t="str">
        <f t="shared" si="4"/>
        <v/>
      </c>
      <c r="J58" s="266" t="str">
        <f t="shared" si="5"/>
        <v/>
      </c>
      <c r="K58" s="267" t="str">
        <f t="shared" si="6"/>
        <v/>
      </c>
      <c r="L58" s="266" t="str">
        <f t="shared" si="7"/>
        <v/>
      </c>
      <c r="M58" s="266" t="str">
        <f t="shared" si="8"/>
        <v/>
      </c>
      <c r="N58" s="265" t="str">
        <f t="shared" si="9"/>
        <v/>
      </c>
      <c r="O58" s="271"/>
      <c r="P58" s="271"/>
      <c r="Q58" s="271"/>
      <c r="R58" s="271"/>
    </row>
    <row r="59" spans="1:18" ht="23.1" customHeight="1" x14ac:dyDescent="0.2">
      <c r="A59" s="281">
        <v>6</v>
      </c>
      <c r="B59" s="432" t="str">
        <f>IF($D$11="","",IF($D$11&gt;=A59,VLOOKUP($D$8,A202:W280,9,FALSE),""))</f>
        <v/>
      </c>
      <c r="C59" s="432"/>
      <c r="D59" s="269" t="s">
        <v>409</v>
      </c>
      <c r="E59" s="266" t="str">
        <f t="shared" si="0"/>
        <v/>
      </c>
      <c r="F59" s="266" t="str">
        <f t="shared" si="1"/>
        <v/>
      </c>
      <c r="G59" s="266" t="str">
        <f t="shared" si="2"/>
        <v/>
      </c>
      <c r="H59" s="266" t="str">
        <f t="shared" si="3"/>
        <v/>
      </c>
      <c r="I59" s="266" t="str">
        <f t="shared" si="4"/>
        <v/>
      </c>
      <c r="J59" s="266" t="str">
        <f t="shared" si="5"/>
        <v/>
      </c>
      <c r="K59" s="267" t="str">
        <f t="shared" si="6"/>
        <v/>
      </c>
      <c r="L59" s="266" t="str">
        <f t="shared" si="7"/>
        <v/>
      </c>
      <c r="M59" s="266" t="str">
        <f t="shared" si="8"/>
        <v/>
      </c>
      <c r="N59" s="265" t="str">
        <f t="shared" si="9"/>
        <v/>
      </c>
    </row>
    <row r="60" spans="1:18" ht="23.1" customHeight="1" x14ac:dyDescent="0.2">
      <c r="A60" s="281">
        <v>7</v>
      </c>
      <c r="B60" s="432" t="str">
        <f>IF($D$11="","",IF($D$11&gt;=A60,VLOOKUP($D$8,A202:W280,10,FALSE),""))</f>
        <v/>
      </c>
      <c r="C60" s="432"/>
      <c r="D60" s="269" t="s">
        <v>409</v>
      </c>
      <c r="E60" s="266" t="str">
        <f t="shared" si="0"/>
        <v/>
      </c>
      <c r="F60" s="266" t="str">
        <f t="shared" si="1"/>
        <v/>
      </c>
      <c r="G60" s="266" t="str">
        <f t="shared" si="2"/>
        <v/>
      </c>
      <c r="H60" s="266" t="str">
        <f t="shared" si="3"/>
        <v/>
      </c>
      <c r="I60" s="266" t="str">
        <f t="shared" si="4"/>
        <v/>
      </c>
      <c r="J60" s="266" t="str">
        <f t="shared" si="5"/>
        <v/>
      </c>
      <c r="K60" s="267" t="str">
        <f t="shared" si="6"/>
        <v/>
      </c>
      <c r="L60" s="266" t="str">
        <f t="shared" si="7"/>
        <v/>
      </c>
      <c r="M60" s="266" t="str">
        <f t="shared" si="8"/>
        <v/>
      </c>
      <c r="N60" s="265" t="str">
        <f t="shared" si="9"/>
        <v/>
      </c>
    </row>
    <row r="61" spans="1:18" ht="23.1" customHeight="1" x14ac:dyDescent="0.2">
      <c r="A61" s="282">
        <v>8</v>
      </c>
      <c r="B61" s="432" t="str">
        <f>IF($D$11="","",IF($D$11&gt;=A61,VLOOKUP($D$8,A202:W280,11,FALSE),""))</f>
        <v/>
      </c>
      <c r="C61" s="432"/>
      <c r="D61" s="269" t="s">
        <v>409</v>
      </c>
      <c r="E61" s="266" t="str">
        <f t="shared" si="0"/>
        <v/>
      </c>
      <c r="F61" s="266" t="str">
        <f t="shared" si="1"/>
        <v/>
      </c>
      <c r="G61" s="266" t="str">
        <f t="shared" si="2"/>
        <v/>
      </c>
      <c r="H61" s="266" t="str">
        <f t="shared" si="3"/>
        <v/>
      </c>
      <c r="I61" s="266" t="str">
        <f t="shared" si="4"/>
        <v/>
      </c>
      <c r="J61" s="266" t="str">
        <f t="shared" si="5"/>
        <v/>
      </c>
      <c r="K61" s="267" t="str">
        <f t="shared" si="6"/>
        <v/>
      </c>
      <c r="L61" s="266" t="str">
        <f t="shared" si="7"/>
        <v/>
      </c>
      <c r="M61" s="266" t="str">
        <f t="shared" si="8"/>
        <v/>
      </c>
      <c r="N61" s="265" t="str">
        <f t="shared" si="9"/>
        <v/>
      </c>
    </row>
    <row r="62" spans="1:18" ht="23.1" customHeight="1" x14ac:dyDescent="0.2">
      <c r="A62" s="282">
        <v>9</v>
      </c>
      <c r="B62" s="432" t="str">
        <f>IF($D$11="","",IF($D$11&gt;=A62,VLOOKUP($D$8,A202:W280,12,FALSE),""))</f>
        <v/>
      </c>
      <c r="C62" s="432"/>
      <c r="D62" s="269" t="s">
        <v>409</v>
      </c>
      <c r="E62" s="266" t="str">
        <f t="shared" si="0"/>
        <v/>
      </c>
      <c r="F62" s="266" t="str">
        <f t="shared" si="1"/>
        <v/>
      </c>
      <c r="G62" s="266" t="str">
        <f t="shared" si="2"/>
        <v/>
      </c>
      <c r="H62" s="266" t="str">
        <f t="shared" si="3"/>
        <v/>
      </c>
      <c r="I62" s="266" t="str">
        <f t="shared" si="4"/>
        <v/>
      </c>
      <c r="J62" s="266" t="str">
        <f t="shared" si="5"/>
        <v/>
      </c>
      <c r="K62" s="267" t="str">
        <f t="shared" si="6"/>
        <v/>
      </c>
      <c r="L62" s="266" t="str">
        <f t="shared" si="7"/>
        <v/>
      </c>
      <c r="M62" s="266" t="str">
        <f t="shared" si="8"/>
        <v/>
      </c>
      <c r="N62" s="265" t="str">
        <f t="shared" si="9"/>
        <v/>
      </c>
    </row>
    <row r="63" spans="1:18" ht="23.1" customHeight="1" thickBot="1" x14ac:dyDescent="0.25">
      <c r="A63" s="283">
        <v>10</v>
      </c>
      <c r="B63" s="433" t="str">
        <f>IF($D$11="","",IF($D$11&gt;=A63,VLOOKUP($D$8,A202:W280,13,FALSE),""))</f>
        <v/>
      </c>
      <c r="C63" s="433"/>
      <c r="D63" s="268" t="s">
        <v>409</v>
      </c>
      <c r="E63" s="266" t="str">
        <f t="shared" si="0"/>
        <v/>
      </c>
      <c r="F63" s="266" t="str">
        <f t="shared" si="1"/>
        <v/>
      </c>
      <c r="G63" s="266" t="str">
        <f t="shared" si="2"/>
        <v/>
      </c>
      <c r="H63" s="266" t="str">
        <f t="shared" si="3"/>
        <v/>
      </c>
      <c r="I63" s="266" t="str">
        <f t="shared" si="4"/>
        <v/>
      </c>
      <c r="J63" s="266" t="str">
        <f t="shared" si="5"/>
        <v/>
      </c>
      <c r="K63" s="267" t="str">
        <f t="shared" si="6"/>
        <v/>
      </c>
      <c r="L63" s="266" t="str">
        <f t="shared" si="7"/>
        <v/>
      </c>
      <c r="M63" s="266" t="str">
        <f t="shared" si="8"/>
        <v/>
      </c>
      <c r="N63" s="265" t="str">
        <f t="shared" si="9"/>
        <v/>
      </c>
    </row>
    <row r="64" spans="1:18" ht="15" customHeight="1" thickBot="1" x14ac:dyDescent="0.25"/>
    <row r="65" spans="1:18" ht="23.1" customHeight="1" x14ac:dyDescent="0.2">
      <c r="A65" s="376" t="s">
        <v>408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8"/>
    </row>
    <row r="66" spans="1:18" ht="23.1" customHeight="1" x14ac:dyDescent="0.2">
      <c r="A66" s="434" t="s">
        <v>407</v>
      </c>
      <c r="B66" s="435"/>
      <c r="C66" s="436"/>
      <c r="D66" s="437" t="s">
        <v>637</v>
      </c>
      <c r="E66" s="438"/>
      <c r="F66" s="438"/>
      <c r="G66" s="438"/>
      <c r="H66" s="438"/>
      <c r="I66" s="438"/>
      <c r="J66" s="438"/>
      <c r="K66" s="438"/>
      <c r="L66" s="438"/>
      <c r="M66" s="438"/>
      <c r="N66" s="439"/>
    </row>
    <row r="67" spans="1:18" ht="23.1" customHeight="1" thickBot="1" x14ac:dyDescent="0.25">
      <c r="A67" s="434" t="s">
        <v>364</v>
      </c>
      <c r="B67" s="435"/>
      <c r="C67" s="436"/>
      <c r="D67" s="440" t="s">
        <v>406</v>
      </c>
      <c r="E67" s="441"/>
      <c r="F67" s="441"/>
      <c r="G67" s="441"/>
      <c r="H67" s="441"/>
      <c r="I67" s="441"/>
      <c r="J67" s="441"/>
      <c r="K67" s="441"/>
      <c r="L67" s="441"/>
      <c r="M67" s="441"/>
      <c r="N67" s="442"/>
    </row>
    <row r="68" spans="1:18" ht="23.1" customHeight="1" thickBot="1" x14ac:dyDescent="0.25">
      <c r="A68" s="443" t="s">
        <v>405</v>
      </c>
      <c r="B68" s="444"/>
      <c r="C68" s="445"/>
      <c r="D68" s="264" t="s">
        <v>404</v>
      </c>
      <c r="E68" s="263"/>
      <c r="F68" s="264" t="s">
        <v>403</v>
      </c>
      <c r="G68" s="263"/>
      <c r="H68" s="264" t="s">
        <v>402</v>
      </c>
      <c r="I68" s="263"/>
      <c r="J68" s="264" t="s">
        <v>401</v>
      </c>
      <c r="K68" s="263"/>
      <c r="L68" s="264" t="s">
        <v>400</v>
      </c>
      <c r="M68" s="263"/>
      <c r="N68" s="262" t="str">
        <f>IF(E68="","",AVERAGE(E68:M68))</f>
        <v/>
      </c>
    </row>
    <row r="69" spans="1:18" s="224" customFormat="1" ht="23.1" customHeight="1" x14ac:dyDescent="0.2">
      <c r="A69" s="376" t="s">
        <v>399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8"/>
    </row>
    <row r="70" spans="1:18" ht="30.95" customHeight="1" thickBot="1" x14ac:dyDescent="0.25">
      <c r="A70" s="284" t="s">
        <v>398</v>
      </c>
      <c r="B70" s="429" t="s">
        <v>397</v>
      </c>
      <c r="C70" s="430"/>
      <c r="D70" s="261" t="s">
        <v>396</v>
      </c>
      <c r="E70" s="260" t="s">
        <v>395</v>
      </c>
      <c r="F70" s="260" t="s">
        <v>394</v>
      </c>
      <c r="G70" s="260" t="s">
        <v>393</v>
      </c>
      <c r="H70" s="260" t="s">
        <v>392</v>
      </c>
      <c r="I70" s="260" t="s">
        <v>391</v>
      </c>
      <c r="J70" s="431" t="str">
        <f>IF($D$48="DE CMC 2:1","DE CMC 2:1",IF($D$48="DE 2000","DE 2000",""))</f>
        <v>DE CMC 2:1</v>
      </c>
      <c r="K70" s="431"/>
      <c r="L70" s="260" t="s">
        <v>390</v>
      </c>
      <c r="M70" s="260" t="s">
        <v>389</v>
      </c>
      <c r="N70" s="259" t="s">
        <v>388</v>
      </c>
    </row>
    <row r="71" spans="1:18" s="224" customFormat="1" ht="23.1" customHeight="1" x14ac:dyDescent="0.2">
      <c r="A71" s="285">
        <v>1</v>
      </c>
      <c r="B71" s="403" t="str">
        <f>B54</f>
        <v>PMS 3272 DKJP-F</v>
      </c>
      <c r="C71" s="403"/>
      <c r="D71" s="252" t="str">
        <f>IF(LEFT(B71,3)="PGP","Paper",IF(B71="","","Solid"))</f>
        <v>Solid</v>
      </c>
      <c r="E71" s="251" t="str">
        <f>IF(D71="","",IF(D71="Paper",0,"100"))</f>
        <v>100</v>
      </c>
      <c r="F71" s="250">
        <v>63.63</v>
      </c>
      <c r="G71" s="250">
        <v>-60.62</v>
      </c>
      <c r="H71" s="250">
        <v>-7.76</v>
      </c>
      <c r="I71" s="250">
        <v>1.27</v>
      </c>
      <c r="J71" s="404">
        <f>IF(OR(F71="",G71="",H71=""),"",IFERROR(IF($D$48="DE CMC 2:1",DE!$F$9,IF($D$48="DE 2000",DE!$F$12,"")),""))</f>
        <v>1.03</v>
      </c>
      <c r="K71" s="405"/>
      <c r="L71" s="248">
        <f>IF(I71="","",IFERROR(I71-Template!M$54,""))</f>
        <v>0.18999999999999995</v>
      </c>
      <c r="M71" s="247">
        <f>IFERROR(IF(LEFT(B71,3)="PGP","",IF(D71="Tint",Scoring!$F$38,IF(D71="Solid",Scoring!$E$38,""))),"")</f>
        <v>4.5</v>
      </c>
      <c r="N71" s="246" t="str">
        <f>IF(OR(I72="",I71=""),"",IF(I72&lt;2,((1-POWER(10,$I$71-I72))/(1-POWER(10,$I$71-I71)))*100,""))</f>
        <v/>
      </c>
      <c r="O71" s="238"/>
      <c r="P71" s="238"/>
      <c r="Q71" s="238"/>
      <c r="R71" s="238"/>
    </row>
    <row r="72" spans="1:18" s="224" customFormat="1" ht="23.1" customHeight="1" thickBot="1" x14ac:dyDescent="0.25">
      <c r="A72" s="286">
        <v>1</v>
      </c>
      <c r="B72" s="400" t="str">
        <f>IF(LEFT(B71,3)="PGP","",IF(B71="","",B71))</f>
        <v>PMS 3272 DKJP-F</v>
      </c>
      <c r="C72" s="400"/>
      <c r="D72" s="245" t="str">
        <f>IF(LEFT(B72,3)="PGP","Paper",IF(B72="","","Tint"))</f>
        <v>Tint</v>
      </c>
      <c r="E72" s="244" t="str">
        <f>IF(D72="","",IF(D72="Paper",0,"50"))</f>
        <v>50</v>
      </c>
      <c r="F72" s="243">
        <v>76.5</v>
      </c>
      <c r="G72" s="243">
        <v>-29.3</v>
      </c>
      <c r="H72" s="243">
        <v>-4.05</v>
      </c>
      <c r="I72" s="243">
        <v>71</v>
      </c>
      <c r="J72" s="407">
        <f>IF(OR(F72="",G72="",H72=""),"",IFERROR(IF($D$48="DE CMC 2:1",DE!$M$9,IF($D$48="DE 2000",DE!$M$12,"")),""))</f>
        <v>3.36</v>
      </c>
      <c r="K72" s="401"/>
      <c r="L72" s="241">
        <f>IF(OR(I72="",I71=""),"",IF(I72&gt;2,I72-Template!N$54,N71-Template!N$54))</f>
        <v>8</v>
      </c>
      <c r="M72" s="240">
        <f>IFERROR(IF(D72="Tint",Scoring!$F$39,IF(D72="Solid",Scoring!$E$39,"")),"")</f>
        <v>3</v>
      </c>
      <c r="N72" s="239">
        <f>IF(I72="","",Scoring!$F$3)</f>
        <v>2</v>
      </c>
      <c r="O72" s="238"/>
      <c r="P72" s="238"/>
      <c r="Q72" s="238"/>
      <c r="R72" s="238"/>
    </row>
    <row r="73" spans="1:18" ht="23.1" customHeight="1" x14ac:dyDescent="0.2">
      <c r="A73" s="285">
        <v>2</v>
      </c>
      <c r="B73" s="403" t="str">
        <f>B55</f>
        <v>PMS 0109 DKJP-F</v>
      </c>
      <c r="C73" s="403"/>
      <c r="D73" s="252" t="str">
        <f>IF(LEFT(B73,3)="PGP","Paper",IF(B73="","","Solid"))</f>
        <v>Solid</v>
      </c>
      <c r="E73" s="251" t="str">
        <f>IF(D73="","",IF(D73="Paper",0,"100"))</f>
        <v>100</v>
      </c>
      <c r="F73" s="250">
        <v>88.06</v>
      </c>
      <c r="G73" s="250">
        <v>0.63</v>
      </c>
      <c r="H73" s="250">
        <v>71.73</v>
      </c>
      <c r="I73" s="250">
        <v>0.68</v>
      </c>
      <c r="J73" s="404">
        <f>IF(OR(F73="",G73="",H73=""),"",IFERROR(IF($D$48="DE CMC 2:1",DE!$F$33,IF($D$48="DE 2000",DE!$F$36,"")),""))</f>
        <v>1.4</v>
      </c>
      <c r="K73" s="405"/>
      <c r="L73" s="248">
        <f>IF(I73="","",IFERROR(I73-Template!M$55,""))</f>
        <v>-1.9999999999999907E-2</v>
      </c>
      <c r="M73" s="247">
        <f>IFERROR(IF(D73="Tint",Scoring!$F$40,IF(D73="Solid",Scoring!$E$40,"")),"")</f>
        <v>4.5</v>
      </c>
      <c r="N73" s="246" t="str">
        <f>IF(OR(I74="",I73=""),"",IF(I74&lt;2,((1-POWER(10,$I$71-I74))/(1-POWER(10,$I$71-I73)))*100,""))</f>
        <v/>
      </c>
      <c r="O73" s="238"/>
      <c r="P73" s="238"/>
      <c r="Q73" s="238"/>
      <c r="R73" s="238"/>
    </row>
    <row r="74" spans="1:18" ht="23.1" customHeight="1" thickBot="1" x14ac:dyDescent="0.25">
      <c r="A74" s="286">
        <v>2</v>
      </c>
      <c r="B74" s="400" t="str">
        <f>IF(LEFT(B73,3)="PGP","",IF(B73="","",B73))</f>
        <v>PMS 0109 DKJP-F</v>
      </c>
      <c r="C74" s="400"/>
      <c r="D74" s="245" t="str">
        <f>IF(LEFT(B74,3)="PGP","Paper",IF(B74="","","Tint"))</f>
        <v>Tint</v>
      </c>
      <c r="E74" s="244">
        <f>IF(D74="","",IF(D74="Paper",0,50))</f>
        <v>50</v>
      </c>
      <c r="F74" s="243">
        <v>91.67</v>
      </c>
      <c r="G74" s="243">
        <v>0.15</v>
      </c>
      <c r="H74" s="243">
        <v>34.01</v>
      </c>
      <c r="I74" s="243">
        <v>62</v>
      </c>
      <c r="J74" s="407">
        <f>IF(OR(F74="",G74="",H74=""),"",IFERROR(IF($D$48="DE CMC 2:1",DE!$M$33,IF($D$48="DE 2000",DE!$M$36,"")),""))</f>
        <v>2.5299999999999998</v>
      </c>
      <c r="K74" s="401"/>
      <c r="L74" s="241">
        <f>IF(OR(I74="",I73=""),"",IF(I74&gt;2,I74-Template!N$55,N73-Template!N$55))</f>
        <v>8</v>
      </c>
      <c r="M74" s="240">
        <f>IFERROR(IF(D74="Tint",Scoring!$F$41,IF(D74="Solid",Scoring!$E$41,"")),"")</f>
        <v>3</v>
      </c>
      <c r="N74" s="239">
        <f>IF(I74="","",Scoring!$F$4)</f>
        <v>2</v>
      </c>
      <c r="O74" s="238"/>
      <c r="P74" s="238"/>
      <c r="Q74" s="238"/>
      <c r="R74" s="238"/>
    </row>
    <row r="75" spans="1:18" ht="23.1" customHeight="1" x14ac:dyDescent="0.2">
      <c r="A75" s="287">
        <v>3</v>
      </c>
      <c r="B75" s="402" t="str">
        <f>B56</f>
        <v>PMS 0151 DKJP-F</v>
      </c>
      <c r="C75" s="403"/>
      <c r="D75" s="252" t="str">
        <f>IF(LEFT(B75,3)="PGP","Paper",IF(B75="","","Solid"))</f>
        <v>Solid</v>
      </c>
      <c r="E75" s="251" t="str">
        <f>IF(D75="","",IF(D75="Paper",0,"100"))</f>
        <v>100</v>
      </c>
      <c r="F75" s="250">
        <v>73.13</v>
      </c>
      <c r="G75" s="250">
        <v>37.119999999999997</v>
      </c>
      <c r="H75" s="250">
        <v>75.62</v>
      </c>
      <c r="I75" s="250">
        <v>1.1499999999999999</v>
      </c>
      <c r="J75" s="404">
        <f>IF(OR(F75="",G75="",H75=""),"",IFERROR(IF($D$48="DE CMC 2:1",DE!$F$57,IF($D$48="DE 2000",DE!$F$60,"")),""))</f>
        <v>0.83</v>
      </c>
      <c r="K75" s="405"/>
      <c r="L75" s="248">
        <f>IF(I75="","",IFERROR(I75-Template!M$56,""))</f>
        <v>2.0000000000000018E-2</v>
      </c>
      <c r="M75" s="247">
        <f>IFERROR(IF(D75="Tint",Scoring!$F$42,IF(D75="Solid",Scoring!$E$42,"")),"")</f>
        <v>4.5</v>
      </c>
      <c r="N75" s="246" t="str">
        <f>IF(OR(I76="",I75=""),"",IF(I76&lt;2,((1-POWER(10,$I$71-I76))/(1-POWER(10,$I$71-I75)))*100,""))</f>
        <v/>
      </c>
      <c r="O75" s="238"/>
      <c r="P75" s="238"/>
      <c r="Q75" s="238"/>
      <c r="R75" s="238"/>
    </row>
    <row r="76" spans="1:18" ht="23.1" customHeight="1" thickBot="1" x14ac:dyDescent="0.25">
      <c r="A76" s="288">
        <v>3</v>
      </c>
      <c r="B76" s="406" t="str">
        <f>IF(LEFT(B75,3)="PGP","",IF(B75="","",B75))</f>
        <v>PMS 0151 DKJP-F</v>
      </c>
      <c r="C76" s="400"/>
      <c r="D76" s="245" t="str">
        <f>IF(LEFT(B76,3)="PGP","Paper",IF(B76="","","Tint"))</f>
        <v>Tint</v>
      </c>
      <c r="E76" s="244">
        <f>IF(D76="","",IF(D76="Paper",0,50))</f>
        <v>50</v>
      </c>
      <c r="F76" s="243">
        <v>84.41</v>
      </c>
      <c r="G76" s="243">
        <v>17.07</v>
      </c>
      <c r="H76" s="243">
        <v>27.43</v>
      </c>
      <c r="I76" s="243">
        <v>60</v>
      </c>
      <c r="J76" s="407">
        <f>IF(OR(F76="",G76="",H76=""),"",IFERROR(IF($D$48="DE CMC 2:1",DE!$M$57,IF($D$48="DE 2000",DE!$M$60,"")),""))</f>
        <v>1.57</v>
      </c>
      <c r="K76" s="401"/>
      <c r="L76" s="241">
        <f>IF(OR(I76="",I75=""),"",IF(I76&gt;2,I76-Template!N$56,N75-Template!N$56))</f>
        <v>-5</v>
      </c>
      <c r="M76" s="240">
        <f>IFERROR(IF(D76="Tint",Scoring!$F$43,IF(D76="Solid",Scoring!$E$43,"")),"")</f>
        <v>4</v>
      </c>
      <c r="N76" s="239">
        <f>IF(I76="","",Scoring!$F$5)</f>
        <v>3.5</v>
      </c>
      <c r="O76" s="238"/>
      <c r="P76" s="238"/>
      <c r="Q76" s="238"/>
      <c r="R76" s="238"/>
    </row>
    <row r="77" spans="1:18" ht="23.1" customHeight="1" x14ac:dyDescent="0.2">
      <c r="A77" s="289">
        <v>4</v>
      </c>
      <c r="B77" s="402" t="str">
        <f>B57</f>
        <v/>
      </c>
      <c r="C77" s="403"/>
      <c r="D77" s="252" t="str">
        <f>IF(LEFT(B77,3)="PGP","Paper",IF(B77="","","Solid"))</f>
        <v/>
      </c>
      <c r="E77" s="251" t="str">
        <f>IF(D77="","",IF(D77="Paper",0,"100"))</f>
        <v/>
      </c>
      <c r="F77" s="250"/>
      <c r="G77" s="250"/>
      <c r="H77" s="250"/>
      <c r="I77" s="250"/>
      <c r="J77" s="404" t="str">
        <f>IF(OR(F77="",G77="",H77=""),"",IFERROR(IF($D$48="DE CMC 2:1",DE!$F$81,IF($D$48="DE 2000",DE!$F$84,"")),""))</f>
        <v/>
      </c>
      <c r="K77" s="405"/>
      <c r="L77" s="248" t="str">
        <f>IF(I77="","",IFERROR(I77-Template!M$57,""))</f>
        <v/>
      </c>
      <c r="M77" s="247" t="str">
        <f>IFERROR(IF(D77="Tint",Scoring!$F$44,IF(D77="Solid",Scoring!$E$44,"")),"")</f>
        <v/>
      </c>
      <c r="N77" s="246" t="str">
        <f>IF(OR(I78="",I77=""),"",IF(I78&lt;2,((1-POWER(10,$I$71-I78))/(1-POWER(10,$I$71-I77)))*100,""))</f>
        <v/>
      </c>
      <c r="O77" s="238"/>
      <c r="P77" s="238"/>
      <c r="Q77" s="238"/>
      <c r="R77" s="238"/>
    </row>
    <row r="78" spans="1:18" ht="23.1" customHeight="1" thickBot="1" x14ac:dyDescent="0.25">
      <c r="A78" s="288">
        <v>4</v>
      </c>
      <c r="B78" s="406" t="str">
        <f>IF(LEFT(B77,3)="PGP","",IF(B77="","",B77))</f>
        <v/>
      </c>
      <c r="C78" s="400"/>
      <c r="D78" s="245" t="str">
        <f>IF(LEFT(B78,3)="PGP","Paper",IF(B78="","","Tint"))</f>
        <v/>
      </c>
      <c r="E78" s="244" t="str">
        <f>IF(D78="","",IF(D78="Paper",0,50))</f>
        <v/>
      </c>
      <c r="F78" s="243"/>
      <c r="G78" s="243"/>
      <c r="H78" s="243"/>
      <c r="I78" s="243"/>
      <c r="J78" s="407" t="str">
        <f>IF(OR(F78="",G78="",H78=""),"",IFERROR(IF($D$48="DE CMC 2:1",DE!$M$81,IF($D$48="DE 2000",DE!$M$84,"")),""))</f>
        <v/>
      </c>
      <c r="K78" s="401"/>
      <c r="L78" s="241" t="str">
        <f>IF(OR(I78="",I77=""),"",IF(I78&gt;2,I78-Template!N$57,N77-Template!N$57))</f>
        <v/>
      </c>
      <c r="M78" s="240" t="str">
        <f>IFERROR(IF(D78="Tint",Scoring!$F$45,IF(D78="Solid",Scoring!$E$45,"")),"")</f>
        <v/>
      </c>
      <c r="N78" s="239" t="str">
        <f>IF(I78="","",Scoring!$F$6)</f>
        <v/>
      </c>
      <c r="O78" s="238"/>
      <c r="P78" s="238"/>
      <c r="Q78" s="238"/>
      <c r="R78" s="238"/>
    </row>
    <row r="79" spans="1:18" s="224" customFormat="1" ht="23.1" customHeight="1" x14ac:dyDescent="0.2">
      <c r="A79" s="289">
        <v>5</v>
      </c>
      <c r="B79" s="402" t="str">
        <f>B58</f>
        <v/>
      </c>
      <c r="C79" s="403"/>
      <c r="D79" s="252" t="str">
        <f>IF(LEFT(B79,3)="PGP","Paper",IF(B79="","","Solid"))</f>
        <v/>
      </c>
      <c r="E79" s="251" t="str">
        <f>IF(D79="","",IF(D79="Paper",0,"100"))</f>
        <v/>
      </c>
      <c r="F79" s="250"/>
      <c r="G79" s="250"/>
      <c r="H79" s="250"/>
      <c r="I79" s="250"/>
      <c r="J79" s="404" t="str">
        <f>IF(OR(F79="",G79="",H79=""),"",IFERROR(IF($D$48="DE CMC 2:1",DE!$F$105,IF($D$48="DE 2000",DE!$F$108,"")),""))</f>
        <v/>
      </c>
      <c r="K79" s="405"/>
      <c r="L79" s="248" t="str">
        <f>IF(I79="","",IFERROR(I79-Template!M$58,""))</f>
        <v/>
      </c>
      <c r="M79" s="247" t="str">
        <f>IFERROR(IF(D79="Tint",Scoring!$F$46,IF(D79="Solid",Scoring!$E$46,"")),"")</f>
        <v/>
      </c>
      <c r="N79" s="246" t="str">
        <f>IF(OR(I80="",I79=""),"",IF(I80&lt;2,((1-POWER(10,$I$71-I80))/(1-POWER(10,$I$71-I79)))*100,""))</f>
        <v/>
      </c>
      <c r="O79" s="238"/>
      <c r="P79" s="238"/>
      <c r="Q79" s="238"/>
      <c r="R79" s="238"/>
    </row>
    <row r="80" spans="1:18" s="224" customFormat="1" ht="23.1" customHeight="1" thickBot="1" x14ac:dyDescent="0.25">
      <c r="A80" s="288">
        <v>5</v>
      </c>
      <c r="B80" s="406" t="str">
        <f>IF(LEFT(B79,3)="PGP","",IF(B79="","",B79))</f>
        <v/>
      </c>
      <c r="C80" s="400"/>
      <c r="D80" s="245" t="str">
        <f>IF(LEFT(B80,3)="PGP","Paper",IF(B80="","","Tint"))</f>
        <v/>
      </c>
      <c r="E80" s="244" t="str">
        <f>IF(D80="","",IF(D80="Paper",0,50))</f>
        <v/>
      </c>
      <c r="F80" s="243"/>
      <c r="G80" s="243"/>
      <c r="H80" s="243"/>
      <c r="I80" s="243"/>
      <c r="J80" s="407" t="str">
        <f>IF(OR(F80="",G80="",H80=""),"",IFERROR(IF($D$48="DE CMC 2:1",DE!$M$105,IF($D$48="DE 2000",DE!$M$108,"")),""))</f>
        <v/>
      </c>
      <c r="K80" s="401"/>
      <c r="L80" s="241" t="str">
        <f>IF(OR(I80="",I79=""),"",IF(I80&gt;2,I80-Template!N$58,N79-Template!N$58))</f>
        <v/>
      </c>
      <c r="M80" s="240" t="str">
        <f>IFERROR(IF(D80="Tint",Scoring!$F$47,IF(D80="Solid",Scoring!$E$47,"")),"")</f>
        <v/>
      </c>
      <c r="N80" s="239" t="str">
        <f>IF(I80="","",Scoring!$F$7)</f>
        <v/>
      </c>
      <c r="O80" s="238"/>
      <c r="P80" s="238"/>
      <c r="Q80" s="238"/>
      <c r="R80" s="238"/>
    </row>
    <row r="81" spans="1:18" ht="23.1" customHeight="1" x14ac:dyDescent="0.2">
      <c r="A81" s="289">
        <v>6</v>
      </c>
      <c r="B81" s="402" t="str">
        <f>B59</f>
        <v/>
      </c>
      <c r="C81" s="403"/>
      <c r="D81" s="252" t="str">
        <f>IF(LEFT(B81,3)="PGP","Paper",IF(B81="","","Solid"))</f>
        <v/>
      </c>
      <c r="E81" s="251" t="str">
        <f>IF(D81="","",IF(D81="Paper",0,"100"))</f>
        <v/>
      </c>
      <c r="F81" s="250"/>
      <c r="G81" s="250"/>
      <c r="H81" s="250"/>
      <c r="I81" s="250"/>
      <c r="J81" s="404" t="str">
        <f>IF(OR(F81="",G81="",H81=""),"",IFERROR(IF($D$48="DE CMC 2:1",DE!$F$129,IF($D$48="DE 2000",DE!$F$132,"")),""))</f>
        <v/>
      </c>
      <c r="K81" s="405"/>
      <c r="L81" s="248" t="str">
        <f>IF(I81="","",IFERROR(I81-Template!M$59,""))</f>
        <v/>
      </c>
      <c r="M81" s="247" t="str">
        <f>IFERROR(IF(D81="Tint",Scoring!$F$48,IF(D81="Solid",Scoring!$E$48,"")),"")</f>
        <v/>
      </c>
      <c r="N81" s="246" t="str">
        <f>IF(OR(I82="",I81=""),"",IF(I82&lt;2,((1-POWER(10,$I$71-I82))/(1-POWER(10,$I$71-I81)))*100,""))</f>
        <v/>
      </c>
      <c r="O81" s="238"/>
      <c r="P81" s="238"/>
      <c r="Q81" s="238"/>
      <c r="R81" s="238"/>
    </row>
    <row r="82" spans="1:18" ht="23.1" customHeight="1" thickBot="1" x14ac:dyDescent="0.25">
      <c r="A82" s="288">
        <v>6</v>
      </c>
      <c r="B82" s="406" t="str">
        <f>IF(LEFT(B81,3)="PGP","",IF(B81="","",B81))</f>
        <v/>
      </c>
      <c r="C82" s="400"/>
      <c r="D82" s="245" t="str">
        <f>IF(LEFT(B82,3)="PGP","Paper",IF(B82="","","Tint"))</f>
        <v/>
      </c>
      <c r="E82" s="244" t="str">
        <f>IF(D82="","",IF(D82="Paper",0,50))</f>
        <v/>
      </c>
      <c r="F82" s="243"/>
      <c r="G82" s="243"/>
      <c r="H82" s="243"/>
      <c r="I82" s="243"/>
      <c r="J82" s="407" t="str">
        <f>IF(OR(F82="",G82="",H82=""),"",IFERROR(IF($D$48="DE CMC 2:1",DE!$M$129,IF($D$48="DE 2000",DE!$M$132,"")),""))</f>
        <v/>
      </c>
      <c r="K82" s="401"/>
      <c r="L82" s="241" t="str">
        <f>IF(OR(I82="",I81=""),"",IF(I82&gt;2,I82-Template!N$59,N81-Template!N$59))</f>
        <v/>
      </c>
      <c r="M82" s="240" t="str">
        <f>IFERROR(IF(D82="Tint",Scoring!$F$49,IF(D82="Solid",Scoring!$E$49,"")),"")</f>
        <v/>
      </c>
      <c r="N82" s="239" t="str">
        <f>IF(I82="","",Scoring!$F$8)</f>
        <v/>
      </c>
      <c r="O82" s="238"/>
      <c r="P82" s="238"/>
      <c r="Q82" s="238"/>
      <c r="R82" s="238"/>
    </row>
    <row r="83" spans="1:18" ht="23.1" customHeight="1" x14ac:dyDescent="0.2">
      <c r="A83" s="289">
        <v>7</v>
      </c>
      <c r="B83" s="402" t="str">
        <f>B60</f>
        <v/>
      </c>
      <c r="C83" s="403"/>
      <c r="D83" s="252" t="str">
        <f>IF(LEFT(B83,3)="PGP","Paper",IF(B83="","","Solid"))</f>
        <v/>
      </c>
      <c r="E83" s="251" t="str">
        <f>IF(D83="","",IF(D83="Paper",0,"100"))</f>
        <v/>
      </c>
      <c r="F83" s="250"/>
      <c r="G83" s="250"/>
      <c r="H83" s="250"/>
      <c r="I83" s="249"/>
      <c r="J83" s="404" t="str">
        <f>IF(OR(F83="",G83="",H83=""),"",IFERROR(IF($D$48="DE CMC 2:1",DE!$F$153,IF($D$48="DE 2000",DE!$F$156,"")),""))</f>
        <v/>
      </c>
      <c r="K83" s="405"/>
      <c r="L83" s="248" t="str">
        <f>IF(I83="","",IFERROR(I83-Template!M$60,""))</f>
        <v/>
      </c>
      <c r="M83" s="247" t="str">
        <f>IFERROR(IF(D83="Tint",Scoring!$F$50,IF(D83="Solid",Scoring!$E$50,"")),"")</f>
        <v/>
      </c>
      <c r="N83" s="246" t="str">
        <f>IF(OR(I84="",I83=""),"",IF(I84&lt;2,((1-POWER(10,$I$71-I84))/(1-POWER(10,$I$71-I83)))*100,""))</f>
        <v/>
      </c>
      <c r="O83" s="238"/>
      <c r="P83" s="238"/>
      <c r="Q83" s="238"/>
      <c r="R83" s="238"/>
    </row>
    <row r="84" spans="1:18" ht="23.1" customHeight="1" thickBot="1" x14ac:dyDescent="0.25">
      <c r="A84" s="288">
        <v>7</v>
      </c>
      <c r="B84" s="406" t="str">
        <f>IF(LEFT(B83,3)="PGP","",IF(B83="","",B83))</f>
        <v/>
      </c>
      <c r="C84" s="400"/>
      <c r="D84" s="245" t="str">
        <f>IF(LEFT(B84,3)="PGP","Paper",IF(B84="","","Tint"))</f>
        <v/>
      </c>
      <c r="E84" s="244" t="str">
        <f>IF(D84="","",IF(D84="Paper",0,50))</f>
        <v/>
      </c>
      <c r="F84" s="243"/>
      <c r="G84" s="243"/>
      <c r="H84" s="243"/>
      <c r="I84" s="242"/>
      <c r="J84" s="407" t="str">
        <f>IF(OR(F84="",G84="",H84=""),"",IFERROR(IF($D$48="DE CMC 2:1",DE!$M$153,IF($D$48="DE 2000",DE!$M$156,"")),""))</f>
        <v/>
      </c>
      <c r="K84" s="401"/>
      <c r="L84" s="241" t="str">
        <f>IF(OR(I84="",I83=""),"",IF(I84&gt;2,I84-Template!N$60,N83-Template!N$60))</f>
        <v/>
      </c>
      <c r="M84" s="240" t="str">
        <f>IFERROR(IF(D84="Tint",Scoring!$F$51,IF(D84="Solid",Scoring!$E$51,"")),"")</f>
        <v/>
      </c>
      <c r="N84" s="239" t="str">
        <f>IF(I84="","",Scoring!$F$9)</f>
        <v/>
      </c>
      <c r="O84" s="238"/>
      <c r="P84" s="238"/>
      <c r="Q84" s="238"/>
      <c r="R84" s="238"/>
    </row>
    <row r="85" spans="1:18" ht="23.1" customHeight="1" x14ac:dyDescent="0.2">
      <c r="A85" s="289">
        <v>8</v>
      </c>
      <c r="B85" s="402" t="str">
        <f>B61</f>
        <v/>
      </c>
      <c r="C85" s="403"/>
      <c r="D85" s="252" t="str">
        <f>IF(LEFT(B85,3)="PGP","Paper",IF(B85="","","Solid"))</f>
        <v/>
      </c>
      <c r="E85" s="251" t="str">
        <f>IF(D85="","",IF(D85="Paper",0,"100"))</f>
        <v/>
      </c>
      <c r="F85" s="250"/>
      <c r="G85" s="250"/>
      <c r="H85" s="250"/>
      <c r="I85" s="249"/>
      <c r="J85" s="404" t="str">
        <f>IF(OR(F85="",G85="",H85=""),"",IFERROR(IF($D$48="DE CMC 2:1",DE!$F$177,IF($D$48="DE 2000",DE!$F$180,"")),""))</f>
        <v/>
      </c>
      <c r="K85" s="405"/>
      <c r="L85" s="248" t="str">
        <f>IF(I85="","",IFERROR(I85-Template!M$61,""))</f>
        <v/>
      </c>
      <c r="M85" s="247" t="str">
        <f>IFERROR(IF(D85="Tint",Scoring!$F$52,IF(D85="Solid",Scoring!$E$52,"")),"")</f>
        <v/>
      </c>
      <c r="N85" s="246" t="str">
        <f>IF(OR(I86="",I85=""),"",IF(I86&lt;2,((1-POWER(10,$I$71-I86))/(1-POWER(10,$I$71-I85)))*100,""))</f>
        <v/>
      </c>
      <c r="O85" s="238"/>
      <c r="P85" s="238"/>
      <c r="Q85" s="238"/>
      <c r="R85" s="238"/>
    </row>
    <row r="86" spans="1:18" ht="23.1" customHeight="1" thickBot="1" x14ac:dyDescent="0.25">
      <c r="A86" s="290">
        <v>8</v>
      </c>
      <c r="B86" s="421" t="str">
        <f>IF(LEFT(B85,3)="PGP","",IF(B85="","",B85))</f>
        <v/>
      </c>
      <c r="C86" s="422"/>
      <c r="D86" s="258" t="str">
        <f>IF(LEFT(B86,3)="PGP","Paper",IF(B86="","","Tint"))</f>
        <v/>
      </c>
      <c r="E86" s="257" t="str">
        <f>IF(D86="","",IF(D86="Paper",0,50))</f>
        <v/>
      </c>
      <c r="F86" s="243"/>
      <c r="G86" s="243"/>
      <c r="H86" s="243"/>
      <c r="I86" s="256"/>
      <c r="J86" s="423" t="str">
        <f>IF(OR(F86="",G86="",H86=""),"",IFERROR(IF($D$48="DE CMC 2:1",DE!$M$177,IF($D$48="DE 2000",DE!$M$180,"")),""))</f>
        <v/>
      </c>
      <c r="K86" s="424"/>
      <c r="L86" s="255" t="str">
        <f>IF(OR(I86="",I85=""),"",IF(I86&gt;2,I86-Template!N$61,N85-Template!N$61))</f>
        <v/>
      </c>
      <c r="M86" s="254" t="str">
        <f>IFERROR(IF(D86="Tint",Scoring!$F$53,IF(D86="Solid",Scoring!$E$53,"")),"")</f>
        <v/>
      </c>
      <c r="N86" s="253" t="str">
        <f>IF(I86="","",Scoring!$F$10)</f>
        <v/>
      </c>
      <c r="O86" s="238"/>
      <c r="P86" s="238"/>
      <c r="Q86" s="238"/>
      <c r="R86" s="238"/>
    </row>
    <row r="87" spans="1:18" ht="23.1" customHeight="1" x14ac:dyDescent="0.2">
      <c r="A87" s="285">
        <v>9</v>
      </c>
      <c r="B87" s="403" t="str">
        <f>B62</f>
        <v/>
      </c>
      <c r="C87" s="403"/>
      <c r="D87" s="252" t="str">
        <f>IF(LEFT(B87,3)="PGP","Paper",IF(B87="","","Solid"))</f>
        <v/>
      </c>
      <c r="E87" s="251" t="str">
        <f>IF(D87="","",IF(D87="Paper",0,"100"))</f>
        <v/>
      </c>
      <c r="F87" s="250"/>
      <c r="G87" s="250"/>
      <c r="H87" s="250"/>
      <c r="I87" s="249"/>
      <c r="J87" s="405" t="str">
        <f>IF(OR(F87="",G87="",H87=""),"",IFERROR(IF($D$48="DE CMC 2:1",DE!$F$202,IF($D$48="DE 2000",DE!$F$205,"")),""))</f>
        <v/>
      </c>
      <c r="K87" s="405"/>
      <c r="L87" s="248" t="str">
        <f>IF(I87="","",IFERROR(I87-Template!M$62,""))</f>
        <v/>
      </c>
      <c r="M87" s="247" t="str">
        <f>IFERROR(IF(D87="Tint",Scoring!$F$54,IF(D87="Solid",Scoring!$E$54,"")),"")</f>
        <v/>
      </c>
      <c r="N87" s="246" t="str">
        <f>IF(OR(I88="",I87=""),"",IF(I88&lt;2,((1-POWER(10,$I$71-I88))/(1-POWER(10,$I$71-I87)))*100,""))</f>
        <v/>
      </c>
      <c r="O87" s="238"/>
      <c r="P87" s="238"/>
      <c r="Q87" s="238"/>
      <c r="R87" s="238"/>
    </row>
    <row r="88" spans="1:18" ht="23.1" customHeight="1" thickBot="1" x14ac:dyDescent="0.25">
      <c r="A88" s="286">
        <v>9</v>
      </c>
      <c r="B88" s="400" t="str">
        <f>IF(LEFT(B87,3)="PGP","",IF(B87="","",B87))</f>
        <v/>
      </c>
      <c r="C88" s="400"/>
      <c r="D88" s="245" t="str">
        <f>IF(LEFT(B88,3)="PGP","Paper",IF(B88="","","Tint"))</f>
        <v/>
      </c>
      <c r="E88" s="244" t="str">
        <f>IF(D88="","",IF(D88="Paper",0,50))</f>
        <v/>
      </c>
      <c r="F88" s="243"/>
      <c r="G88" s="243"/>
      <c r="H88" s="243"/>
      <c r="I88" s="242"/>
      <c r="J88" s="401" t="str">
        <f>IF(OR(F88="",G88="",H88=""),"",IFERROR(IF($D$48="DE CMC 2:1",DE!$M$202,IF($D$48="DE 2000",DE!$M$205,"")),""))</f>
        <v/>
      </c>
      <c r="K88" s="401"/>
      <c r="L88" s="241" t="str">
        <f>IF(OR(I88="",I87=""),"",IF(I88&gt;2,I88-Template!N$62,N87-Template!N$62))</f>
        <v/>
      </c>
      <c r="M88" s="240" t="str">
        <f>IFERROR(IF(D88="Tint",Scoring!$F$55,IF(D88="Solid",Scoring!$E$55,"")),"")</f>
        <v/>
      </c>
      <c r="N88" s="239" t="str">
        <f>IF(I88="","",Scoring!$F$11)</f>
        <v/>
      </c>
      <c r="O88" s="238"/>
      <c r="P88" s="238"/>
      <c r="Q88" s="238"/>
      <c r="R88" s="238"/>
    </row>
    <row r="89" spans="1:18" ht="23.1" customHeight="1" x14ac:dyDescent="0.2">
      <c r="A89" s="289">
        <v>10</v>
      </c>
      <c r="B89" s="402" t="str">
        <f>B63</f>
        <v/>
      </c>
      <c r="C89" s="403"/>
      <c r="D89" s="252" t="str">
        <f>IF(LEFT(B89,3)="PGP","Paper",IF(B89="","","Solid"))</f>
        <v/>
      </c>
      <c r="E89" s="251" t="str">
        <f>IF(D89="","",IF(D89="Paper",0,"100"))</f>
        <v/>
      </c>
      <c r="F89" s="250"/>
      <c r="G89" s="250"/>
      <c r="H89" s="250"/>
      <c r="I89" s="249"/>
      <c r="J89" s="404" t="str">
        <f>IF(OR(F89="",G89="",H89=""),"",IFERROR(IF($D$48="DE CMC 2:1",DE!$F$226,IF($D$48="DE 2000",DE!$F$229,"")),""))</f>
        <v/>
      </c>
      <c r="K89" s="405"/>
      <c r="L89" s="248" t="str">
        <f>IF(I89="","",IFERROR(I89-Template!M$63,""))</f>
        <v/>
      </c>
      <c r="M89" s="247" t="str">
        <f>IFERROR(IF(D89="Tint",Scoring!$F$56,IF(D89="Solid",Scoring!$E$56,"")),"")</f>
        <v/>
      </c>
      <c r="N89" s="246" t="str">
        <f>IF(OR(I90="",I89=""),"",IF(I90&lt;2,((1-POWER(10,$I$71-I90))/(1-POWER(10,$I$71-I89)))*100,""))</f>
        <v/>
      </c>
      <c r="O89" s="238"/>
      <c r="P89" s="238"/>
      <c r="Q89" s="238"/>
      <c r="R89" s="238"/>
    </row>
    <row r="90" spans="1:18" ht="23.1" customHeight="1" thickBot="1" x14ac:dyDescent="0.25">
      <c r="A90" s="288">
        <v>10</v>
      </c>
      <c r="B90" s="406" t="str">
        <f>IF(LEFT(B89,3)="PGP","",IF(B89="","",B89))</f>
        <v/>
      </c>
      <c r="C90" s="400"/>
      <c r="D90" s="245" t="str">
        <f>IF(LEFT(B90,3)="PGP","Paper",IF(B90="","","Tint"))</f>
        <v/>
      </c>
      <c r="E90" s="244" t="str">
        <f>IF(D90="","",IF(D90="Paper",0,50))</f>
        <v/>
      </c>
      <c r="F90" s="243"/>
      <c r="G90" s="243"/>
      <c r="H90" s="243"/>
      <c r="I90" s="242"/>
      <c r="J90" s="407" t="str">
        <f>IF(OR(F90="",G90="",H90=""),"",IFERROR(IF($D$48="DE CMC 2:1",DE!$M$226,IF($D$48="DE 2000"+DE!$M$229,"")),""))</f>
        <v/>
      </c>
      <c r="K90" s="401"/>
      <c r="L90" s="241" t="str">
        <f>IF(OR(I90="",I89=""),"",IF(I90&gt;2,I90-Template!N$63,N89-Template!N$63))</f>
        <v/>
      </c>
      <c r="M90" s="240" t="str">
        <f>IFERROR(IF(D90="Tint",Scoring!$F$57,IF(D90="Solid",Scoring!$E$57,"")),"")</f>
        <v/>
      </c>
      <c r="N90" s="239" t="str">
        <f>IF(I90="","",Scoring!$F$12)</f>
        <v/>
      </c>
      <c r="O90" s="238"/>
      <c r="P90" s="238"/>
      <c r="Q90" s="238"/>
      <c r="R90" s="238"/>
    </row>
    <row r="91" spans="1:18" ht="23.1" customHeight="1" x14ac:dyDescent="0.2">
      <c r="A91" s="408" t="s">
        <v>387</v>
      </c>
      <c r="B91" s="409"/>
      <c r="C91" s="409"/>
      <c r="D91" s="409"/>
      <c r="E91" s="409"/>
      <c r="F91" s="409"/>
      <c r="G91" s="409"/>
      <c r="H91" s="409"/>
      <c r="I91" s="409"/>
      <c r="J91" s="410"/>
      <c r="K91" s="237"/>
      <c r="L91" s="411" t="s">
        <v>386</v>
      </c>
      <c r="M91" s="412"/>
      <c r="N91" s="413"/>
      <c r="O91" s="232"/>
    </row>
    <row r="92" spans="1:18" ht="23.1" customHeight="1" x14ac:dyDescent="0.2">
      <c r="A92" s="291" t="str">
        <f>IF(D54="--","",D54)</f>
        <v>S1</v>
      </c>
      <c r="B92" s="236" t="str">
        <f>IF(D55="--","",D55)</f>
        <v>S2</v>
      </c>
      <c r="C92" s="236" t="str">
        <f>IF(D56="--","",D56)</f>
        <v>S3</v>
      </c>
      <c r="D92" s="236" t="str">
        <f>IF(D57="--","",D57)</f>
        <v/>
      </c>
      <c r="E92" s="236" t="str">
        <f>IF(D58="--","",D58)</f>
        <v/>
      </c>
      <c r="F92" s="236" t="str">
        <f>IF(D59="--","",D59)</f>
        <v/>
      </c>
      <c r="G92" s="236" t="str">
        <f>IF(D60="--","",D60)</f>
        <v/>
      </c>
      <c r="H92" s="236" t="str">
        <f>IF(D61="--","",D61)</f>
        <v/>
      </c>
      <c r="I92" s="236" t="str">
        <f>IF(D62="--","",D62)</f>
        <v/>
      </c>
      <c r="J92" s="235" t="str">
        <f>IF(D63="--","",D63)</f>
        <v/>
      </c>
      <c r="K92" s="234"/>
      <c r="L92" s="414" t="s">
        <v>385</v>
      </c>
      <c r="M92" s="415"/>
      <c r="N92" s="233">
        <f ca="1">'Score Card'!O19</f>
        <v>4.3365160781599998</v>
      </c>
      <c r="O92" s="232"/>
    </row>
    <row r="93" spans="1:18" ht="23.1" customHeight="1" x14ac:dyDescent="0.2">
      <c r="A93" s="416">
        <v>5</v>
      </c>
      <c r="B93" s="418">
        <v>4</v>
      </c>
      <c r="C93" s="420">
        <v>4</v>
      </c>
      <c r="D93" s="420"/>
      <c r="E93" s="420"/>
      <c r="F93" s="418"/>
      <c r="G93" s="420"/>
      <c r="H93" s="418"/>
      <c r="I93" s="420"/>
      <c r="J93" s="425"/>
      <c r="K93" s="231"/>
      <c r="L93" s="394">
        <v>4.34</v>
      </c>
      <c r="M93" s="395"/>
      <c r="N93" s="396"/>
      <c r="O93" s="230"/>
    </row>
    <row r="94" spans="1:18" ht="23.1" customHeight="1" thickBot="1" x14ac:dyDescent="0.25">
      <c r="A94" s="417"/>
      <c r="B94" s="419"/>
      <c r="C94" s="419"/>
      <c r="D94" s="419"/>
      <c r="E94" s="419"/>
      <c r="F94" s="419"/>
      <c r="G94" s="419"/>
      <c r="H94" s="419"/>
      <c r="I94" s="419"/>
      <c r="J94" s="426"/>
      <c r="K94" s="231"/>
      <c r="L94" s="397"/>
      <c r="M94" s="398"/>
      <c r="N94" s="399"/>
      <c r="O94" s="230"/>
    </row>
    <row r="95" spans="1:18" ht="15" customHeight="1" thickBot="1" x14ac:dyDescent="0.25">
      <c r="A95" s="224"/>
      <c r="B95" s="224"/>
      <c r="C95" s="224"/>
      <c r="D95" s="224"/>
      <c r="E95" s="229"/>
      <c r="F95" s="224"/>
      <c r="G95" s="224"/>
      <c r="H95" s="224"/>
      <c r="I95" s="224"/>
      <c r="J95" s="224"/>
      <c r="K95" s="224"/>
      <c r="L95" s="224"/>
      <c r="M95" s="224"/>
      <c r="N95" s="229"/>
    </row>
    <row r="96" spans="1:18" ht="23.1" customHeight="1" x14ac:dyDescent="0.2">
      <c r="A96" s="389" t="s">
        <v>384</v>
      </c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1"/>
    </row>
    <row r="97" spans="1:15" ht="23.1" customHeight="1" x14ac:dyDescent="0.2">
      <c r="A97" s="392" t="s">
        <v>383</v>
      </c>
      <c r="B97" s="366"/>
      <c r="C97" s="367"/>
      <c r="D97" s="393" t="s">
        <v>7</v>
      </c>
      <c r="E97" s="366"/>
      <c r="F97" s="367"/>
      <c r="G97" s="392" t="s">
        <v>382</v>
      </c>
      <c r="H97" s="366"/>
      <c r="I97" s="367"/>
      <c r="J97" s="392" t="s">
        <v>381</v>
      </c>
      <c r="K97" s="366"/>
      <c r="L97" s="367"/>
      <c r="M97" s="392" t="s">
        <v>380</v>
      </c>
      <c r="N97" s="366"/>
      <c r="O97" s="367"/>
    </row>
    <row r="98" spans="1:15" ht="23.1" customHeight="1" x14ac:dyDescent="0.2">
      <c r="A98" s="365" t="s">
        <v>36</v>
      </c>
      <c r="B98" s="366"/>
      <c r="C98" s="367"/>
      <c r="D98" s="368" t="s">
        <v>13</v>
      </c>
      <c r="E98" s="366"/>
      <c r="F98" s="367"/>
      <c r="G98" s="368" t="s">
        <v>1</v>
      </c>
      <c r="H98" s="366"/>
      <c r="I98" s="367"/>
      <c r="J98" s="365" t="s">
        <v>1</v>
      </c>
      <c r="K98" s="366"/>
      <c r="L98" s="367"/>
      <c r="M98" s="369" t="s">
        <v>1</v>
      </c>
      <c r="N98" s="366"/>
      <c r="O98" s="367"/>
    </row>
    <row r="99" spans="1:15" ht="23.1" customHeight="1" x14ac:dyDescent="0.2">
      <c r="A99" s="365" t="s">
        <v>1</v>
      </c>
      <c r="B99" s="366"/>
      <c r="C99" s="367"/>
      <c r="D99" s="368" t="s">
        <v>320</v>
      </c>
      <c r="E99" s="366"/>
      <c r="F99" s="367"/>
      <c r="G99" s="368" t="s">
        <v>1</v>
      </c>
      <c r="H99" s="366"/>
      <c r="I99" s="367"/>
      <c r="J99" s="365" t="s">
        <v>1</v>
      </c>
      <c r="K99" s="366"/>
      <c r="L99" s="367"/>
      <c r="M99" s="369" t="s">
        <v>1</v>
      </c>
      <c r="N99" s="366"/>
      <c r="O99" s="367"/>
    </row>
    <row r="100" spans="1:15" ht="23.1" customHeight="1" x14ac:dyDescent="0.2">
      <c r="A100" s="365" t="s">
        <v>1</v>
      </c>
      <c r="B100" s="366"/>
      <c r="C100" s="367"/>
      <c r="D100" s="368" t="s">
        <v>10</v>
      </c>
      <c r="E100" s="366"/>
      <c r="F100" s="367"/>
      <c r="G100" s="368" t="s">
        <v>1</v>
      </c>
      <c r="H100" s="366"/>
      <c r="I100" s="367"/>
      <c r="J100" s="365" t="s">
        <v>1</v>
      </c>
      <c r="K100" s="366"/>
      <c r="L100" s="367"/>
      <c r="M100" s="369" t="s">
        <v>1</v>
      </c>
      <c r="N100" s="366"/>
      <c r="O100" s="367"/>
    </row>
    <row r="101" spans="1:15" ht="23.1" customHeight="1" x14ac:dyDescent="0.2">
      <c r="A101" s="365" t="s">
        <v>1</v>
      </c>
      <c r="B101" s="366"/>
      <c r="C101" s="367"/>
      <c r="D101" s="368" t="s">
        <v>1</v>
      </c>
      <c r="E101" s="366"/>
      <c r="F101" s="367"/>
      <c r="G101" s="368" t="s">
        <v>1</v>
      </c>
      <c r="H101" s="366"/>
      <c r="I101" s="367"/>
      <c r="J101" s="365" t="s">
        <v>1</v>
      </c>
      <c r="K101" s="366"/>
      <c r="L101" s="367"/>
      <c r="M101" s="369" t="s">
        <v>1</v>
      </c>
      <c r="N101" s="366"/>
      <c r="O101" s="367"/>
    </row>
    <row r="102" spans="1:15" ht="23.1" customHeight="1" x14ac:dyDescent="0.2">
      <c r="A102" s="365" t="s">
        <v>1</v>
      </c>
      <c r="B102" s="366"/>
      <c r="C102" s="367"/>
      <c r="D102" s="368" t="s">
        <v>1</v>
      </c>
      <c r="E102" s="366"/>
      <c r="F102" s="367"/>
      <c r="G102" s="368" t="s">
        <v>1</v>
      </c>
      <c r="H102" s="366"/>
      <c r="I102" s="367"/>
      <c r="J102" s="365" t="s">
        <v>1</v>
      </c>
      <c r="K102" s="366"/>
      <c r="L102" s="367"/>
      <c r="M102" s="369" t="s">
        <v>1</v>
      </c>
      <c r="N102" s="366"/>
      <c r="O102" s="367"/>
    </row>
    <row r="103" spans="1:15" ht="23.1" customHeight="1" x14ac:dyDescent="0.2">
      <c r="A103" s="365" t="s">
        <v>1</v>
      </c>
      <c r="B103" s="366"/>
      <c r="C103" s="367"/>
      <c r="D103" s="368" t="s">
        <v>1</v>
      </c>
      <c r="E103" s="366"/>
      <c r="F103" s="367"/>
      <c r="G103" s="368" t="s">
        <v>1</v>
      </c>
      <c r="H103" s="366"/>
      <c r="I103" s="367"/>
      <c r="J103" s="365" t="s">
        <v>1</v>
      </c>
      <c r="K103" s="366"/>
      <c r="L103" s="367"/>
      <c r="M103" s="369" t="s">
        <v>1</v>
      </c>
      <c r="N103" s="366"/>
      <c r="O103" s="367"/>
    </row>
    <row r="104" spans="1:15" ht="23.1" customHeight="1" x14ac:dyDescent="0.2">
      <c r="A104" s="365" t="s">
        <v>1</v>
      </c>
      <c r="B104" s="366"/>
      <c r="C104" s="367"/>
      <c r="D104" s="368" t="s">
        <v>1</v>
      </c>
      <c r="E104" s="366"/>
      <c r="F104" s="367"/>
      <c r="G104" s="368" t="s">
        <v>1</v>
      </c>
      <c r="H104" s="366"/>
      <c r="I104" s="367"/>
      <c r="J104" s="365" t="s">
        <v>1</v>
      </c>
      <c r="K104" s="366"/>
      <c r="L104" s="367"/>
      <c r="M104" s="369" t="s">
        <v>1</v>
      </c>
      <c r="N104" s="366"/>
      <c r="O104" s="367"/>
    </row>
    <row r="105" spans="1:15" ht="23.1" customHeight="1" x14ac:dyDescent="0.2">
      <c r="A105" s="365" t="s">
        <v>1</v>
      </c>
      <c r="B105" s="366"/>
      <c r="C105" s="367"/>
      <c r="D105" s="368" t="s">
        <v>1</v>
      </c>
      <c r="E105" s="366"/>
      <c r="F105" s="367"/>
      <c r="G105" s="368" t="s">
        <v>1</v>
      </c>
      <c r="H105" s="366"/>
      <c r="I105" s="367"/>
      <c r="J105" s="365" t="s">
        <v>1</v>
      </c>
      <c r="K105" s="366"/>
      <c r="L105" s="367"/>
      <c r="M105" s="369" t="s">
        <v>1</v>
      </c>
      <c r="N105" s="366"/>
      <c r="O105" s="367"/>
    </row>
    <row r="106" spans="1:15" ht="23.1" customHeight="1" x14ac:dyDescent="0.2">
      <c r="A106" s="365" t="s">
        <v>1</v>
      </c>
      <c r="B106" s="366"/>
      <c r="C106" s="367"/>
      <c r="D106" s="368" t="s">
        <v>1</v>
      </c>
      <c r="E106" s="366"/>
      <c r="F106" s="367"/>
      <c r="G106" s="368" t="s">
        <v>1</v>
      </c>
      <c r="H106" s="366"/>
      <c r="I106" s="367"/>
      <c r="J106" s="365" t="s">
        <v>1</v>
      </c>
      <c r="K106" s="366"/>
      <c r="L106" s="367"/>
      <c r="M106" s="369" t="s">
        <v>1</v>
      </c>
      <c r="N106" s="366"/>
      <c r="O106" s="367"/>
    </row>
    <row r="107" spans="1:15" ht="23.1" customHeight="1" x14ac:dyDescent="0.2">
      <c r="A107" s="365" t="s">
        <v>1</v>
      </c>
      <c r="B107" s="366"/>
      <c r="C107" s="367"/>
      <c r="D107" s="368" t="s">
        <v>1</v>
      </c>
      <c r="E107" s="366"/>
      <c r="F107" s="367"/>
      <c r="G107" s="368" t="s">
        <v>1</v>
      </c>
      <c r="H107" s="366"/>
      <c r="I107" s="367"/>
      <c r="J107" s="365" t="s">
        <v>1</v>
      </c>
      <c r="K107" s="366"/>
      <c r="L107" s="367"/>
      <c r="M107" s="369" t="s">
        <v>1</v>
      </c>
      <c r="N107" s="366"/>
      <c r="O107" s="367"/>
    </row>
    <row r="108" spans="1:15" ht="20.100000000000001" customHeight="1" thickBot="1" x14ac:dyDescent="0.25">
      <c r="A108" s="228"/>
      <c r="B108" s="228"/>
      <c r="C108" s="227"/>
      <c r="D108" s="225"/>
      <c r="E108" s="225"/>
      <c r="F108" s="225"/>
      <c r="G108" s="225"/>
      <c r="H108" s="225"/>
      <c r="I108" s="227"/>
      <c r="J108" s="225"/>
      <c r="K108" s="225"/>
      <c r="L108" s="226"/>
      <c r="M108" s="225"/>
      <c r="N108" s="225"/>
    </row>
    <row r="109" spans="1:15" ht="23.1" customHeight="1" x14ac:dyDescent="0.2">
      <c r="A109" s="376" t="s">
        <v>379</v>
      </c>
      <c r="B109" s="377"/>
      <c r="C109" s="377"/>
      <c r="D109" s="377"/>
      <c r="E109" s="377"/>
      <c r="F109" s="377"/>
      <c r="G109" s="377"/>
      <c r="H109" s="377"/>
      <c r="I109" s="377"/>
      <c r="J109" s="378"/>
      <c r="L109" s="379" t="s">
        <v>378</v>
      </c>
      <c r="M109" s="380"/>
      <c r="N109" s="380"/>
      <c r="O109" s="381"/>
    </row>
    <row r="110" spans="1:15" ht="23.1" customHeight="1" x14ac:dyDescent="0.2">
      <c r="A110" s="382" t="s">
        <v>377</v>
      </c>
      <c r="B110" s="383"/>
      <c r="C110" s="384" t="s">
        <v>376</v>
      </c>
      <c r="D110" s="383"/>
      <c r="E110" s="384" t="s">
        <v>375</v>
      </c>
      <c r="F110" s="383"/>
      <c r="G110" s="384" t="s">
        <v>374</v>
      </c>
      <c r="H110" s="383"/>
      <c r="I110" s="385" t="s">
        <v>373</v>
      </c>
      <c r="J110" s="386"/>
      <c r="L110" s="382" t="s">
        <v>372</v>
      </c>
      <c r="M110" s="387"/>
      <c r="N110" s="387"/>
      <c r="O110" s="388"/>
    </row>
    <row r="111" spans="1:15" ht="23.1" customHeight="1" x14ac:dyDescent="0.2">
      <c r="A111" s="354">
        <f>IFERROR(AVERAGE(A93:J93),"")</f>
        <v>4.333333333333333</v>
      </c>
      <c r="B111" s="355"/>
      <c r="C111" s="358">
        <f>IFERROR(Scoring!E58,"")</f>
        <v>4.5</v>
      </c>
      <c r="D111" s="359"/>
      <c r="E111" s="358">
        <f>IF(C111="","",Scoring!F58)</f>
        <v>3.3333333333333335</v>
      </c>
      <c r="F111" s="359"/>
      <c r="G111" s="358">
        <f>IF(C111="","",Scoring!F13)</f>
        <v>2.5</v>
      </c>
      <c r="H111" s="359"/>
      <c r="I111" s="358">
        <f>IF(L93="","",L93)</f>
        <v>4.34</v>
      </c>
      <c r="J111" s="362"/>
      <c r="L111" s="370">
        <f>IFERROR(Scoring!A37,"")</f>
        <v>3.86</v>
      </c>
      <c r="M111" s="371"/>
      <c r="N111" s="371"/>
      <c r="O111" s="372"/>
    </row>
    <row r="112" spans="1:15" s="224" customFormat="1" ht="23.1" customHeight="1" thickBot="1" x14ac:dyDescent="0.25">
      <c r="A112" s="356"/>
      <c r="B112" s="357"/>
      <c r="C112" s="360"/>
      <c r="D112" s="361"/>
      <c r="E112" s="360"/>
      <c r="F112" s="361"/>
      <c r="G112" s="360"/>
      <c r="H112" s="361"/>
      <c r="I112" s="363"/>
      <c r="J112" s="364"/>
      <c r="L112" s="373"/>
      <c r="M112" s="374"/>
      <c r="N112" s="374"/>
      <c r="O112" s="375"/>
    </row>
    <row r="113" spans="1:18" s="210" customFormat="1" ht="27" customHeight="1" x14ac:dyDescent="0.2">
      <c r="A113" s="344" t="s">
        <v>371</v>
      </c>
      <c r="B113" s="345"/>
      <c r="C113" s="346"/>
      <c r="D113" s="353" t="s">
        <v>370</v>
      </c>
      <c r="E113" s="345"/>
      <c r="F113" s="345"/>
      <c r="G113" s="345"/>
      <c r="H113" s="346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</row>
    <row r="114" spans="1:18" s="210" customFormat="1" ht="27" customHeight="1" x14ac:dyDescent="0.2">
      <c r="A114" s="347"/>
      <c r="B114" s="348"/>
      <c r="C114" s="349"/>
      <c r="D114" s="348"/>
      <c r="E114" s="348"/>
      <c r="F114" s="348"/>
      <c r="G114" s="348"/>
      <c r="H114" s="349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</row>
    <row r="115" spans="1:18" s="210" customFormat="1" ht="27" customHeight="1" thickBot="1" x14ac:dyDescent="0.25">
      <c r="A115" s="350"/>
      <c r="B115" s="351"/>
      <c r="C115" s="352"/>
      <c r="D115" s="351"/>
      <c r="E115" s="351"/>
      <c r="F115" s="351"/>
      <c r="G115" s="351"/>
      <c r="H115" s="352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</row>
    <row r="116" spans="1:18" s="210" customFormat="1" ht="27" customHeight="1" x14ac:dyDescent="0.2">
      <c r="A116" s="344" t="s">
        <v>369</v>
      </c>
      <c r="B116" s="345"/>
      <c r="C116" s="346"/>
      <c r="D116" s="353" t="s">
        <v>368</v>
      </c>
      <c r="E116" s="345"/>
      <c r="F116" s="345"/>
      <c r="G116" s="345"/>
      <c r="H116" s="346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</row>
    <row r="117" spans="1:18" s="210" customFormat="1" ht="27" customHeight="1" x14ac:dyDescent="0.2">
      <c r="A117" s="347"/>
      <c r="B117" s="348"/>
      <c r="C117" s="349"/>
      <c r="D117" s="348"/>
      <c r="E117" s="348"/>
      <c r="F117" s="348"/>
      <c r="G117" s="348"/>
      <c r="H117" s="349"/>
      <c r="I117" s="223"/>
      <c r="J117" s="223"/>
      <c r="K117" s="223"/>
      <c r="L117" s="223"/>
      <c r="M117" s="221"/>
      <c r="N117" s="221"/>
      <c r="O117" s="221"/>
      <c r="P117" s="221"/>
      <c r="Q117" s="221"/>
      <c r="R117" s="221"/>
    </row>
    <row r="118" spans="1:18" s="210" customFormat="1" ht="27" customHeight="1" thickBot="1" x14ac:dyDescent="0.25">
      <c r="A118" s="350"/>
      <c r="B118" s="351"/>
      <c r="C118" s="352"/>
      <c r="D118" s="351"/>
      <c r="E118" s="351"/>
      <c r="F118" s="351"/>
      <c r="G118" s="351"/>
      <c r="H118" s="352"/>
      <c r="I118" s="222"/>
      <c r="J118" s="222"/>
      <c r="K118" s="222"/>
      <c r="L118" s="222"/>
      <c r="M118" s="221"/>
      <c r="N118" s="221"/>
      <c r="O118" s="221"/>
      <c r="P118" s="221"/>
      <c r="Q118" s="221"/>
      <c r="R118" s="221"/>
    </row>
    <row r="119" spans="1:18" s="212" customFormat="1" ht="27" customHeight="1" x14ac:dyDescent="0.2">
      <c r="A119" s="220"/>
      <c r="B119" s="220"/>
      <c r="C119" s="220"/>
      <c r="D119" s="218"/>
      <c r="E119" s="215"/>
      <c r="F119" s="215"/>
      <c r="G119" s="215"/>
      <c r="H119" s="219"/>
      <c r="I119" s="217"/>
      <c r="J119" s="217"/>
      <c r="K119" s="216"/>
      <c r="L119" s="216"/>
      <c r="M119" s="214"/>
      <c r="N119" s="214"/>
      <c r="O119" s="214"/>
      <c r="P119" s="214"/>
      <c r="Q119" s="214"/>
      <c r="R119" s="214"/>
    </row>
    <row r="120" spans="1:18" s="212" customFormat="1" ht="27" customHeight="1" x14ac:dyDescent="0.2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</row>
    <row r="121" spans="1:18" s="212" customFormat="1" ht="27" customHeight="1" x14ac:dyDescent="0.2">
      <c r="A121" s="294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6"/>
      <c r="N121" s="296"/>
    </row>
    <row r="122" spans="1:18" s="212" customFormat="1" ht="27" customHeight="1" x14ac:dyDescent="0.2">
      <c r="A122" s="297"/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N122" s="297"/>
    </row>
    <row r="123" spans="1:18" s="212" customFormat="1" ht="27" customHeight="1" x14ac:dyDescent="0.2">
      <c r="A123" s="220"/>
      <c r="B123" s="220"/>
      <c r="C123" s="220"/>
      <c r="D123" s="218"/>
      <c r="E123" s="215"/>
      <c r="F123" s="215"/>
      <c r="G123" s="215"/>
      <c r="H123" s="219"/>
      <c r="I123" s="217"/>
      <c r="J123" s="217"/>
      <c r="K123" s="216"/>
      <c r="L123" s="216"/>
      <c r="N123" s="298"/>
    </row>
    <row r="124" spans="1:18" s="212" customFormat="1" ht="27" customHeight="1" x14ac:dyDescent="0.2">
      <c r="A124" s="219"/>
      <c r="B124" s="218"/>
      <c r="C124" s="218"/>
      <c r="D124" s="218"/>
      <c r="E124" s="218"/>
      <c r="I124" s="217"/>
      <c r="J124" s="217"/>
      <c r="K124" s="216"/>
      <c r="L124" s="215"/>
      <c r="M124" s="216"/>
      <c r="N124" s="298"/>
    </row>
    <row r="125" spans="1:18" s="212" customFormat="1" ht="27" customHeight="1" x14ac:dyDescent="0.2">
      <c r="N125" s="299"/>
      <c r="O125" s="214"/>
      <c r="P125" s="214"/>
      <c r="Q125" s="214"/>
      <c r="R125" s="214"/>
    </row>
    <row r="126" spans="1:18" s="212" customFormat="1" ht="27" customHeight="1" x14ac:dyDescent="0.2">
      <c r="A126" s="294"/>
      <c r="B126" s="296"/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</row>
    <row r="127" spans="1:18" s="212" customFormat="1" ht="27" customHeight="1" x14ac:dyDescent="0.2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</row>
    <row r="128" spans="1:18" s="212" customFormat="1" ht="27" customHeight="1" x14ac:dyDescent="0.2">
      <c r="A128" s="217"/>
      <c r="B128" s="220"/>
      <c r="C128" s="220"/>
      <c r="D128" s="220"/>
      <c r="E128" s="218"/>
      <c r="F128" s="215"/>
      <c r="G128" s="215"/>
      <c r="H128" s="215"/>
      <c r="I128" s="217"/>
      <c r="J128" s="217"/>
      <c r="K128" s="216"/>
      <c r="L128" s="216"/>
      <c r="M128" s="219"/>
      <c r="N128" s="298"/>
    </row>
    <row r="129" spans="1:28" s="212" customFormat="1" ht="27" customHeight="1" x14ac:dyDescent="0.2">
      <c r="A129" s="219"/>
      <c r="B129" s="218"/>
      <c r="C129" s="218"/>
      <c r="D129" s="218"/>
      <c r="E129" s="218"/>
      <c r="F129" s="215"/>
      <c r="G129" s="215"/>
      <c r="H129" s="215"/>
      <c r="I129" s="217"/>
      <c r="J129" s="217"/>
      <c r="K129" s="216"/>
      <c r="L129" s="216"/>
      <c r="M129" s="215"/>
      <c r="N129" s="298"/>
    </row>
    <row r="130" spans="1:28" s="212" customFormat="1" ht="27" customHeight="1" x14ac:dyDescent="0.2">
      <c r="N130" s="299"/>
      <c r="O130" s="214"/>
      <c r="P130" s="214"/>
      <c r="Q130" s="214"/>
      <c r="R130" s="214"/>
    </row>
    <row r="131" spans="1:28" s="212" customFormat="1" ht="27" customHeight="1" x14ac:dyDescent="0.2">
      <c r="A131" s="294"/>
      <c r="B131" s="296"/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</row>
    <row r="132" spans="1:28" s="304" customFormat="1" ht="15" customHeight="1" x14ac:dyDescent="0.2">
      <c r="A132" s="300" t="s">
        <v>367</v>
      </c>
      <c r="B132" s="301"/>
      <c r="C132" s="301" t="s">
        <v>366</v>
      </c>
      <c r="D132" s="302"/>
      <c r="E132" s="301" t="s">
        <v>365</v>
      </c>
      <c r="F132" s="301"/>
      <c r="G132" s="301" t="s">
        <v>364</v>
      </c>
      <c r="H132" s="301"/>
      <c r="I132" s="301" t="s">
        <v>363</v>
      </c>
      <c r="J132" s="301"/>
      <c r="K132" s="303" t="s">
        <v>362</v>
      </c>
      <c r="L132" s="301"/>
      <c r="P132" s="305" t="s">
        <v>361</v>
      </c>
      <c r="Q132" s="305"/>
      <c r="R132" s="305"/>
      <c r="S132" s="305"/>
      <c r="T132" s="305"/>
      <c r="U132" s="305"/>
      <c r="V132" s="305"/>
      <c r="W132" s="301"/>
      <c r="X132" s="305"/>
      <c r="AB132" s="305" t="s">
        <v>360</v>
      </c>
    </row>
    <row r="133" spans="1:28" s="305" customFormat="1" ht="15" customHeight="1" x14ac:dyDescent="0.2">
      <c r="A133" s="306"/>
      <c r="P133" s="305" t="s">
        <v>359</v>
      </c>
      <c r="R133" s="305" t="s">
        <v>7</v>
      </c>
      <c r="T133" s="305" t="s">
        <v>358</v>
      </c>
      <c r="V133" s="305" t="s">
        <v>2</v>
      </c>
      <c r="X133" s="305" t="s">
        <v>357</v>
      </c>
      <c r="Y133" s="301"/>
    </row>
    <row r="134" spans="1:28" s="305" customFormat="1" ht="15" customHeight="1" x14ac:dyDescent="0.2">
      <c r="A134" s="300" t="str">
        <f>"--"</f>
        <v>--</v>
      </c>
      <c r="B134" s="301"/>
      <c r="C134" s="301" t="s">
        <v>356</v>
      </c>
      <c r="D134" s="302"/>
      <c r="E134" s="301" t="s">
        <v>356</v>
      </c>
      <c r="F134" s="301"/>
      <c r="G134" s="301" t="s">
        <v>356</v>
      </c>
      <c r="H134" s="301"/>
      <c r="I134" s="301" t="s">
        <v>356</v>
      </c>
      <c r="J134" s="301"/>
      <c r="K134" s="301" t="s">
        <v>356</v>
      </c>
      <c r="L134" s="301"/>
      <c r="P134" s="305" t="s">
        <v>1</v>
      </c>
      <c r="R134" s="305" t="s">
        <v>1</v>
      </c>
      <c r="T134" s="305" t="s">
        <v>1</v>
      </c>
      <c r="V134" s="305" t="s">
        <v>1</v>
      </c>
      <c r="X134" s="305" t="s">
        <v>1</v>
      </c>
      <c r="Y134" s="301"/>
      <c r="AB134" s="305" t="s">
        <v>290</v>
      </c>
    </row>
    <row r="135" spans="1:28" s="305" customFormat="1" ht="15" customHeight="1" x14ac:dyDescent="0.2">
      <c r="A135" s="300" t="s">
        <v>355</v>
      </c>
      <c r="B135" s="301"/>
      <c r="C135" s="301" t="s">
        <v>244</v>
      </c>
      <c r="D135" s="302"/>
      <c r="E135" s="301" t="s">
        <v>354</v>
      </c>
      <c r="F135" s="301"/>
      <c r="G135" s="301" t="s">
        <v>353</v>
      </c>
      <c r="H135" s="301"/>
      <c r="I135" s="301" t="s">
        <v>352</v>
      </c>
      <c r="J135" s="301"/>
      <c r="K135" s="301" t="s">
        <v>351</v>
      </c>
      <c r="L135" s="301"/>
      <c r="P135" s="305" t="s">
        <v>350</v>
      </c>
      <c r="R135" s="305" t="s">
        <v>37</v>
      </c>
      <c r="T135" s="305" t="s">
        <v>18</v>
      </c>
      <c r="V135" s="305" t="s">
        <v>41</v>
      </c>
      <c r="X135" s="305" t="s">
        <v>349</v>
      </c>
      <c r="Y135" s="301"/>
      <c r="AB135" s="307" t="s">
        <v>348</v>
      </c>
    </row>
    <row r="136" spans="1:28" s="305" customFormat="1" ht="15" customHeight="1" x14ac:dyDescent="0.2">
      <c r="A136" s="300" t="s">
        <v>239</v>
      </c>
      <c r="B136" s="301"/>
      <c r="C136" s="301" t="s">
        <v>243</v>
      </c>
      <c r="D136" s="302"/>
      <c r="E136" s="301" t="s">
        <v>347</v>
      </c>
      <c r="F136" s="301"/>
      <c r="G136" s="301" t="s">
        <v>346</v>
      </c>
      <c r="H136" s="301"/>
      <c r="I136" s="301" t="s">
        <v>345</v>
      </c>
      <c r="J136" s="301"/>
      <c r="K136" s="303" t="s">
        <v>344</v>
      </c>
      <c r="L136" s="301"/>
      <c r="P136" s="305" t="s">
        <v>24</v>
      </c>
      <c r="R136" s="305" t="s">
        <v>343</v>
      </c>
      <c r="T136" s="305" t="s">
        <v>19</v>
      </c>
      <c r="V136" s="305" t="s">
        <v>42</v>
      </c>
      <c r="X136" s="305" t="s">
        <v>338</v>
      </c>
      <c r="Y136" s="301"/>
      <c r="AB136" s="308" t="s">
        <v>565</v>
      </c>
    </row>
    <row r="137" spans="1:28" s="305" customFormat="1" ht="15" customHeight="1" x14ac:dyDescent="0.2">
      <c r="A137" s="300" t="s">
        <v>342</v>
      </c>
      <c r="B137" s="301"/>
      <c r="C137" s="301"/>
      <c r="D137" s="302"/>
      <c r="E137" s="301"/>
      <c r="F137" s="301"/>
      <c r="G137" s="301"/>
      <c r="H137" s="301"/>
      <c r="I137" s="301" t="s">
        <v>341</v>
      </c>
      <c r="J137" s="301"/>
      <c r="K137" s="303" t="s">
        <v>340</v>
      </c>
      <c r="L137" s="301"/>
      <c r="P137" s="305" t="s">
        <v>339</v>
      </c>
      <c r="R137" s="305" t="s">
        <v>338</v>
      </c>
      <c r="T137" s="305" t="s">
        <v>20</v>
      </c>
      <c r="V137" s="305" t="s">
        <v>43</v>
      </c>
      <c r="X137" s="305" t="s">
        <v>30</v>
      </c>
      <c r="Y137" s="301"/>
      <c r="AB137" s="307"/>
    </row>
    <row r="138" spans="1:28" s="305" customFormat="1" ht="15" customHeight="1" x14ac:dyDescent="0.2">
      <c r="A138" s="300" t="s">
        <v>337</v>
      </c>
      <c r="B138" s="301"/>
      <c r="C138" s="301"/>
      <c r="D138" s="302"/>
      <c r="E138" s="301"/>
      <c r="F138" s="301"/>
      <c r="G138" s="301"/>
      <c r="H138" s="301"/>
      <c r="I138" s="301" t="s">
        <v>336</v>
      </c>
      <c r="J138" s="301"/>
      <c r="K138" s="301" t="s">
        <v>335</v>
      </c>
      <c r="L138" s="301"/>
      <c r="P138" s="305" t="s">
        <v>334</v>
      </c>
      <c r="R138" s="305" t="s">
        <v>3</v>
      </c>
      <c r="T138" s="305" t="s">
        <v>21</v>
      </c>
      <c r="V138" s="305" t="s">
        <v>44</v>
      </c>
      <c r="X138" s="305" t="s">
        <v>40</v>
      </c>
      <c r="Y138" s="301"/>
      <c r="AB138" s="307"/>
    </row>
    <row r="139" spans="1:28" s="305" customFormat="1" ht="15" customHeight="1" x14ac:dyDescent="0.2">
      <c r="A139" s="300" t="s">
        <v>333</v>
      </c>
      <c r="B139" s="301"/>
      <c r="C139" s="301"/>
      <c r="D139" s="302"/>
      <c r="E139" s="301"/>
      <c r="F139" s="301"/>
      <c r="G139" s="301"/>
      <c r="H139" s="301"/>
      <c r="I139" s="303" t="s">
        <v>332</v>
      </c>
      <c r="J139" s="301"/>
      <c r="K139" s="301" t="s">
        <v>331</v>
      </c>
      <c r="L139" s="301"/>
      <c r="P139" s="305" t="s">
        <v>38</v>
      </c>
      <c r="R139" s="305" t="s">
        <v>13</v>
      </c>
      <c r="T139" s="305" t="s">
        <v>22</v>
      </c>
      <c r="V139" s="305" t="s">
        <v>28</v>
      </c>
      <c r="X139" s="305" t="s">
        <v>310</v>
      </c>
      <c r="Y139" s="301"/>
    </row>
    <row r="140" spans="1:28" s="305" customFormat="1" ht="15" customHeight="1" x14ac:dyDescent="0.2">
      <c r="A140" s="300" t="s">
        <v>330</v>
      </c>
      <c r="B140" s="301"/>
      <c r="C140" s="301"/>
      <c r="D140" s="302"/>
      <c r="E140" s="301"/>
      <c r="F140" s="301"/>
      <c r="G140" s="301"/>
      <c r="H140" s="301"/>
      <c r="I140" s="301"/>
      <c r="J140" s="301"/>
      <c r="K140" s="301"/>
      <c r="L140" s="301"/>
      <c r="P140" s="305" t="s">
        <v>329</v>
      </c>
      <c r="R140" s="305" t="s">
        <v>4</v>
      </c>
      <c r="X140" s="305" t="s">
        <v>328</v>
      </c>
      <c r="Y140" s="301"/>
    </row>
    <row r="141" spans="1:28" s="305" customFormat="1" ht="15" customHeight="1" x14ac:dyDescent="0.2">
      <c r="A141" s="300" t="s">
        <v>327</v>
      </c>
      <c r="B141" s="301"/>
      <c r="C141" s="301"/>
      <c r="D141" s="302"/>
      <c r="E141" s="301"/>
      <c r="F141" s="301"/>
      <c r="G141" s="301"/>
      <c r="H141" s="301"/>
      <c r="I141" s="301"/>
      <c r="J141" s="301"/>
      <c r="K141" s="301"/>
      <c r="L141" s="301"/>
      <c r="P141" s="305" t="s">
        <v>39</v>
      </c>
      <c r="R141" s="305" t="s">
        <v>25</v>
      </c>
      <c r="W141" s="301"/>
    </row>
    <row r="142" spans="1:28" s="305" customFormat="1" ht="15" customHeight="1" x14ac:dyDescent="0.2">
      <c r="A142" s="300" t="s">
        <v>326</v>
      </c>
      <c r="B142" s="301"/>
      <c r="C142" s="301"/>
      <c r="D142" s="302"/>
      <c r="E142" s="301"/>
      <c r="F142" s="301"/>
      <c r="G142" s="301"/>
      <c r="H142" s="301"/>
      <c r="I142" s="301"/>
      <c r="J142" s="301"/>
      <c r="K142" s="301"/>
      <c r="L142" s="301"/>
      <c r="P142" s="305" t="s">
        <v>16</v>
      </c>
      <c r="R142" s="305" t="s">
        <v>26</v>
      </c>
      <c r="W142" s="301"/>
    </row>
    <row r="143" spans="1:28" s="305" customFormat="1" ht="15" customHeight="1" x14ac:dyDescent="0.2">
      <c r="A143" s="300" t="s">
        <v>325</v>
      </c>
      <c r="B143" s="301"/>
      <c r="C143" s="301"/>
      <c r="D143" s="302"/>
      <c r="E143" s="301"/>
      <c r="F143" s="301"/>
      <c r="G143" s="301"/>
      <c r="H143" s="301"/>
      <c r="I143" s="301"/>
      <c r="J143" s="301"/>
      <c r="K143" s="301"/>
      <c r="L143" s="301"/>
      <c r="P143" s="305" t="s">
        <v>17</v>
      </c>
      <c r="R143" s="305" t="s">
        <v>27</v>
      </c>
      <c r="W143" s="301"/>
    </row>
    <row r="144" spans="1:28" s="305" customFormat="1" ht="15" customHeight="1" x14ac:dyDescent="0.2">
      <c r="A144" s="300" t="s">
        <v>324</v>
      </c>
      <c r="B144" s="301"/>
      <c r="C144" s="301"/>
      <c r="D144" s="302"/>
      <c r="E144" s="301"/>
      <c r="F144" s="301"/>
      <c r="G144" s="301"/>
      <c r="H144" s="301"/>
      <c r="I144" s="301"/>
      <c r="J144" s="301"/>
      <c r="K144" s="301"/>
      <c r="L144" s="301"/>
      <c r="P144" s="305" t="s">
        <v>31</v>
      </c>
      <c r="R144" s="305" t="s">
        <v>28</v>
      </c>
      <c r="W144" s="301"/>
    </row>
    <row r="145" spans="1:23" s="305" customFormat="1" ht="15" customHeight="1" x14ac:dyDescent="0.2">
      <c r="A145" s="300" t="s">
        <v>323</v>
      </c>
      <c r="B145" s="301"/>
      <c r="C145" s="301"/>
      <c r="D145" s="302"/>
      <c r="E145" s="301"/>
      <c r="F145" s="301"/>
      <c r="G145" s="301"/>
      <c r="H145" s="301"/>
      <c r="I145" s="301"/>
      <c r="J145" s="301"/>
      <c r="K145" s="301"/>
      <c r="L145" s="301"/>
      <c r="P145" s="305" t="s">
        <v>322</v>
      </c>
      <c r="R145" s="305" t="s">
        <v>29</v>
      </c>
      <c r="W145" s="301"/>
    </row>
    <row r="146" spans="1:23" s="305" customFormat="1" ht="15" customHeight="1" x14ac:dyDescent="0.2">
      <c r="A146" s="300" t="s">
        <v>321</v>
      </c>
      <c r="B146" s="301"/>
      <c r="C146" s="301"/>
      <c r="D146" s="302"/>
      <c r="E146" s="301"/>
      <c r="F146" s="301"/>
      <c r="G146" s="301"/>
      <c r="H146" s="301"/>
      <c r="I146" s="301"/>
      <c r="J146" s="301"/>
      <c r="K146" s="301"/>
      <c r="L146" s="301"/>
      <c r="P146" s="305" t="s">
        <v>32</v>
      </c>
      <c r="R146" s="305" t="s">
        <v>320</v>
      </c>
      <c r="W146" s="301"/>
    </row>
    <row r="147" spans="1:23" s="305" customFormat="1" ht="15" customHeight="1" x14ac:dyDescent="0.2">
      <c r="A147" s="300" t="s">
        <v>319</v>
      </c>
      <c r="B147" s="301"/>
      <c r="C147" s="301"/>
      <c r="D147" s="302"/>
      <c r="E147" s="302"/>
      <c r="F147" s="301"/>
      <c r="G147" s="301"/>
      <c r="H147" s="301"/>
      <c r="I147" s="301"/>
      <c r="J147" s="301"/>
      <c r="K147" s="301"/>
      <c r="L147" s="301"/>
      <c r="P147" s="305" t="s">
        <v>33</v>
      </c>
      <c r="R147" s="305" t="s">
        <v>318</v>
      </c>
      <c r="W147" s="301"/>
    </row>
    <row r="148" spans="1:23" s="305" customFormat="1" ht="15" customHeight="1" x14ac:dyDescent="0.2">
      <c r="A148" s="300" t="s">
        <v>317</v>
      </c>
      <c r="B148" s="301"/>
      <c r="C148" s="301"/>
      <c r="D148" s="302"/>
      <c r="E148" s="302"/>
      <c r="F148" s="301"/>
      <c r="G148" s="301"/>
      <c r="H148" s="301"/>
      <c r="I148" s="301"/>
      <c r="J148" s="301"/>
      <c r="K148" s="301"/>
      <c r="L148" s="301"/>
      <c r="P148" s="305" t="s">
        <v>316</v>
      </c>
      <c r="R148" s="305" t="s">
        <v>315</v>
      </c>
      <c r="W148" s="301"/>
    </row>
    <row r="149" spans="1:23" s="305" customFormat="1" ht="15" customHeight="1" x14ac:dyDescent="0.2">
      <c r="A149" s="300" t="s">
        <v>314</v>
      </c>
      <c r="B149" s="301"/>
      <c r="C149" s="301"/>
      <c r="D149" s="302"/>
      <c r="E149" s="302"/>
      <c r="F149" s="301"/>
      <c r="G149" s="301"/>
      <c r="H149" s="301"/>
      <c r="I149" s="301"/>
      <c r="J149" s="301"/>
      <c r="K149" s="301"/>
      <c r="L149" s="301"/>
      <c r="P149" s="305" t="s">
        <v>34</v>
      </c>
      <c r="R149" s="305" t="s">
        <v>5</v>
      </c>
      <c r="W149" s="301"/>
    </row>
    <row r="150" spans="1:23" s="305" customFormat="1" ht="15" customHeight="1" x14ac:dyDescent="0.2">
      <c r="A150" s="300" t="s">
        <v>313</v>
      </c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P150" s="305" t="s">
        <v>35</v>
      </c>
      <c r="R150" s="305" t="s">
        <v>6</v>
      </c>
      <c r="W150" s="301"/>
    </row>
    <row r="151" spans="1:23" s="305" customFormat="1" ht="15" customHeight="1" x14ac:dyDescent="0.2">
      <c r="A151" s="300" t="s">
        <v>312</v>
      </c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P151" s="305" t="s">
        <v>36</v>
      </c>
      <c r="R151" s="305" t="s">
        <v>7</v>
      </c>
      <c r="W151" s="301"/>
    </row>
    <row r="152" spans="1:23" s="305" customFormat="1" ht="15" customHeight="1" x14ac:dyDescent="0.2">
      <c r="A152" s="300" t="s">
        <v>311</v>
      </c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P152" s="305" t="s">
        <v>23</v>
      </c>
      <c r="R152" s="305" t="s">
        <v>8</v>
      </c>
      <c r="W152" s="301"/>
    </row>
    <row r="153" spans="1:23" s="305" customFormat="1" ht="15" customHeight="1" x14ac:dyDescent="0.2">
      <c r="A153" s="306"/>
      <c r="P153" s="305" t="s">
        <v>0</v>
      </c>
      <c r="R153" s="305" t="s">
        <v>34</v>
      </c>
      <c r="W153" s="301"/>
    </row>
    <row r="154" spans="1:23" s="305" customFormat="1" ht="15" customHeight="1" x14ac:dyDescent="0.2">
      <c r="A154" s="306"/>
      <c r="P154" s="305" t="s">
        <v>14</v>
      </c>
      <c r="R154" s="305" t="s">
        <v>9</v>
      </c>
      <c r="W154" s="301"/>
    </row>
    <row r="155" spans="1:23" s="305" customFormat="1" ht="15" customHeight="1" x14ac:dyDescent="0.2">
      <c r="A155" s="306"/>
      <c r="P155" s="305" t="s">
        <v>15</v>
      </c>
      <c r="R155" s="305" t="s">
        <v>10</v>
      </c>
      <c r="W155" s="301"/>
    </row>
    <row r="156" spans="1:23" s="305" customFormat="1" ht="15" customHeight="1" x14ac:dyDescent="0.2">
      <c r="A156" s="306"/>
      <c r="P156" s="305" t="s">
        <v>309</v>
      </c>
      <c r="R156" s="305" t="s">
        <v>11</v>
      </c>
      <c r="W156" s="301"/>
    </row>
    <row r="157" spans="1:23" s="305" customFormat="1" ht="15" customHeight="1" x14ac:dyDescent="0.2">
      <c r="A157" s="306"/>
      <c r="R157" s="305" t="s">
        <v>12</v>
      </c>
      <c r="W157" s="301"/>
    </row>
    <row r="158" spans="1:23" s="305" customFormat="1" ht="15" customHeight="1" x14ac:dyDescent="0.2">
      <c r="A158" s="306"/>
      <c r="R158" s="305" t="s">
        <v>310</v>
      </c>
      <c r="W158" s="301"/>
    </row>
    <row r="159" spans="1:23" s="305" customFormat="1" ht="15" customHeight="1" x14ac:dyDescent="0.2">
      <c r="A159" s="306"/>
      <c r="R159" s="305" t="s">
        <v>309</v>
      </c>
      <c r="W159" s="301"/>
    </row>
    <row r="160" spans="1:23" s="305" customFormat="1" ht="15" customHeight="1" x14ac:dyDescent="0.2">
      <c r="A160" s="306"/>
      <c r="W160" s="301"/>
    </row>
    <row r="161" spans="1:23" s="305" customFormat="1" ht="15" customHeight="1" x14ac:dyDescent="0.2">
      <c r="A161" s="306"/>
      <c r="W161" s="301"/>
    </row>
    <row r="162" spans="1:23" s="305" customFormat="1" ht="15" customHeight="1" x14ac:dyDescent="0.2">
      <c r="A162" s="306"/>
      <c r="W162" s="301"/>
    </row>
    <row r="163" spans="1:23" s="305" customFormat="1" ht="15" customHeight="1" x14ac:dyDescent="0.2">
      <c r="A163" s="306"/>
      <c r="W163" s="301"/>
    </row>
    <row r="164" spans="1:23" s="305" customFormat="1" ht="15" customHeight="1" x14ac:dyDescent="0.2">
      <c r="A164" s="306"/>
      <c r="W164" s="301"/>
    </row>
    <row r="165" spans="1:23" s="305" customFormat="1" ht="15" customHeight="1" x14ac:dyDescent="0.2">
      <c r="A165" s="306"/>
      <c r="W165" s="301"/>
    </row>
    <row r="166" spans="1:23" s="310" customFormat="1" ht="18.95" customHeight="1" x14ac:dyDescent="0.2">
      <c r="A166" s="309" t="s">
        <v>45</v>
      </c>
      <c r="B166" s="310" t="s">
        <v>308</v>
      </c>
      <c r="E166" s="310" t="s">
        <v>307</v>
      </c>
      <c r="H166" s="311" t="s">
        <v>308</v>
      </c>
      <c r="I166" s="311" t="s">
        <v>307</v>
      </c>
      <c r="K166" s="311" t="s">
        <v>306</v>
      </c>
      <c r="S166" s="305"/>
    </row>
    <row r="167" spans="1:23" s="310" customFormat="1" ht="18.95" customHeight="1" x14ac:dyDescent="0.2">
      <c r="A167" s="312"/>
      <c r="B167" s="311" t="s">
        <v>305</v>
      </c>
      <c r="C167" s="311" t="s">
        <v>304</v>
      </c>
      <c r="D167" s="311" t="s">
        <v>303</v>
      </c>
      <c r="E167" s="311" t="s">
        <v>305</v>
      </c>
      <c r="F167" s="311" t="s">
        <v>304</v>
      </c>
      <c r="G167" s="311" t="s">
        <v>303</v>
      </c>
      <c r="H167" s="311" t="s">
        <v>19</v>
      </c>
      <c r="I167" s="311" t="s">
        <v>19</v>
      </c>
      <c r="J167" s="311" t="s">
        <v>302</v>
      </c>
    </row>
    <row r="168" spans="1:23" s="310" customFormat="1" ht="18.95" customHeight="1" x14ac:dyDescent="0.2">
      <c r="A168" s="309" t="s">
        <v>301</v>
      </c>
      <c r="B168" s="310">
        <v>57.22</v>
      </c>
      <c r="C168" s="310">
        <v>-20.47</v>
      </c>
      <c r="D168" s="310">
        <v>-44.57</v>
      </c>
      <c r="E168" s="311">
        <v>82.65</v>
      </c>
      <c r="F168" s="311">
        <v>-8.33</v>
      </c>
      <c r="G168" s="311">
        <v>-16.62</v>
      </c>
      <c r="H168" s="311">
        <v>1.3</v>
      </c>
      <c r="I168" s="311" t="s">
        <v>292</v>
      </c>
      <c r="J168" s="311">
        <v>57</v>
      </c>
      <c r="K168" s="311" t="s">
        <v>292</v>
      </c>
    </row>
    <row r="169" spans="1:23" s="310" customFormat="1" ht="18.95" customHeight="1" x14ac:dyDescent="0.2">
      <c r="A169" s="312" t="s">
        <v>300</v>
      </c>
      <c r="B169" s="310">
        <v>55.19</v>
      </c>
      <c r="C169" s="310">
        <v>58.65</v>
      </c>
      <c r="D169" s="310">
        <v>-4.82</v>
      </c>
      <c r="E169" s="311">
        <v>75.81</v>
      </c>
      <c r="F169" s="311">
        <v>28.1</v>
      </c>
      <c r="G169" s="311">
        <v>2.4</v>
      </c>
      <c r="H169" s="311">
        <v>1.2</v>
      </c>
      <c r="I169" s="311" t="s">
        <v>292</v>
      </c>
      <c r="J169" s="311">
        <v>61</v>
      </c>
      <c r="K169" s="311" t="s">
        <v>292</v>
      </c>
    </row>
    <row r="170" spans="1:23" s="310" customFormat="1" ht="18.95" customHeight="1" x14ac:dyDescent="0.2">
      <c r="A170" s="312" t="s">
        <v>299</v>
      </c>
      <c r="B170" s="310">
        <v>94.7</v>
      </c>
      <c r="C170" s="310">
        <v>-13.7</v>
      </c>
      <c r="D170" s="310">
        <v>100</v>
      </c>
      <c r="E170" s="311">
        <v>92.15</v>
      </c>
      <c r="F170" s="311">
        <v>-9.68</v>
      </c>
      <c r="G170" s="311">
        <v>51.25</v>
      </c>
      <c r="H170" s="311">
        <v>1</v>
      </c>
      <c r="I170" s="311" t="s">
        <v>292</v>
      </c>
      <c r="J170" s="311">
        <v>67</v>
      </c>
      <c r="K170" s="311" t="s">
        <v>292</v>
      </c>
    </row>
    <row r="171" spans="1:23" s="310" customFormat="1" ht="18.95" customHeight="1" x14ac:dyDescent="0.2">
      <c r="A171" s="309" t="s">
        <v>503</v>
      </c>
      <c r="B171" s="310">
        <v>73.650000000000006</v>
      </c>
      <c r="C171" s="310">
        <v>35.5</v>
      </c>
      <c r="D171" s="310">
        <v>59.93</v>
      </c>
      <c r="E171" s="311">
        <v>88.03</v>
      </c>
      <c r="F171" s="311">
        <v>13.86</v>
      </c>
      <c r="G171" s="311">
        <v>20.09</v>
      </c>
      <c r="H171" s="311">
        <v>1</v>
      </c>
      <c r="I171" s="311" t="s">
        <v>292</v>
      </c>
      <c r="J171" s="311">
        <v>52</v>
      </c>
      <c r="K171" s="311" t="s">
        <v>292</v>
      </c>
    </row>
    <row r="172" spans="1:23" s="310" customFormat="1" ht="18.95" customHeight="1" x14ac:dyDescent="0.2">
      <c r="A172" s="309" t="s">
        <v>504</v>
      </c>
      <c r="B172" s="310">
        <v>73.95</v>
      </c>
      <c r="C172" s="310">
        <v>-53.92</v>
      </c>
      <c r="D172" s="310">
        <v>3.16</v>
      </c>
      <c r="E172" s="311">
        <v>87.41</v>
      </c>
      <c r="F172" s="311">
        <v>-21.81</v>
      </c>
      <c r="G172" s="311">
        <v>1.85</v>
      </c>
      <c r="H172" s="311">
        <v>0.93</v>
      </c>
      <c r="I172" s="311" t="s">
        <v>292</v>
      </c>
      <c r="J172" s="311">
        <v>54</v>
      </c>
      <c r="K172" s="311" t="s">
        <v>292</v>
      </c>
    </row>
    <row r="173" spans="1:23" s="310" customFormat="1" ht="18.95" customHeight="1" x14ac:dyDescent="0.2">
      <c r="A173" s="309" t="s">
        <v>505</v>
      </c>
      <c r="B173" s="310">
        <v>87.1</v>
      </c>
      <c r="C173" s="310">
        <v>-25.4</v>
      </c>
      <c r="D173" s="310">
        <v>88.4</v>
      </c>
      <c r="E173" s="311">
        <v>92.96</v>
      </c>
      <c r="F173" s="311">
        <v>-14.96</v>
      </c>
      <c r="G173" s="311">
        <v>34.75</v>
      </c>
      <c r="H173" s="311">
        <v>0.8</v>
      </c>
      <c r="I173" s="311" t="s">
        <v>292</v>
      </c>
      <c r="J173" s="311">
        <v>61</v>
      </c>
      <c r="K173" s="311" t="s">
        <v>292</v>
      </c>
    </row>
    <row r="174" spans="1:23" s="312" customFormat="1" ht="18.95" customHeight="1" x14ac:dyDescent="0.2">
      <c r="A174" s="309" t="s">
        <v>295</v>
      </c>
      <c r="B174" s="312">
        <v>44.48</v>
      </c>
      <c r="C174" s="312">
        <v>6.78</v>
      </c>
      <c r="D174" s="312">
        <v>26.02</v>
      </c>
      <c r="E174" s="312">
        <v>71.180000000000007</v>
      </c>
      <c r="F174" s="312">
        <v>1.94</v>
      </c>
      <c r="G174" s="312">
        <v>9.5500000000000007</v>
      </c>
      <c r="H174" s="312">
        <v>1.1399999999999999</v>
      </c>
      <c r="I174" s="309" t="s">
        <v>292</v>
      </c>
      <c r="J174" s="312">
        <v>62</v>
      </c>
      <c r="K174" s="309" t="s">
        <v>292</v>
      </c>
    </row>
    <row r="175" spans="1:23" s="310" customFormat="1" ht="18.95" customHeight="1" x14ac:dyDescent="0.2">
      <c r="A175" s="312" t="s">
        <v>298</v>
      </c>
      <c r="B175" s="310">
        <v>41.42</v>
      </c>
      <c r="C175" s="310">
        <v>16.52</v>
      </c>
      <c r="D175" s="310">
        <v>10.62</v>
      </c>
      <c r="E175" s="310">
        <v>76.48</v>
      </c>
      <c r="F175" s="310">
        <v>3.25</v>
      </c>
      <c r="G175" s="310">
        <v>3.75</v>
      </c>
      <c r="H175" s="310">
        <v>0.93</v>
      </c>
      <c r="I175" s="311" t="s">
        <v>292</v>
      </c>
      <c r="J175" s="310">
        <v>65</v>
      </c>
      <c r="K175" s="311" t="s">
        <v>292</v>
      </c>
    </row>
    <row r="176" spans="1:23" s="310" customFormat="1" ht="18.95" customHeight="1" x14ac:dyDescent="0.2">
      <c r="A176" s="312" t="s">
        <v>255</v>
      </c>
      <c r="B176" s="310">
        <v>74.930000000000007</v>
      </c>
      <c r="C176" s="310">
        <v>36.54</v>
      </c>
      <c r="D176" s="310">
        <v>75.89</v>
      </c>
      <c r="E176" s="310">
        <v>84.16</v>
      </c>
      <c r="F176" s="310">
        <v>19.04</v>
      </c>
      <c r="G176" s="310">
        <v>30.21</v>
      </c>
      <c r="H176" s="310">
        <v>1.1299999999999999</v>
      </c>
      <c r="I176" s="311" t="s">
        <v>292</v>
      </c>
      <c r="J176" s="310">
        <v>65</v>
      </c>
      <c r="K176" s="311" t="s">
        <v>292</v>
      </c>
    </row>
    <row r="177" spans="1:11" s="310" customFormat="1" ht="18.95" customHeight="1" x14ac:dyDescent="0.2">
      <c r="A177" s="312" t="s">
        <v>287</v>
      </c>
      <c r="B177" s="310">
        <v>62.3</v>
      </c>
      <c r="C177" s="310">
        <v>39.6</v>
      </c>
      <c r="D177" s="310">
        <v>59.3</v>
      </c>
      <c r="E177" s="310">
        <v>82.87</v>
      </c>
      <c r="F177" s="310">
        <v>15.315</v>
      </c>
      <c r="G177" s="310">
        <v>17.325000000000003</v>
      </c>
      <c r="H177" s="310">
        <v>1.22</v>
      </c>
      <c r="I177" s="311" t="s">
        <v>292</v>
      </c>
      <c r="J177" s="310">
        <v>58</v>
      </c>
      <c r="K177" s="311" t="s">
        <v>292</v>
      </c>
    </row>
    <row r="178" spans="1:11" s="310" customFormat="1" ht="18.95" customHeight="1" x14ac:dyDescent="0.2">
      <c r="A178" s="312" t="s">
        <v>288</v>
      </c>
      <c r="B178" s="310">
        <v>87.3</v>
      </c>
      <c r="C178" s="310">
        <v>-24.8</v>
      </c>
      <c r="D178" s="310">
        <v>45.7</v>
      </c>
      <c r="E178" s="310">
        <v>95.435000000000002</v>
      </c>
      <c r="F178" s="310">
        <v>-13.39</v>
      </c>
      <c r="G178" s="310">
        <v>21.6</v>
      </c>
      <c r="H178" s="310">
        <v>0.48</v>
      </c>
      <c r="I178" s="311" t="s">
        <v>292</v>
      </c>
      <c r="J178" s="310">
        <v>56</v>
      </c>
      <c r="K178" s="311" t="s">
        <v>292</v>
      </c>
    </row>
    <row r="179" spans="1:11" s="310" customFormat="1" ht="18.95" customHeight="1" x14ac:dyDescent="0.2">
      <c r="A179" s="312" t="s">
        <v>297</v>
      </c>
      <c r="B179" s="310">
        <v>91.97</v>
      </c>
      <c r="C179" s="310">
        <v>-21.85</v>
      </c>
      <c r="D179" s="310">
        <v>48.99</v>
      </c>
      <c r="I179" s="311" t="s">
        <v>292</v>
      </c>
      <c r="J179" s="310">
        <v>60</v>
      </c>
      <c r="K179" s="311" t="s">
        <v>292</v>
      </c>
    </row>
    <row r="180" spans="1:11" s="310" customFormat="1" ht="18.95" customHeight="1" x14ac:dyDescent="0.2">
      <c r="A180" s="312" t="s">
        <v>274</v>
      </c>
      <c r="B180" s="310">
        <v>76.459999999999994</v>
      </c>
      <c r="C180" s="310">
        <v>-35.32</v>
      </c>
      <c r="D180" s="310">
        <v>66</v>
      </c>
      <c r="E180" s="310">
        <v>88.27</v>
      </c>
      <c r="F180" s="310">
        <v>-15.39</v>
      </c>
      <c r="G180" s="310">
        <v>23.25</v>
      </c>
      <c r="H180" s="310">
        <v>0.85</v>
      </c>
      <c r="I180" s="311" t="s">
        <v>292</v>
      </c>
      <c r="J180" s="310">
        <v>55</v>
      </c>
      <c r="K180" s="311" t="s">
        <v>292</v>
      </c>
    </row>
    <row r="181" spans="1:11" s="310" customFormat="1" ht="18.95" customHeight="1" x14ac:dyDescent="0.2">
      <c r="A181" s="312" t="s">
        <v>296</v>
      </c>
      <c r="B181" s="310">
        <v>63.27</v>
      </c>
      <c r="C181" s="310">
        <v>-57.83</v>
      </c>
      <c r="D181" s="310">
        <v>-7.6</v>
      </c>
      <c r="E181" s="310">
        <v>81.19</v>
      </c>
      <c r="F181" s="310">
        <v>-24.08</v>
      </c>
      <c r="G181" s="310">
        <v>-3.61</v>
      </c>
      <c r="H181" s="310">
        <v>1.08</v>
      </c>
      <c r="I181" s="311" t="s">
        <v>292</v>
      </c>
      <c r="J181" s="310">
        <v>63</v>
      </c>
      <c r="K181" s="311" t="s">
        <v>292</v>
      </c>
    </row>
    <row r="182" spans="1:11" s="310" customFormat="1" ht="18.95" customHeight="1" x14ac:dyDescent="0.2">
      <c r="A182" s="309" t="s">
        <v>257</v>
      </c>
      <c r="B182" s="310">
        <v>63.27</v>
      </c>
      <c r="C182" s="310">
        <v>-57.83</v>
      </c>
      <c r="D182" s="310">
        <v>-7.6</v>
      </c>
      <c r="E182" s="310">
        <v>81.19</v>
      </c>
      <c r="F182" s="310">
        <v>-24.08</v>
      </c>
      <c r="G182" s="310">
        <v>-3.61</v>
      </c>
      <c r="H182" s="310">
        <v>1.08</v>
      </c>
      <c r="I182" s="311" t="s">
        <v>292</v>
      </c>
      <c r="J182" s="310">
        <v>63</v>
      </c>
      <c r="K182" s="311" t="s">
        <v>292</v>
      </c>
    </row>
    <row r="183" spans="1:11" s="310" customFormat="1" ht="18.95" customHeight="1" x14ac:dyDescent="0.2">
      <c r="A183" s="312" t="s">
        <v>294</v>
      </c>
      <c r="B183" s="310">
        <v>63.4</v>
      </c>
      <c r="C183" s="310">
        <v>-73.099999999999994</v>
      </c>
      <c r="D183" s="310">
        <v>37.22</v>
      </c>
      <c r="I183" s="311" t="s">
        <v>292</v>
      </c>
      <c r="J183" s="310">
        <v>60</v>
      </c>
      <c r="K183" s="311" t="s">
        <v>292</v>
      </c>
    </row>
    <row r="184" spans="1:11" s="310" customFormat="1" ht="18.95" customHeight="1" x14ac:dyDescent="0.2">
      <c r="A184" s="309" t="s">
        <v>256</v>
      </c>
      <c r="B184" s="310">
        <v>91</v>
      </c>
      <c r="C184" s="310">
        <v>2.2000000000000002</v>
      </c>
      <c r="D184" s="310">
        <v>71</v>
      </c>
      <c r="E184" s="310">
        <v>92.96</v>
      </c>
      <c r="F184" s="310">
        <v>-0.39</v>
      </c>
      <c r="G184" s="310">
        <v>29.15</v>
      </c>
      <c r="H184" s="310">
        <v>0.7</v>
      </c>
      <c r="I184" s="311" t="s">
        <v>292</v>
      </c>
      <c r="J184" s="310">
        <v>54</v>
      </c>
      <c r="K184" s="311" t="s">
        <v>292</v>
      </c>
    </row>
    <row r="185" spans="1:11" s="310" customFormat="1" ht="18.95" customHeight="1" x14ac:dyDescent="0.2">
      <c r="A185" s="309" t="s">
        <v>500</v>
      </c>
      <c r="B185" s="310">
        <v>49.95</v>
      </c>
      <c r="C185" s="310">
        <v>-20.260000000000002</v>
      </c>
      <c r="D185" s="310">
        <v>-50.79</v>
      </c>
      <c r="E185" s="311">
        <v>79.533333333333331</v>
      </c>
      <c r="F185" s="311">
        <v>-10.473333333333334</v>
      </c>
      <c r="G185" s="311">
        <v>-19.283333333333331</v>
      </c>
      <c r="H185" s="311">
        <v>1.49</v>
      </c>
      <c r="I185" s="311" t="s">
        <v>292</v>
      </c>
      <c r="J185" s="311">
        <v>63</v>
      </c>
      <c r="K185" s="311" t="s">
        <v>292</v>
      </c>
    </row>
    <row r="186" spans="1:11" s="310" customFormat="1" ht="18.95" customHeight="1" x14ac:dyDescent="0.2">
      <c r="A186" s="309" t="s">
        <v>501</v>
      </c>
      <c r="B186" s="310">
        <v>50.93</v>
      </c>
      <c r="C186" s="310">
        <v>69.47</v>
      </c>
      <c r="D186" s="310">
        <v>9.73</v>
      </c>
      <c r="E186" s="311">
        <v>75.8125</v>
      </c>
      <c r="F186" s="311">
        <v>28.094999999999999</v>
      </c>
      <c r="G186" s="311">
        <v>2.4025000000000003</v>
      </c>
      <c r="H186" s="311">
        <v>1.18</v>
      </c>
      <c r="I186" s="311" t="s">
        <v>292</v>
      </c>
      <c r="J186" s="311">
        <v>61</v>
      </c>
      <c r="K186" s="311" t="s">
        <v>292</v>
      </c>
    </row>
    <row r="187" spans="1:11" s="310" customFormat="1" ht="18.95" customHeight="1" x14ac:dyDescent="0.2">
      <c r="A187" s="309" t="s">
        <v>502</v>
      </c>
      <c r="B187" s="310">
        <v>93.02</v>
      </c>
      <c r="C187" s="310">
        <v>-11.79</v>
      </c>
      <c r="D187" s="310">
        <v>92.95</v>
      </c>
      <c r="E187" s="311">
        <v>92.14500000000001</v>
      </c>
      <c r="F187" s="311">
        <v>-9.6750000000000007</v>
      </c>
      <c r="G187" s="311">
        <v>51.245000000000005</v>
      </c>
      <c r="H187" s="311">
        <v>0.92</v>
      </c>
      <c r="I187" s="311" t="s">
        <v>292</v>
      </c>
      <c r="J187" s="311">
        <v>67</v>
      </c>
      <c r="K187" s="311" t="s">
        <v>292</v>
      </c>
    </row>
    <row r="188" spans="1:11" s="310" customFormat="1" ht="18.95" customHeight="1" x14ac:dyDescent="0.2">
      <c r="A188" s="309" t="s">
        <v>293</v>
      </c>
      <c r="B188" s="310">
        <v>91</v>
      </c>
      <c r="C188" s="310">
        <v>2.2000000000000002</v>
      </c>
      <c r="D188" s="310">
        <v>71</v>
      </c>
      <c r="E188" s="310">
        <v>93.82</v>
      </c>
      <c r="F188" s="310">
        <v>-4.38</v>
      </c>
      <c r="G188" s="310">
        <v>35.130000000000003</v>
      </c>
      <c r="H188" s="310">
        <v>0.7</v>
      </c>
      <c r="I188" s="311" t="s">
        <v>292</v>
      </c>
      <c r="J188" s="310">
        <v>54</v>
      </c>
      <c r="K188" s="311" t="s">
        <v>292</v>
      </c>
    </row>
    <row r="189" spans="1:11" s="310" customFormat="1" ht="18.95" customHeight="1" x14ac:dyDescent="0.2">
      <c r="A189" s="312" t="s">
        <v>250</v>
      </c>
      <c r="B189" s="310">
        <v>63.27</v>
      </c>
      <c r="C189" s="310">
        <v>-57.83</v>
      </c>
      <c r="D189" s="310">
        <v>-7.6</v>
      </c>
      <c r="E189" s="310">
        <v>79.33</v>
      </c>
      <c r="F189" s="310">
        <v>-25.49</v>
      </c>
      <c r="G189" s="310">
        <v>-3.95</v>
      </c>
      <c r="H189" s="310">
        <v>1.17</v>
      </c>
      <c r="I189" s="311" t="s">
        <v>292</v>
      </c>
      <c r="J189" s="310">
        <v>65</v>
      </c>
      <c r="K189" s="311" t="s">
        <v>292</v>
      </c>
    </row>
    <row r="190" spans="1:11" s="310" customFormat="1" ht="18.95" customHeight="1" x14ac:dyDescent="0.2">
      <c r="A190" s="312" t="s">
        <v>248</v>
      </c>
      <c r="B190" s="310">
        <v>74.930000000000007</v>
      </c>
      <c r="C190" s="310">
        <v>36.54</v>
      </c>
      <c r="D190" s="310">
        <v>75.89</v>
      </c>
      <c r="E190" s="310">
        <v>84.25</v>
      </c>
      <c r="F190" s="310">
        <v>11.95</v>
      </c>
      <c r="G190" s="310">
        <v>37.6</v>
      </c>
      <c r="H190" s="310">
        <v>1.18</v>
      </c>
      <c r="I190" s="311" t="s">
        <v>292</v>
      </c>
      <c r="J190" s="310">
        <v>62</v>
      </c>
      <c r="K190" s="311" t="s">
        <v>292</v>
      </c>
    </row>
    <row r="191" spans="1:11" s="310" customFormat="1" ht="18.95" customHeight="1" x14ac:dyDescent="0.2">
      <c r="A191" s="312" t="s">
        <v>270</v>
      </c>
      <c r="B191" s="310">
        <v>76.459999999999994</v>
      </c>
      <c r="C191" s="310">
        <v>-35.32</v>
      </c>
      <c r="D191" s="310">
        <v>66</v>
      </c>
      <c r="E191" s="310">
        <v>86.31</v>
      </c>
      <c r="F191" s="310">
        <v>-18.079999999999998</v>
      </c>
      <c r="G191" s="310">
        <v>29.59</v>
      </c>
      <c r="H191" s="310">
        <v>1</v>
      </c>
      <c r="I191" s="311" t="s">
        <v>292</v>
      </c>
      <c r="J191" s="310">
        <v>58</v>
      </c>
      <c r="K191" s="311" t="s">
        <v>292</v>
      </c>
    </row>
    <row r="192" spans="1:11" s="310" customFormat="1" ht="18.95" customHeight="1" x14ac:dyDescent="0.2">
      <c r="A192" s="312"/>
    </row>
    <row r="193" spans="1:28" s="310" customFormat="1" ht="18.95" customHeight="1" x14ac:dyDescent="0.2">
      <c r="A193" s="312"/>
    </row>
    <row r="194" spans="1:28" s="310" customFormat="1" ht="18.95" customHeight="1" x14ac:dyDescent="0.2">
      <c r="A194" s="312"/>
    </row>
    <row r="195" spans="1:28" s="310" customFormat="1" ht="18.95" customHeight="1" x14ac:dyDescent="0.2">
      <c r="A195" s="312"/>
    </row>
    <row r="196" spans="1:28" s="310" customFormat="1" ht="18.95" customHeight="1" x14ac:dyDescent="0.2">
      <c r="A196" s="312"/>
    </row>
    <row r="197" spans="1:28" s="310" customFormat="1" ht="18.95" customHeight="1" x14ac:dyDescent="0.2">
      <c r="A197" s="312"/>
    </row>
    <row r="198" spans="1:28" s="310" customFormat="1" ht="18.95" customHeight="1" x14ac:dyDescent="0.2">
      <c r="A198" s="312"/>
    </row>
    <row r="199" spans="1:28" s="310" customFormat="1" ht="18.95" customHeight="1" x14ac:dyDescent="0.2">
      <c r="A199" s="312"/>
    </row>
    <row r="200" spans="1:28" s="310" customFormat="1" ht="18.95" customHeight="1" x14ac:dyDescent="0.2">
      <c r="A200" s="312"/>
    </row>
    <row r="201" spans="1:28" s="304" customFormat="1" ht="38.1" customHeight="1" x14ac:dyDescent="0.2">
      <c r="A201" s="313" t="s">
        <v>291</v>
      </c>
    </row>
    <row r="202" spans="1:28" s="316" customFormat="1" ht="38.1" customHeight="1" x14ac:dyDescent="0.2">
      <c r="A202" s="309" t="s">
        <v>290</v>
      </c>
      <c r="B202" s="311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5"/>
      <c r="W202" s="303"/>
    </row>
    <row r="203" spans="1:28" s="318" customFormat="1" ht="38.1" customHeight="1" x14ac:dyDescent="0.2">
      <c r="A203" s="317" t="s">
        <v>289</v>
      </c>
      <c r="C203" s="319" t="s">
        <v>251</v>
      </c>
      <c r="D203" s="320" t="s">
        <v>257</v>
      </c>
      <c r="E203" s="321" t="s">
        <v>288</v>
      </c>
      <c r="F203" s="321" t="s">
        <v>287</v>
      </c>
      <c r="G203" s="322"/>
      <c r="H203" s="322"/>
      <c r="I203" s="312"/>
      <c r="J203" s="322"/>
      <c r="K203" s="323"/>
      <c r="L203" s="323"/>
      <c r="M203" s="323"/>
      <c r="N203" s="323"/>
      <c r="O203" s="323"/>
      <c r="P203" s="309">
        <f t="shared" ref="P203:P253" si="10">COUNTIF(D203:O203,"*")</f>
        <v>3</v>
      </c>
      <c r="Q203" s="324" t="s">
        <v>286</v>
      </c>
      <c r="R203" s="325"/>
      <c r="S203" s="312"/>
      <c r="T203" s="312"/>
      <c r="U203" s="326" t="s">
        <v>246</v>
      </c>
      <c r="V203" s="300" t="s">
        <v>285</v>
      </c>
      <c r="W203" s="318" t="s">
        <v>555</v>
      </c>
      <c r="X203" s="327"/>
      <c r="Y203" s="327"/>
      <c r="Z203" s="327"/>
      <c r="AA203" s="327"/>
      <c r="AB203" s="327"/>
    </row>
    <row r="204" spans="1:28" s="327" customFormat="1" ht="38.1" customHeight="1" x14ac:dyDescent="0.2">
      <c r="A204" s="317" t="s">
        <v>284</v>
      </c>
      <c r="B204" s="300"/>
      <c r="C204" s="319" t="s">
        <v>251</v>
      </c>
      <c r="D204" s="328" t="s">
        <v>257</v>
      </c>
      <c r="E204" s="310" t="s">
        <v>256</v>
      </c>
      <c r="F204" s="310"/>
      <c r="G204" s="322"/>
      <c r="H204" s="322"/>
      <c r="I204" s="322"/>
      <c r="J204" s="322"/>
      <c r="K204" s="329"/>
      <c r="L204" s="329"/>
      <c r="M204" s="330"/>
      <c r="N204" s="330"/>
      <c r="O204" s="323"/>
      <c r="P204" s="309">
        <f t="shared" si="10"/>
        <v>2</v>
      </c>
      <c r="Q204" s="324" t="s">
        <v>283</v>
      </c>
      <c r="R204" s="325"/>
      <c r="S204" s="312"/>
      <c r="T204" s="312"/>
      <c r="U204" s="326" t="s">
        <v>246</v>
      </c>
      <c r="V204" s="300" t="s">
        <v>282</v>
      </c>
      <c r="W204" s="318" t="s">
        <v>555</v>
      </c>
      <c r="X204" s="318"/>
      <c r="Y204" s="318"/>
      <c r="Z204" s="318"/>
      <c r="AA204" s="318"/>
      <c r="AB204" s="318"/>
    </row>
    <row r="205" spans="1:28" s="327" customFormat="1" ht="38.1" customHeight="1" x14ac:dyDescent="0.2">
      <c r="A205" s="317" t="s">
        <v>281</v>
      </c>
      <c r="B205" s="300"/>
      <c r="C205" s="319" t="s">
        <v>251</v>
      </c>
      <c r="D205" s="328" t="s">
        <v>257</v>
      </c>
      <c r="E205" s="321" t="s">
        <v>256</v>
      </c>
      <c r="F205" s="321"/>
      <c r="G205" s="322"/>
      <c r="H205" s="322"/>
      <c r="I205" s="312"/>
      <c r="J205" s="322"/>
      <c r="K205" s="323"/>
      <c r="L205" s="323"/>
      <c r="M205" s="323"/>
      <c r="N205" s="323"/>
      <c r="O205" s="323"/>
      <c r="P205" s="309">
        <f t="shared" si="10"/>
        <v>2</v>
      </c>
      <c r="Q205" s="324" t="s">
        <v>280</v>
      </c>
      <c r="R205" s="325"/>
      <c r="S205" s="312"/>
      <c r="T205" s="312"/>
      <c r="U205" s="326" t="s">
        <v>246</v>
      </c>
      <c r="V205" s="300" t="s">
        <v>279</v>
      </c>
      <c r="W205" s="318" t="s">
        <v>555</v>
      </c>
    </row>
    <row r="206" spans="1:28" s="327" customFormat="1" ht="38.1" customHeight="1" x14ac:dyDescent="0.2">
      <c r="A206" s="317" t="s">
        <v>278</v>
      </c>
      <c r="B206" s="300"/>
      <c r="C206" s="319" t="s">
        <v>251</v>
      </c>
      <c r="D206" s="328" t="s">
        <v>257</v>
      </c>
      <c r="E206" s="321" t="s">
        <v>274</v>
      </c>
      <c r="F206" s="321" t="s">
        <v>255</v>
      </c>
      <c r="G206" s="322"/>
      <c r="H206" s="322"/>
      <c r="I206" s="312"/>
      <c r="J206" s="322"/>
      <c r="K206" s="323"/>
      <c r="L206" s="323"/>
      <c r="M206" s="323"/>
      <c r="N206" s="323"/>
      <c r="O206" s="323"/>
      <c r="P206" s="309">
        <f t="shared" si="10"/>
        <v>3</v>
      </c>
      <c r="Q206" s="331" t="s">
        <v>277</v>
      </c>
      <c r="R206" s="325"/>
      <c r="S206" s="312"/>
      <c r="T206" s="312"/>
      <c r="U206" s="326" t="s">
        <v>246</v>
      </c>
      <c r="V206" s="300" t="s">
        <v>276</v>
      </c>
      <c r="W206" s="318" t="s">
        <v>555</v>
      </c>
    </row>
    <row r="207" spans="1:28" s="327" customFormat="1" ht="38.1" customHeight="1" x14ac:dyDescent="0.2">
      <c r="A207" s="317" t="s">
        <v>275</v>
      </c>
      <c r="B207" s="300"/>
      <c r="C207" s="319" t="s">
        <v>251</v>
      </c>
      <c r="D207" s="328" t="s">
        <v>257</v>
      </c>
      <c r="E207" s="321" t="s">
        <v>274</v>
      </c>
      <c r="F207" s="321" t="s">
        <v>255</v>
      </c>
      <c r="G207" s="322"/>
      <c r="H207" s="322"/>
      <c r="I207" s="312"/>
      <c r="J207" s="322"/>
      <c r="K207" s="323"/>
      <c r="L207" s="323"/>
      <c r="M207" s="323"/>
      <c r="N207" s="323"/>
      <c r="O207" s="323"/>
      <c r="P207" s="309">
        <f t="shared" si="10"/>
        <v>3</v>
      </c>
      <c r="Q207" s="331" t="s">
        <v>273</v>
      </c>
      <c r="R207" s="325"/>
      <c r="S207" s="312"/>
      <c r="T207" s="312"/>
      <c r="U207" s="326" t="s">
        <v>246</v>
      </c>
      <c r="V207" s="300" t="s">
        <v>272</v>
      </c>
      <c r="W207" s="318" t="s">
        <v>555</v>
      </c>
    </row>
    <row r="208" spans="1:28" s="327" customFormat="1" ht="38.1" customHeight="1" x14ac:dyDescent="0.2">
      <c r="A208" s="317" t="s">
        <v>271</v>
      </c>
      <c r="B208" s="300"/>
      <c r="C208" s="319" t="s">
        <v>251</v>
      </c>
      <c r="D208" s="328" t="s">
        <v>250</v>
      </c>
      <c r="E208" s="321" t="s">
        <v>270</v>
      </c>
      <c r="F208" s="321" t="s">
        <v>248</v>
      </c>
      <c r="G208" s="322"/>
      <c r="H208" s="322"/>
      <c r="I208" s="312"/>
      <c r="J208" s="322"/>
      <c r="K208" s="323"/>
      <c r="L208" s="323"/>
      <c r="M208" s="323"/>
      <c r="N208" s="323"/>
      <c r="O208" s="323"/>
      <c r="P208" s="309">
        <f t="shared" si="10"/>
        <v>3</v>
      </c>
      <c r="Q208" s="331" t="s">
        <v>269</v>
      </c>
      <c r="R208" s="325"/>
      <c r="S208" s="312"/>
      <c r="T208" s="312"/>
      <c r="U208" s="326" t="s">
        <v>246</v>
      </c>
      <c r="V208" s="300" t="s">
        <v>268</v>
      </c>
      <c r="W208" s="318" t="s">
        <v>556</v>
      </c>
    </row>
    <row r="209" spans="1:23" s="327" customFormat="1" ht="38.1" customHeight="1" x14ac:dyDescent="0.2">
      <c r="A209" s="317" t="s">
        <v>267</v>
      </c>
      <c r="B209" s="300"/>
      <c r="C209" s="319" t="s">
        <v>251</v>
      </c>
      <c r="D209" s="332" t="s">
        <v>257</v>
      </c>
      <c r="E209" s="332" t="s">
        <v>256</v>
      </c>
      <c r="F209" s="332"/>
      <c r="G209" s="332"/>
      <c r="H209" s="332"/>
      <c r="I209" s="332"/>
      <c r="J209" s="332"/>
      <c r="K209" s="333"/>
      <c r="L209" s="333"/>
      <c r="M209" s="333"/>
      <c r="N209" s="333"/>
      <c r="O209" s="333"/>
      <c r="P209" s="309">
        <f t="shared" si="10"/>
        <v>2</v>
      </c>
      <c r="Q209" s="312" t="s">
        <v>266</v>
      </c>
      <c r="R209" s="334"/>
      <c r="U209" s="326" t="s">
        <v>246</v>
      </c>
      <c r="V209" s="300" t="s">
        <v>265</v>
      </c>
      <c r="W209" s="318" t="s">
        <v>555</v>
      </c>
    </row>
    <row r="210" spans="1:23" s="327" customFormat="1" ht="38.1" customHeight="1" x14ac:dyDescent="0.2">
      <c r="A210" s="317" t="s">
        <v>264</v>
      </c>
      <c r="B210" s="300"/>
      <c r="C210" s="319" t="s">
        <v>251</v>
      </c>
      <c r="D210" s="332" t="s">
        <v>250</v>
      </c>
      <c r="E210" s="332" t="s">
        <v>249</v>
      </c>
      <c r="F210" s="332"/>
      <c r="G210" s="332"/>
      <c r="H210" s="332"/>
      <c r="I210" s="332"/>
      <c r="J210" s="332"/>
      <c r="K210" s="333"/>
      <c r="L210" s="333"/>
      <c r="M210" s="333"/>
      <c r="N210" s="333"/>
      <c r="O210" s="333"/>
      <c r="P210" s="309">
        <f t="shared" si="10"/>
        <v>2</v>
      </c>
      <c r="Q210" s="312" t="s">
        <v>263</v>
      </c>
      <c r="R210" s="334"/>
      <c r="U210" s="326" t="s">
        <v>246</v>
      </c>
      <c r="V210" s="300" t="s">
        <v>262</v>
      </c>
      <c r="W210" s="318" t="s">
        <v>556</v>
      </c>
    </row>
    <row r="211" spans="1:23" s="338" customFormat="1" ht="38.1" customHeight="1" x14ac:dyDescent="0.2">
      <c r="A211" s="317" t="s">
        <v>261</v>
      </c>
      <c r="B211" s="335"/>
      <c r="C211" s="319" t="s">
        <v>251</v>
      </c>
      <c r="D211" s="336" t="s">
        <v>257</v>
      </c>
      <c r="E211" s="336" t="s">
        <v>256</v>
      </c>
      <c r="F211" s="336" t="s">
        <v>255</v>
      </c>
      <c r="G211" s="336"/>
      <c r="H211" s="336"/>
      <c r="I211" s="336"/>
      <c r="J211" s="336"/>
      <c r="K211" s="336"/>
      <c r="L211" s="336"/>
      <c r="M211" s="336"/>
      <c r="N211" s="337"/>
      <c r="P211" s="309">
        <f t="shared" si="10"/>
        <v>3</v>
      </c>
      <c r="Q211" s="331" t="s">
        <v>260</v>
      </c>
      <c r="U211" s="326" t="s">
        <v>246</v>
      </c>
      <c r="V211" s="300" t="s">
        <v>259</v>
      </c>
      <c r="W211" s="318" t="s">
        <v>555</v>
      </c>
    </row>
    <row r="212" spans="1:23" s="338" customFormat="1" ht="38.1" customHeight="1" x14ac:dyDescent="0.2">
      <c r="A212" s="317" t="s">
        <v>258</v>
      </c>
      <c r="B212" s="335"/>
      <c r="C212" s="319" t="s">
        <v>251</v>
      </c>
      <c r="D212" s="336" t="s">
        <v>257</v>
      </c>
      <c r="E212" s="336" t="s">
        <v>256</v>
      </c>
      <c r="F212" s="336" t="s">
        <v>255</v>
      </c>
      <c r="G212" s="336"/>
      <c r="H212" s="336"/>
      <c r="I212" s="336"/>
      <c r="J212" s="336"/>
      <c r="K212" s="336"/>
      <c r="L212" s="336"/>
      <c r="M212" s="336"/>
      <c r="N212" s="337"/>
      <c r="P212" s="309">
        <f t="shared" si="10"/>
        <v>3</v>
      </c>
      <c r="Q212" s="331" t="s">
        <v>254</v>
      </c>
      <c r="U212" s="326" t="s">
        <v>246</v>
      </c>
      <c r="V212" s="300" t="s">
        <v>253</v>
      </c>
      <c r="W212" s="318" t="s">
        <v>555</v>
      </c>
    </row>
    <row r="213" spans="1:23" s="338" customFormat="1" ht="38.1" customHeight="1" x14ac:dyDescent="0.2">
      <c r="A213" s="317" t="s">
        <v>252</v>
      </c>
      <c r="B213" s="335"/>
      <c r="C213" s="319" t="s">
        <v>251</v>
      </c>
      <c r="D213" s="336" t="s">
        <v>250</v>
      </c>
      <c r="E213" s="336" t="s">
        <v>249</v>
      </c>
      <c r="F213" s="336" t="s">
        <v>248</v>
      </c>
      <c r="G213" s="336"/>
      <c r="H213" s="336"/>
      <c r="I213" s="336"/>
      <c r="J213" s="336"/>
      <c r="K213" s="336"/>
      <c r="L213" s="336"/>
      <c r="M213" s="336"/>
      <c r="N213" s="337"/>
      <c r="P213" s="309">
        <f t="shared" si="10"/>
        <v>3</v>
      </c>
      <c r="Q213" s="331" t="s">
        <v>247</v>
      </c>
      <c r="U213" s="326" t="s">
        <v>246</v>
      </c>
      <c r="V213" s="300" t="s">
        <v>245</v>
      </c>
      <c r="W213" s="318" t="s">
        <v>556</v>
      </c>
    </row>
    <row r="214" spans="1:23" s="338" customFormat="1" ht="38.1" customHeight="1" x14ac:dyDescent="0.2">
      <c r="A214" s="317" t="s">
        <v>457</v>
      </c>
      <c r="B214" s="335"/>
      <c r="C214" s="319" t="s">
        <v>251</v>
      </c>
      <c r="D214" s="300" t="s">
        <v>295</v>
      </c>
      <c r="E214" s="335" t="s">
        <v>301</v>
      </c>
      <c r="F214" s="335" t="s">
        <v>300</v>
      </c>
      <c r="G214" s="335" t="s">
        <v>299</v>
      </c>
      <c r="H214" s="335"/>
      <c r="I214" s="335"/>
      <c r="J214" s="335"/>
      <c r="K214" s="336"/>
      <c r="L214" s="336"/>
      <c r="M214" s="336"/>
      <c r="N214" s="336"/>
      <c r="P214" s="309">
        <f t="shared" si="10"/>
        <v>4</v>
      </c>
      <c r="Q214" s="331" t="s">
        <v>495</v>
      </c>
      <c r="U214" s="326" t="s">
        <v>246</v>
      </c>
      <c r="V214" s="300" t="s">
        <v>482</v>
      </c>
      <c r="W214" s="318" t="s">
        <v>555</v>
      </c>
    </row>
    <row r="215" spans="1:23" s="338" customFormat="1" ht="38.1" customHeight="1" x14ac:dyDescent="0.2">
      <c r="A215" s="317" t="s">
        <v>542</v>
      </c>
      <c r="B215" s="335"/>
      <c r="C215" s="339" t="s">
        <v>251</v>
      </c>
      <c r="D215" s="335" t="s">
        <v>257</v>
      </c>
      <c r="E215" s="335" t="s">
        <v>256</v>
      </c>
      <c r="F215" s="335"/>
      <c r="G215" s="335"/>
      <c r="H215" s="335"/>
      <c r="I215" s="335"/>
      <c r="J215" s="335"/>
      <c r="K215" s="340"/>
      <c r="L215" s="340"/>
      <c r="M215" s="340"/>
      <c r="N215" s="340"/>
      <c r="P215" s="309">
        <f t="shared" si="10"/>
        <v>2</v>
      </c>
      <c r="Q215" s="335" t="s">
        <v>552</v>
      </c>
      <c r="U215" s="341" t="s">
        <v>246</v>
      </c>
      <c r="V215" s="300" t="s">
        <v>262</v>
      </c>
      <c r="W215" s="318" t="s">
        <v>555</v>
      </c>
    </row>
    <row r="216" spans="1:23" s="338" customFormat="1" ht="38.1" customHeight="1" x14ac:dyDescent="0.2">
      <c r="A216" s="317" t="s">
        <v>543</v>
      </c>
      <c r="B216" s="335"/>
      <c r="C216" s="339" t="s">
        <v>251</v>
      </c>
      <c r="D216" s="335" t="s">
        <v>250</v>
      </c>
      <c r="E216" s="335" t="s">
        <v>249</v>
      </c>
      <c r="F216" s="335"/>
      <c r="G216" s="335"/>
      <c r="H216" s="335"/>
      <c r="I216" s="335"/>
      <c r="J216" s="335"/>
      <c r="K216" s="340"/>
      <c r="L216" s="340"/>
      <c r="M216" s="340"/>
      <c r="N216" s="340"/>
      <c r="P216" s="309">
        <f>COUNTIF(D216:O216,"*")</f>
        <v>2</v>
      </c>
      <c r="Q216" s="335" t="s">
        <v>552</v>
      </c>
      <c r="U216" s="341" t="s">
        <v>246</v>
      </c>
      <c r="V216" s="300" t="s">
        <v>262</v>
      </c>
      <c r="W216" s="318" t="s">
        <v>556</v>
      </c>
    </row>
    <row r="217" spans="1:23" s="338" customFormat="1" ht="38.1" customHeight="1" x14ac:dyDescent="0.2">
      <c r="A217" s="317" t="s">
        <v>469</v>
      </c>
      <c r="B217" s="335"/>
      <c r="C217" s="339" t="s">
        <v>251</v>
      </c>
      <c r="D217" s="335" t="s">
        <v>257</v>
      </c>
      <c r="E217" s="335" t="s">
        <v>256</v>
      </c>
      <c r="F217" s="335" t="s">
        <v>255</v>
      </c>
      <c r="G217" s="335"/>
      <c r="H217" s="335"/>
      <c r="I217" s="335"/>
      <c r="J217" s="335"/>
      <c r="K217" s="340"/>
      <c r="L217" s="340"/>
      <c r="M217" s="340"/>
      <c r="N217" s="340"/>
      <c r="P217" s="309">
        <f t="shared" si="10"/>
        <v>3</v>
      </c>
      <c r="Q217" s="335" t="s">
        <v>553</v>
      </c>
      <c r="U217" s="341" t="s">
        <v>246</v>
      </c>
      <c r="V217" s="300" t="s">
        <v>259</v>
      </c>
      <c r="W217" s="318" t="s">
        <v>555</v>
      </c>
    </row>
    <row r="218" spans="1:23" s="338" customFormat="1" ht="38.1" customHeight="1" x14ac:dyDescent="0.2">
      <c r="A218" s="317" t="s">
        <v>545</v>
      </c>
      <c r="B218" s="335"/>
      <c r="C218" s="339" t="s">
        <v>251</v>
      </c>
      <c r="D218" s="335" t="s">
        <v>250</v>
      </c>
      <c r="E218" s="335" t="s">
        <v>249</v>
      </c>
      <c r="F218" s="335" t="s">
        <v>248</v>
      </c>
      <c r="G218" s="335"/>
      <c r="H218" s="335"/>
      <c r="I218" s="335"/>
      <c r="J218" s="335"/>
      <c r="K218" s="340"/>
      <c r="L218" s="340"/>
      <c r="M218" s="340"/>
      <c r="N218" s="340"/>
      <c r="P218" s="309">
        <f>COUNTIF(D218:O218,"*")</f>
        <v>3</v>
      </c>
      <c r="Q218" s="335" t="s">
        <v>550</v>
      </c>
      <c r="U218" s="341" t="s">
        <v>246</v>
      </c>
      <c r="V218" s="300" t="s">
        <v>253</v>
      </c>
      <c r="W218" s="318" t="s">
        <v>556</v>
      </c>
    </row>
    <row r="219" spans="1:23" s="338" customFormat="1" ht="38.1" customHeight="1" x14ac:dyDescent="0.2">
      <c r="A219" s="317" t="s">
        <v>544</v>
      </c>
      <c r="B219" s="335"/>
      <c r="C219" s="339" t="s">
        <v>251</v>
      </c>
      <c r="D219" s="335" t="s">
        <v>257</v>
      </c>
      <c r="E219" s="335" t="s">
        <v>256</v>
      </c>
      <c r="F219" s="335" t="s">
        <v>255</v>
      </c>
      <c r="G219" s="335"/>
      <c r="H219" s="335"/>
      <c r="I219" s="335"/>
      <c r="J219" s="335"/>
      <c r="K219" s="340"/>
      <c r="L219" s="340"/>
      <c r="M219" s="340"/>
      <c r="N219" s="340"/>
      <c r="P219" s="309">
        <f t="shared" si="10"/>
        <v>3</v>
      </c>
      <c r="Q219" s="335" t="s">
        <v>550</v>
      </c>
      <c r="U219" s="341" t="s">
        <v>246</v>
      </c>
      <c r="V219" s="300" t="s">
        <v>253</v>
      </c>
      <c r="W219" s="318" t="s">
        <v>555</v>
      </c>
    </row>
    <row r="220" spans="1:23" s="338" customFormat="1" ht="38.1" customHeight="1" x14ac:dyDescent="0.2">
      <c r="A220" s="317" t="s">
        <v>470</v>
      </c>
      <c r="B220" s="335"/>
      <c r="C220" s="339" t="s">
        <v>251</v>
      </c>
      <c r="D220" s="335" t="s">
        <v>250</v>
      </c>
      <c r="E220" s="335" t="s">
        <v>249</v>
      </c>
      <c r="F220" s="335" t="s">
        <v>248</v>
      </c>
      <c r="G220" s="335"/>
      <c r="H220" s="335"/>
      <c r="I220" s="335"/>
      <c r="J220" s="335"/>
      <c r="K220" s="340"/>
      <c r="L220" s="340"/>
      <c r="M220" s="340"/>
      <c r="N220" s="340"/>
      <c r="P220" s="309">
        <f t="shared" si="10"/>
        <v>3</v>
      </c>
      <c r="Q220" s="335" t="s">
        <v>551</v>
      </c>
      <c r="U220" s="341" t="s">
        <v>246</v>
      </c>
      <c r="V220" s="300" t="s">
        <v>245</v>
      </c>
      <c r="W220" s="318" t="s">
        <v>556</v>
      </c>
    </row>
    <row r="221" spans="1:23" s="338" customFormat="1" ht="38.1" customHeight="1" x14ac:dyDescent="0.2">
      <c r="A221" s="317" t="s">
        <v>463</v>
      </c>
      <c r="B221" s="335"/>
      <c r="C221" s="339" t="s">
        <v>251</v>
      </c>
      <c r="D221" s="335" t="s">
        <v>295</v>
      </c>
      <c r="E221" s="335" t="s">
        <v>301</v>
      </c>
      <c r="F221" s="335" t="s">
        <v>300</v>
      </c>
      <c r="G221" s="335" t="s">
        <v>299</v>
      </c>
      <c r="H221" s="335"/>
      <c r="I221" s="335"/>
      <c r="J221" s="335"/>
      <c r="K221" s="340"/>
      <c r="L221" s="340"/>
      <c r="M221" s="340"/>
      <c r="N221" s="340"/>
      <c r="P221" s="309">
        <f t="shared" si="10"/>
        <v>4</v>
      </c>
      <c r="Q221" s="335" t="s">
        <v>493</v>
      </c>
      <c r="U221" s="341" t="s">
        <v>246</v>
      </c>
      <c r="V221" s="300" t="s">
        <v>480</v>
      </c>
      <c r="W221" s="318" t="s">
        <v>555</v>
      </c>
    </row>
    <row r="222" spans="1:23" s="338" customFormat="1" ht="38.1" customHeight="1" x14ac:dyDescent="0.2">
      <c r="A222" s="317" t="s">
        <v>464</v>
      </c>
      <c r="B222" s="335"/>
      <c r="C222" s="339" t="s">
        <v>251</v>
      </c>
      <c r="D222" s="335" t="s">
        <v>295</v>
      </c>
      <c r="E222" s="335" t="s">
        <v>301</v>
      </c>
      <c r="F222" s="335" t="s">
        <v>300</v>
      </c>
      <c r="G222" s="335" t="s">
        <v>299</v>
      </c>
      <c r="H222" s="335"/>
      <c r="I222" s="335"/>
      <c r="J222" s="335"/>
      <c r="K222" s="340"/>
      <c r="L222" s="340"/>
      <c r="M222" s="340"/>
      <c r="N222" s="340"/>
      <c r="P222" s="309">
        <f t="shared" si="10"/>
        <v>4</v>
      </c>
      <c r="Q222" s="335" t="s">
        <v>494</v>
      </c>
      <c r="U222" s="341" t="s">
        <v>246</v>
      </c>
      <c r="V222" s="300" t="s">
        <v>481</v>
      </c>
      <c r="W222" s="318" t="s">
        <v>555</v>
      </c>
    </row>
    <row r="223" spans="1:23" s="338" customFormat="1" ht="38.1" customHeight="1" x14ac:dyDescent="0.2">
      <c r="A223" s="317" t="s">
        <v>458</v>
      </c>
      <c r="B223" s="335"/>
      <c r="C223" s="339" t="s">
        <v>251</v>
      </c>
      <c r="D223" s="335" t="s">
        <v>257</v>
      </c>
      <c r="E223" s="335" t="s">
        <v>301</v>
      </c>
      <c r="F223" s="335" t="s">
        <v>300</v>
      </c>
      <c r="G223" s="335" t="s">
        <v>299</v>
      </c>
      <c r="H223" s="335"/>
      <c r="I223" s="335"/>
      <c r="J223" s="335"/>
      <c r="K223" s="340"/>
      <c r="L223" s="340"/>
      <c r="M223" s="340"/>
      <c r="N223" s="340"/>
      <c r="P223" s="309">
        <f t="shared" si="10"/>
        <v>4</v>
      </c>
      <c r="Q223" s="335" t="s">
        <v>488</v>
      </c>
      <c r="U223" s="341" t="s">
        <v>246</v>
      </c>
      <c r="V223" s="300" t="s">
        <v>475</v>
      </c>
      <c r="W223" s="318" t="s">
        <v>555</v>
      </c>
    </row>
    <row r="224" spans="1:23" s="338" customFormat="1" ht="38.1" customHeight="1" x14ac:dyDescent="0.2">
      <c r="A224" s="317" t="s">
        <v>459</v>
      </c>
      <c r="B224" s="335"/>
      <c r="C224" s="339" t="s">
        <v>251</v>
      </c>
      <c r="D224" s="335" t="s">
        <v>257</v>
      </c>
      <c r="E224" s="335" t="s">
        <v>301</v>
      </c>
      <c r="F224" s="335" t="s">
        <v>300</v>
      </c>
      <c r="G224" s="335" t="s">
        <v>299</v>
      </c>
      <c r="H224" s="335"/>
      <c r="I224" s="335"/>
      <c r="J224" s="335"/>
      <c r="K224" s="340"/>
      <c r="L224" s="340"/>
      <c r="M224" s="340"/>
      <c r="N224" s="340"/>
      <c r="P224" s="309">
        <f t="shared" si="10"/>
        <v>4</v>
      </c>
      <c r="Q224" s="335" t="s">
        <v>489</v>
      </c>
      <c r="U224" s="341" t="s">
        <v>246</v>
      </c>
      <c r="V224" s="300" t="s">
        <v>476</v>
      </c>
      <c r="W224" s="318" t="s">
        <v>555</v>
      </c>
    </row>
    <row r="225" spans="1:23" s="338" customFormat="1" ht="38.1" customHeight="1" x14ac:dyDescent="0.2">
      <c r="A225" s="317" t="s">
        <v>460</v>
      </c>
      <c r="B225" s="335"/>
      <c r="C225" s="339" t="s">
        <v>251</v>
      </c>
      <c r="D225" s="335" t="s">
        <v>257</v>
      </c>
      <c r="E225" s="335" t="s">
        <v>301</v>
      </c>
      <c r="F225" s="335" t="s">
        <v>300</v>
      </c>
      <c r="G225" s="335" t="s">
        <v>299</v>
      </c>
      <c r="H225" s="335"/>
      <c r="I225" s="335"/>
      <c r="J225" s="335"/>
      <c r="K225" s="340"/>
      <c r="L225" s="340"/>
      <c r="M225" s="340"/>
      <c r="N225" s="340"/>
      <c r="P225" s="309">
        <f t="shared" si="10"/>
        <v>4</v>
      </c>
      <c r="Q225" s="335" t="s">
        <v>490</v>
      </c>
      <c r="U225" s="341" t="s">
        <v>246</v>
      </c>
      <c r="V225" s="300" t="s">
        <v>477</v>
      </c>
      <c r="W225" s="318" t="s">
        <v>555</v>
      </c>
    </row>
    <row r="226" spans="1:23" s="338" customFormat="1" ht="38.1" customHeight="1" x14ac:dyDescent="0.2">
      <c r="A226" s="317" t="s">
        <v>471</v>
      </c>
      <c r="B226" s="335"/>
      <c r="C226" s="339" t="s">
        <v>251</v>
      </c>
      <c r="D226" s="335" t="s">
        <v>257</v>
      </c>
      <c r="E226" s="335" t="s">
        <v>256</v>
      </c>
      <c r="F226" s="335"/>
      <c r="G226" s="335"/>
      <c r="H226" s="335"/>
      <c r="I226" s="335"/>
      <c r="J226" s="335"/>
      <c r="K226" s="340"/>
      <c r="L226" s="340"/>
      <c r="M226" s="340"/>
      <c r="N226" s="340"/>
      <c r="P226" s="309">
        <f t="shared" si="10"/>
        <v>2</v>
      </c>
      <c r="Q226" s="335" t="s">
        <v>549</v>
      </c>
      <c r="U226" s="341" t="s">
        <v>246</v>
      </c>
      <c r="V226" s="300" t="s">
        <v>487</v>
      </c>
      <c r="W226" s="318" t="s">
        <v>555</v>
      </c>
    </row>
    <row r="227" spans="1:23" s="338" customFormat="1" ht="38.1" customHeight="1" x14ac:dyDescent="0.2">
      <c r="A227" s="317" t="s">
        <v>462</v>
      </c>
      <c r="B227" s="335"/>
      <c r="C227" s="339" t="s">
        <v>251</v>
      </c>
      <c r="D227" s="335" t="s">
        <v>295</v>
      </c>
      <c r="E227" s="335" t="s">
        <v>301</v>
      </c>
      <c r="F227" s="335" t="s">
        <v>300</v>
      </c>
      <c r="G227" s="335" t="s">
        <v>299</v>
      </c>
      <c r="H227" s="335"/>
      <c r="I227" s="335"/>
      <c r="J227" s="335"/>
      <c r="K227" s="340"/>
      <c r="L227" s="340"/>
      <c r="M227" s="340"/>
      <c r="N227" s="340"/>
      <c r="P227" s="309">
        <f t="shared" si="10"/>
        <v>4</v>
      </c>
      <c r="Q227" s="335" t="s">
        <v>492</v>
      </c>
      <c r="U227" s="341" t="s">
        <v>246</v>
      </c>
      <c r="V227" s="300" t="s">
        <v>479</v>
      </c>
      <c r="W227" s="318" t="s">
        <v>555</v>
      </c>
    </row>
    <row r="228" spans="1:23" s="338" customFormat="1" ht="38.1" customHeight="1" x14ac:dyDescent="0.2">
      <c r="A228" s="317" t="s">
        <v>467</v>
      </c>
      <c r="B228" s="335"/>
      <c r="C228" s="339" t="s">
        <v>251</v>
      </c>
      <c r="D228" s="335" t="s">
        <v>250</v>
      </c>
      <c r="E228" s="335" t="s">
        <v>249</v>
      </c>
      <c r="F228" s="335" t="s">
        <v>248</v>
      </c>
      <c r="G228" s="335"/>
      <c r="H228" s="335"/>
      <c r="I228" s="335"/>
      <c r="J228" s="335"/>
      <c r="K228" s="340"/>
      <c r="L228" s="340"/>
      <c r="M228" s="340"/>
      <c r="N228" s="340"/>
      <c r="P228" s="309">
        <f t="shared" si="10"/>
        <v>3</v>
      </c>
      <c r="Q228" s="335" t="s">
        <v>498</v>
      </c>
      <c r="U228" s="341" t="s">
        <v>246</v>
      </c>
      <c r="V228" s="300" t="s">
        <v>485</v>
      </c>
      <c r="W228" s="318" t="s">
        <v>556</v>
      </c>
    </row>
    <row r="229" spans="1:23" s="338" customFormat="1" ht="38.1" customHeight="1" x14ac:dyDescent="0.2">
      <c r="A229" s="317" t="s">
        <v>472</v>
      </c>
      <c r="B229" s="335"/>
      <c r="C229" s="339" t="s">
        <v>251</v>
      </c>
      <c r="D229" s="335" t="s">
        <v>250</v>
      </c>
      <c r="E229" s="335" t="s">
        <v>249</v>
      </c>
      <c r="F229" s="335" t="s">
        <v>248</v>
      </c>
      <c r="G229" s="335"/>
      <c r="H229" s="335"/>
      <c r="I229" s="335"/>
      <c r="J229" s="335"/>
      <c r="K229" s="340"/>
      <c r="L229" s="340"/>
      <c r="M229" s="340"/>
      <c r="N229" s="340"/>
      <c r="P229" s="309">
        <f t="shared" si="10"/>
        <v>3</v>
      </c>
      <c r="Q229" s="335" t="s">
        <v>548</v>
      </c>
      <c r="U229" s="341" t="s">
        <v>246</v>
      </c>
      <c r="V229" s="300" t="s">
        <v>485</v>
      </c>
      <c r="W229" s="318" t="s">
        <v>556</v>
      </c>
    </row>
    <row r="230" spans="1:23" s="338" customFormat="1" ht="38.1" customHeight="1" x14ac:dyDescent="0.2">
      <c r="A230" s="317" t="s">
        <v>461</v>
      </c>
      <c r="B230" s="335"/>
      <c r="C230" s="339" t="s">
        <v>251</v>
      </c>
      <c r="D230" s="335" t="s">
        <v>250</v>
      </c>
      <c r="E230" s="335" t="s">
        <v>500</v>
      </c>
      <c r="F230" s="335" t="s">
        <v>501</v>
      </c>
      <c r="G230" s="335" t="s">
        <v>502</v>
      </c>
      <c r="H230" s="335"/>
      <c r="I230" s="335"/>
      <c r="J230" s="335"/>
      <c r="K230" s="340"/>
      <c r="L230" s="340"/>
      <c r="M230" s="340"/>
      <c r="N230" s="340"/>
      <c r="P230" s="309">
        <f t="shared" si="10"/>
        <v>4</v>
      </c>
      <c r="Q230" s="335" t="s">
        <v>491</v>
      </c>
      <c r="U230" s="341" t="s">
        <v>246</v>
      </c>
      <c r="V230" s="300" t="s">
        <v>478</v>
      </c>
      <c r="W230" s="318" t="s">
        <v>556</v>
      </c>
    </row>
    <row r="231" spans="1:23" s="338" customFormat="1" ht="38.1" customHeight="1" x14ac:dyDescent="0.2">
      <c r="A231" s="317" t="s">
        <v>465</v>
      </c>
      <c r="B231" s="335"/>
      <c r="C231" s="339" t="s">
        <v>251</v>
      </c>
      <c r="D231" s="335" t="s">
        <v>257</v>
      </c>
      <c r="E231" s="335" t="s">
        <v>256</v>
      </c>
      <c r="F231" s="335"/>
      <c r="G231" s="335"/>
      <c r="H231" s="335"/>
      <c r="I231" s="335"/>
      <c r="J231" s="335"/>
      <c r="K231" s="340"/>
      <c r="L231" s="340"/>
      <c r="M231" s="340"/>
      <c r="N231" s="340"/>
      <c r="P231" s="309">
        <f t="shared" si="10"/>
        <v>2</v>
      </c>
      <c r="Q231" s="335" t="s">
        <v>496</v>
      </c>
      <c r="U231" s="341" t="s">
        <v>246</v>
      </c>
      <c r="V231" s="300" t="s">
        <v>483</v>
      </c>
      <c r="W231" s="318" t="s">
        <v>555</v>
      </c>
    </row>
    <row r="232" spans="1:23" s="338" customFormat="1" ht="38.1" customHeight="1" x14ac:dyDescent="0.2">
      <c r="A232" s="317" t="s">
        <v>466</v>
      </c>
      <c r="B232" s="335"/>
      <c r="C232" s="339" t="s">
        <v>251</v>
      </c>
      <c r="D232" s="335" t="s">
        <v>257</v>
      </c>
      <c r="E232" s="335" t="s">
        <v>256</v>
      </c>
      <c r="F232" s="335"/>
      <c r="G232" s="335"/>
      <c r="H232" s="335"/>
      <c r="I232" s="335"/>
      <c r="J232" s="335"/>
      <c r="K232" s="340"/>
      <c r="L232" s="340"/>
      <c r="M232" s="340"/>
      <c r="N232" s="340"/>
      <c r="P232" s="309">
        <f t="shared" si="10"/>
        <v>2</v>
      </c>
      <c r="Q232" s="335" t="s">
        <v>497</v>
      </c>
      <c r="U232" s="341" t="s">
        <v>246</v>
      </c>
      <c r="V232" s="300" t="s">
        <v>484</v>
      </c>
      <c r="W232" s="318" t="s">
        <v>555</v>
      </c>
    </row>
    <row r="233" spans="1:23" s="338" customFormat="1" ht="38.1" customHeight="1" x14ac:dyDescent="0.2">
      <c r="A233" s="317" t="s">
        <v>473</v>
      </c>
      <c r="B233" s="335"/>
      <c r="C233" s="339" t="s">
        <v>251</v>
      </c>
      <c r="D233" s="335" t="s">
        <v>257</v>
      </c>
      <c r="E233" s="335" t="s">
        <v>256</v>
      </c>
      <c r="F233" s="335"/>
      <c r="G233" s="335"/>
      <c r="H233" s="335"/>
      <c r="I233" s="335"/>
      <c r="J233" s="335"/>
      <c r="K233" s="340"/>
      <c r="L233" s="340"/>
      <c r="M233" s="340"/>
      <c r="N233" s="340"/>
      <c r="P233" s="309">
        <f t="shared" si="10"/>
        <v>2</v>
      </c>
      <c r="Q233" s="335" t="s">
        <v>546</v>
      </c>
      <c r="U233" s="341" t="s">
        <v>246</v>
      </c>
      <c r="V233" s="300" t="s">
        <v>483</v>
      </c>
      <c r="W233" s="318" t="s">
        <v>555</v>
      </c>
    </row>
    <row r="234" spans="1:23" s="338" customFormat="1" ht="38.1" customHeight="1" x14ac:dyDescent="0.2">
      <c r="A234" s="317" t="s">
        <v>474</v>
      </c>
      <c r="B234" s="335"/>
      <c r="C234" s="339" t="s">
        <v>251</v>
      </c>
      <c r="D234" s="335" t="s">
        <v>257</v>
      </c>
      <c r="E234" s="335" t="s">
        <v>256</v>
      </c>
      <c r="F234" s="335"/>
      <c r="G234" s="335"/>
      <c r="H234" s="335"/>
      <c r="I234" s="335"/>
      <c r="J234" s="335"/>
      <c r="K234" s="340"/>
      <c r="L234" s="340"/>
      <c r="M234" s="340"/>
      <c r="N234" s="340"/>
      <c r="P234" s="309">
        <f t="shared" si="10"/>
        <v>2</v>
      </c>
      <c r="Q234" s="335" t="s">
        <v>547</v>
      </c>
      <c r="U234" s="341" t="s">
        <v>246</v>
      </c>
      <c r="V234" s="300" t="s">
        <v>484</v>
      </c>
      <c r="W234" s="318" t="s">
        <v>555</v>
      </c>
    </row>
    <row r="235" spans="1:23" s="338" customFormat="1" ht="38.1" customHeight="1" x14ac:dyDescent="0.2">
      <c r="A235" s="317" t="s">
        <v>468</v>
      </c>
      <c r="B235" s="335"/>
      <c r="C235" s="319" t="s">
        <v>251</v>
      </c>
      <c r="D235" s="335" t="s">
        <v>257</v>
      </c>
      <c r="E235" s="335" t="s">
        <v>256</v>
      </c>
      <c r="F235" s="335" t="s">
        <v>255</v>
      </c>
      <c r="G235" s="335"/>
      <c r="H235" s="335"/>
      <c r="I235" s="335"/>
      <c r="J235" s="335"/>
      <c r="K235" s="336"/>
      <c r="L235" s="336"/>
      <c r="M235" s="336"/>
      <c r="N235" s="336"/>
      <c r="P235" s="309">
        <f t="shared" si="10"/>
        <v>3</v>
      </c>
      <c r="Q235" s="335" t="s">
        <v>499</v>
      </c>
      <c r="U235" s="326" t="s">
        <v>246</v>
      </c>
      <c r="V235" s="300" t="s">
        <v>486</v>
      </c>
      <c r="W235" s="318" t="s">
        <v>555</v>
      </c>
    </row>
    <row r="236" spans="1:23" s="331" customFormat="1" ht="38.1" customHeight="1" x14ac:dyDescent="0.2">
      <c r="A236" s="317" t="s">
        <v>557</v>
      </c>
      <c r="C236" s="319" t="s">
        <v>251</v>
      </c>
      <c r="D236" s="342" t="s">
        <v>295</v>
      </c>
      <c r="E236" s="342" t="s">
        <v>301</v>
      </c>
      <c r="F236" s="342" t="s">
        <v>300</v>
      </c>
      <c r="G236" s="342" t="s">
        <v>299</v>
      </c>
      <c r="H236" s="342"/>
      <c r="I236" s="342"/>
      <c r="J236" s="342"/>
      <c r="K236" s="342"/>
      <c r="L236" s="342"/>
      <c r="M236" s="342"/>
      <c r="N236" s="342"/>
      <c r="P236" s="331">
        <f t="shared" si="10"/>
        <v>4</v>
      </c>
      <c r="Q236" s="331" t="s">
        <v>526</v>
      </c>
      <c r="U236" s="326" t="s">
        <v>246</v>
      </c>
      <c r="V236" s="300" t="s">
        <v>479</v>
      </c>
      <c r="W236" s="318" t="s">
        <v>555</v>
      </c>
    </row>
    <row r="237" spans="1:23" s="331" customFormat="1" ht="38.1" customHeight="1" x14ac:dyDescent="0.2">
      <c r="A237" s="317" t="s">
        <v>558</v>
      </c>
      <c r="C237" s="319" t="s">
        <v>251</v>
      </c>
      <c r="D237" s="342" t="s">
        <v>559</v>
      </c>
      <c r="E237" s="342" t="s">
        <v>500</v>
      </c>
      <c r="F237" s="342" t="s">
        <v>501</v>
      </c>
      <c r="G237" s="342" t="s">
        <v>502</v>
      </c>
      <c r="H237" s="342"/>
      <c r="I237" s="342"/>
      <c r="J237" s="342"/>
      <c r="K237" s="342"/>
      <c r="L237" s="342"/>
      <c r="M237" s="342"/>
      <c r="N237" s="342"/>
      <c r="P237" s="331">
        <f>COUNTIF(D237:O237,"*")</f>
        <v>4</v>
      </c>
      <c r="Q237" s="331" t="s">
        <v>526</v>
      </c>
      <c r="U237" s="326" t="s">
        <v>246</v>
      </c>
      <c r="V237" s="300" t="s">
        <v>479</v>
      </c>
      <c r="W237" s="318" t="s">
        <v>556</v>
      </c>
    </row>
    <row r="238" spans="1:23" s="331" customFormat="1" ht="38.1" customHeight="1" x14ac:dyDescent="0.2">
      <c r="A238" s="317" t="s">
        <v>560</v>
      </c>
      <c r="C238" s="319" t="s">
        <v>251</v>
      </c>
      <c r="D238" s="342" t="s">
        <v>257</v>
      </c>
      <c r="E238" s="342" t="s">
        <v>301</v>
      </c>
      <c r="F238" s="342" t="s">
        <v>300</v>
      </c>
      <c r="G238" s="342" t="s">
        <v>299</v>
      </c>
      <c r="H238" s="342"/>
      <c r="I238" s="342"/>
      <c r="J238" s="342"/>
      <c r="K238" s="342"/>
      <c r="L238" s="342"/>
      <c r="M238" s="342"/>
      <c r="N238" s="342"/>
      <c r="P238" s="331">
        <f t="shared" si="10"/>
        <v>4</v>
      </c>
      <c r="Q238" s="331" t="s">
        <v>527</v>
      </c>
      <c r="U238" s="326" t="s">
        <v>246</v>
      </c>
      <c r="V238" s="300" t="s">
        <v>475</v>
      </c>
      <c r="W238" s="318" t="s">
        <v>555</v>
      </c>
    </row>
    <row r="239" spans="1:23" s="331" customFormat="1" ht="38.1" customHeight="1" x14ac:dyDescent="0.2">
      <c r="A239" s="317" t="s">
        <v>561</v>
      </c>
      <c r="C239" s="319" t="s">
        <v>251</v>
      </c>
      <c r="D239" s="342" t="s">
        <v>250</v>
      </c>
      <c r="E239" s="342" t="s">
        <v>500</v>
      </c>
      <c r="F239" s="342" t="s">
        <v>501</v>
      </c>
      <c r="G239" s="342" t="s">
        <v>502</v>
      </c>
      <c r="H239" s="342"/>
      <c r="I239" s="342"/>
      <c r="J239" s="342"/>
      <c r="K239" s="342"/>
      <c r="L239" s="342"/>
      <c r="M239" s="342"/>
      <c r="N239" s="342"/>
      <c r="P239" s="331">
        <f>COUNTIF(D239:O239,"*")</f>
        <v>4</v>
      </c>
      <c r="Q239" s="331" t="s">
        <v>527</v>
      </c>
      <c r="U239" s="326" t="s">
        <v>246</v>
      </c>
      <c r="V239" s="300" t="s">
        <v>475</v>
      </c>
      <c r="W239" s="318" t="s">
        <v>556</v>
      </c>
    </row>
    <row r="240" spans="1:23" s="331" customFormat="1" ht="38.1" customHeight="1" x14ac:dyDescent="0.2">
      <c r="A240" s="317" t="s">
        <v>562</v>
      </c>
      <c r="C240" s="319" t="s">
        <v>251</v>
      </c>
      <c r="D240" s="342" t="s">
        <v>257</v>
      </c>
      <c r="E240" s="342" t="s">
        <v>301</v>
      </c>
      <c r="F240" s="342" t="s">
        <v>300</v>
      </c>
      <c r="G240" s="342" t="s">
        <v>299</v>
      </c>
      <c r="H240" s="342"/>
      <c r="I240" s="342"/>
      <c r="J240" s="342"/>
      <c r="K240" s="342"/>
      <c r="L240" s="342"/>
      <c r="M240" s="342"/>
      <c r="N240" s="342"/>
      <c r="P240" s="331">
        <f t="shared" si="10"/>
        <v>4</v>
      </c>
      <c r="Q240" s="331" t="s">
        <v>528</v>
      </c>
      <c r="U240" s="326" t="s">
        <v>246</v>
      </c>
      <c r="V240" s="300" t="s">
        <v>476</v>
      </c>
      <c r="W240" s="318" t="s">
        <v>555</v>
      </c>
    </row>
    <row r="241" spans="1:23" s="331" customFormat="1" ht="38.1" customHeight="1" x14ac:dyDescent="0.2">
      <c r="A241" s="317" t="s">
        <v>563</v>
      </c>
      <c r="C241" s="319" t="s">
        <v>251</v>
      </c>
      <c r="D241" s="342" t="s">
        <v>250</v>
      </c>
      <c r="E241" s="342" t="s">
        <v>500</v>
      </c>
      <c r="F241" s="342" t="s">
        <v>501</v>
      </c>
      <c r="G241" s="342" t="s">
        <v>502</v>
      </c>
      <c r="H241" s="342"/>
      <c r="I241" s="342"/>
      <c r="J241" s="342"/>
      <c r="K241" s="342"/>
      <c r="L241" s="342"/>
      <c r="M241" s="342"/>
      <c r="N241" s="342"/>
      <c r="P241" s="331">
        <f>COUNTIF(D241:O241,"*")</f>
        <v>4</v>
      </c>
      <c r="Q241" s="331" t="s">
        <v>528</v>
      </c>
      <c r="U241" s="326" t="s">
        <v>246</v>
      </c>
      <c r="V241" s="300" t="s">
        <v>476</v>
      </c>
      <c r="W241" s="318" t="s">
        <v>556</v>
      </c>
    </row>
    <row r="242" spans="1:23" s="331" customFormat="1" ht="38.1" customHeight="1" x14ac:dyDescent="0.2">
      <c r="A242" s="317" t="s">
        <v>519</v>
      </c>
      <c r="C242" s="319" t="s">
        <v>251</v>
      </c>
      <c r="D242" s="342" t="s">
        <v>257</v>
      </c>
      <c r="E242" s="342" t="s">
        <v>301</v>
      </c>
      <c r="F242" s="342" t="s">
        <v>300</v>
      </c>
      <c r="G242" s="342" t="s">
        <v>299</v>
      </c>
      <c r="H242" s="342"/>
      <c r="I242" s="342"/>
      <c r="J242" s="342"/>
      <c r="K242" s="342"/>
      <c r="L242" s="342"/>
      <c r="M242" s="342"/>
      <c r="N242" s="342"/>
      <c r="P242" s="331">
        <f t="shared" si="10"/>
        <v>4</v>
      </c>
      <c r="Q242" s="331" t="s">
        <v>529</v>
      </c>
      <c r="U242" s="326" t="s">
        <v>246</v>
      </c>
      <c r="V242" s="300" t="s">
        <v>477</v>
      </c>
      <c r="W242" s="318" t="s">
        <v>555</v>
      </c>
    </row>
    <row r="243" spans="1:23" s="331" customFormat="1" ht="38.1" customHeight="1" x14ac:dyDescent="0.2">
      <c r="A243" s="317" t="s">
        <v>520</v>
      </c>
      <c r="C243" s="319" t="s">
        <v>251</v>
      </c>
      <c r="D243" s="342" t="s">
        <v>250</v>
      </c>
      <c r="E243" s="342" t="s">
        <v>500</v>
      </c>
      <c r="F243" s="342" t="s">
        <v>501</v>
      </c>
      <c r="G243" s="342" t="s">
        <v>502</v>
      </c>
      <c r="H243" s="342"/>
      <c r="I243" s="342"/>
      <c r="J243" s="342"/>
      <c r="K243" s="342"/>
      <c r="L243" s="342"/>
      <c r="M243" s="342"/>
      <c r="N243" s="342"/>
      <c r="P243" s="331">
        <f t="shared" si="10"/>
        <v>4</v>
      </c>
      <c r="Q243" s="331" t="s">
        <v>530</v>
      </c>
      <c r="U243" s="326" t="s">
        <v>246</v>
      </c>
      <c r="V243" s="300" t="s">
        <v>478</v>
      </c>
      <c r="W243" s="318" t="s">
        <v>556</v>
      </c>
    </row>
    <row r="244" spans="1:23" s="338" customFormat="1" ht="38.1" customHeight="1" x14ac:dyDescent="0.2">
      <c r="A244" s="317" t="s">
        <v>506</v>
      </c>
      <c r="B244" s="335"/>
      <c r="C244" s="319" t="s">
        <v>251</v>
      </c>
      <c r="D244" s="336" t="s">
        <v>503</v>
      </c>
      <c r="E244" s="336" t="s">
        <v>504</v>
      </c>
      <c r="F244" s="336" t="s">
        <v>301</v>
      </c>
      <c r="G244" s="336" t="s">
        <v>300</v>
      </c>
      <c r="H244" s="336" t="s">
        <v>299</v>
      </c>
      <c r="I244" s="336" t="s">
        <v>505</v>
      </c>
      <c r="J244" s="336"/>
      <c r="K244" s="336"/>
      <c r="L244" s="336"/>
      <c r="M244" s="336"/>
      <c r="N244" s="337"/>
      <c r="P244" s="331">
        <f t="shared" si="10"/>
        <v>6</v>
      </c>
      <c r="Q244" s="335" t="s">
        <v>531</v>
      </c>
      <c r="R244" s="335"/>
      <c r="S244" s="335"/>
      <c r="T244" s="335"/>
      <c r="U244" s="326" t="s">
        <v>246</v>
      </c>
      <c r="V244" s="300" t="s">
        <v>514</v>
      </c>
      <c r="W244" s="318" t="s">
        <v>555</v>
      </c>
    </row>
    <row r="245" spans="1:23" s="338" customFormat="1" ht="38.1" customHeight="1" x14ac:dyDescent="0.2">
      <c r="A245" s="317" t="s">
        <v>507</v>
      </c>
      <c r="B245" s="335"/>
      <c r="C245" s="319" t="s">
        <v>251</v>
      </c>
      <c r="D245" s="336" t="s">
        <v>503</v>
      </c>
      <c r="E245" s="336" t="s">
        <v>504</v>
      </c>
      <c r="F245" s="336" t="s">
        <v>301</v>
      </c>
      <c r="G245" s="336" t="s">
        <v>300</v>
      </c>
      <c r="H245" s="336" t="s">
        <v>299</v>
      </c>
      <c r="I245" s="336" t="s">
        <v>505</v>
      </c>
      <c r="J245" s="336"/>
      <c r="K245" s="336"/>
      <c r="L245" s="336"/>
      <c r="M245" s="336"/>
      <c r="N245" s="337"/>
      <c r="P245" s="331">
        <f t="shared" si="10"/>
        <v>6</v>
      </c>
      <c r="Q245" s="335" t="s">
        <v>511</v>
      </c>
      <c r="R245" s="335"/>
      <c r="S245" s="335"/>
      <c r="T245" s="335"/>
      <c r="U245" s="326" t="s">
        <v>246</v>
      </c>
      <c r="V245" s="300" t="s">
        <v>516</v>
      </c>
      <c r="W245" s="318" t="s">
        <v>555</v>
      </c>
    </row>
    <row r="246" spans="1:23" s="338" customFormat="1" ht="38.1" customHeight="1" x14ac:dyDescent="0.2">
      <c r="A246" s="335" t="s">
        <v>541</v>
      </c>
      <c r="C246" s="319" t="s">
        <v>251</v>
      </c>
      <c r="D246" s="336" t="s">
        <v>503</v>
      </c>
      <c r="E246" s="336" t="s">
        <v>504</v>
      </c>
      <c r="F246" s="336" t="s">
        <v>301</v>
      </c>
      <c r="G246" s="336" t="s">
        <v>300</v>
      </c>
      <c r="H246" s="336" t="s">
        <v>299</v>
      </c>
      <c r="I246" s="336" t="s">
        <v>505</v>
      </c>
      <c r="J246" s="336"/>
      <c r="K246" s="336"/>
      <c r="L246" s="336"/>
      <c r="M246" s="336"/>
      <c r="N246" s="337"/>
      <c r="P246" s="331">
        <f t="shared" si="10"/>
        <v>6</v>
      </c>
      <c r="Q246" s="335" t="s">
        <v>510</v>
      </c>
      <c r="R246" s="335"/>
      <c r="S246" s="335"/>
      <c r="T246" s="335"/>
      <c r="U246" s="326" t="s">
        <v>246</v>
      </c>
      <c r="V246" s="300" t="s">
        <v>515</v>
      </c>
      <c r="W246" s="318" t="s">
        <v>555</v>
      </c>
    </row>
    <row r="247" spans="1:23" s="338" customFormat="1" ht="38.1" customHeight="1" x14ac:dyDescent="0.2">
      <c r="A247" s="317" t="s">
        <v>508</v>
      </c>
      <c r="B247" s="335"/>
      <c r="C247" s="319" t="s">
        <v>251</v>
      </c>
      <c r="D247" s="336" t="s">
        <v>503</v>
      </c>
      <c r="E247" s="336" t="s">
        <v>504</v>
      </c>
      <c r="F247" s="336" t="s">
        <v>301</v>
      </c>
      <c r="G247" s="336" t="s">
        <v>300</v>
      </c>
      <c r="H247" s="336" t="s">
        <v>299</v>
      </c>
      <c r="I247" s="336" t="s">
        <v>505</v>
      </c>
      <c r="J247" s="336"/>
      <c r="K247" s="336"/>
      <c r="L247" s="336"/>
      <c r="M247" s="336"/>
      <c r="N247" s="337"/>
      <c r="P247" s="331">
        <f t="shared" si="10"/>
        <v>6</v>
      </c>
      <c r="Q247" s="335" t="s">
        <v>512</v>
      </c>
      <c r="R247" s="335"/>
      <c r="S247" s="335"/>
      <c r="T247" s="335"/>
      <c r="U247" s="326" t="s">
        <v>246</v>
      </c>
      <c r="V247" s="300" t="s">
        <v>517</v>
      </c>
      <c r="W247" s="318" t="s">
        <v>555</v>
      </c>
    </row>
    <row r="248" spans="1:23" s="338" customFormat="1" ht="38.1" customHeight="1" x14ac:dyDescent="0.2">
      <c r="A248" s="317" t="s">
        <v>509</v>
      </c>
      <c r="B248" s="335"/>
      <c r="C248" s="319" t="s">
        <v>251</v>
      </c>
      <c r="D248" s="336" t="s">
        <v>503</v>
      </c>
      <c r="E248" s="336" t="s">
        <v>504</v>
      </c>
      <c r="F248" s="336" t="s">
        <v>301</v>
      </c>
      <c r="G248" s="336" t="s">
        <v>300</v>
      </c>
      <c r="H248" s="336" t="s">
        <v>299</v>
      </c>
      <c r="I248" s="336" t="s">
        <v>505</v>
      </c>
      <c r="J248" s="336"/>
      <c r="K248" s="336"/>
      <c r="L248" s="336"/>
      <c r="M248" s="336"/>
      <c r="N248" s="337"/>
      <c r="P248" s="331">
        <f t="shared" si="10"/>
        <v>6</v>
      </c>
      <c r="Q248" s="335" t="s">
        <v>513</v>
      </c>
      <c r="R248" s="335"/>
      <c r="S248" s="335"/>
      <c r="T248" s="335"/>
      <c r="U248" s="326" t="s">
        <v>246</v>
      </c>
      <c r="V248" s="300" t="s">
        <v>518</v>
      </c>
      <c r="W248" s="318" t="s">
        <v>555</v>
      </c>
    </row>
    <row r="249" spans="1:23" s="338" customFormat="1" ht="38.1" customHeight="1" x14ac:dyDescent="0.2">
      <c r="A249" s="317" t="s">
        <v>521</v>
      </c>
      <c r="B249" s="335"/>
      <c r="C249" s="319" t="s">
        <v>251</v>
      </c>
      <c r="D249" s="336" t="s">
        <v>257</v>
      </c>
      <c r="E249" s="336" t="s">
        <v>301</v>
      </c>
      <c r="F249" s="336" t="s">
        <v>300</v>
      </c>
      <c r="G249" s="336" t="s">
        <v>299</v>
      </c>
      <c r="H249" s="336"/>
      <c r="I249" s="336"/>
      <c r="J249" s="336"/>
      <c r="K249" s="336"/>
      <c r="L249" s="336"/>
      <c r="M249" s="336"/>
      <c r="N249" s="337"/>
      <c r="P249" s="331">
        <f t="shared" si="10"/>
        <v>4</v>
      </c>
      <c r="Q249" s="335" t="s">
        <v>532</v>
      </c>
      <c r="R249" s="335"/>
      <c r="S249" s="335"/>
      <c r="T249" s="335"/>
      <c r="U249" s="326" t="s">
        <v>246</v>
      </c>
      <c r="V249" s="300" t="s">
        <v>536</v>
      </c>
      <c r="W249" s="318" t="s">
        <v>555</v>
      </c>
    </row>
    <row r="250" spans="1:23" s="338" customFormat="1" ht="38.1" customHeight="1" x14ac:dyDescent="0.2">
      <c r="A250" s="317" t="s">
        <v>522</v>
      </c>
      <c r="B250" s="335"/>
      <c r="C250" s="319" t="s">
        <v>251</v>
      </c>
      <c r="D250" s="336" t="s">
        <v>257</v>
      </c>
      <c r="E250" s="336" t="s">
        <v>301</v>
      </c>
      <c r="F250" s="336" t="s">
        <v>300</v>
      </c>
      <c r="G250" s="336" t="s">
        <v>299</v>
      </c>
      <c r="H250" s="336"/>
      <c r="I250" s="336"/>
      <c r="J250" s="336"/>
      <c r="K250" s="336"/>
      <c r="L250" s="336"/>
      <c r="M250" s="336"/>
      <c r="N250" s="337"/>
      <c r="P250" s="331">
        <f t="shared" si="10"/>
        <v>4</v>
      </c>
      <c r="Q250" s="335" t="s">
        <v>533</v>
      </c>
      <c r="R250" s="335"/>
      <c r="S250" s="335"/>
      <c r="T250" s="335"/>
      <c r="U250" s="326" t="s">
        <v>246</v>
      </c>
      <c r="V250" s="300" t="s">
        <v>537</v>
      </c>
      <c r="W250" s="318" t="s">
        <v>555</v>
      </c>
    </row>
    <row r="251" spans="1:23" s="338" customFormat="1" ht="38.1" customHeight="1" x14ac:dyDescent="0.2">
      <c r="A251" s="317" t="s">
        <v>523</v>
      </c>
      <c r="B251" s="335"/>
      <c r="C251" s="319" t="s">
        <v>251</v>
      </c>
      <c r="D251" s="336" t="s">
        <v>257</v>
      </c>
      <c r="E251" s="336" t="s">
        <v>301</v>
      </c>
      <c r="F251" s="336" t="s">
        <v>300</v>
      </c>
      <c r="G251" s="336" t="s">
        <v>299</v>
      </c>
      <c r="H251" s="336"/>
      <c r="I251" s="336"/>
      <c r="J251" s="336"/>
      <c r="K251" s="336"/>
      <c r="L251" s="336"/>
      <c r="M251" s="336"/>
      <c r="N251" s="337"/>
      <c r="P251" s="331">
        <f t="shared" si="10"/>
        <v>4</v>
      </c>
      <c r="Q251" s="335" t="s">
        <v>534</v>
      </c>
      <c r="R251" s="335"/>
      <c r="S251" s="335"/>
      <c r="T251" s="335"/>
      <c r="U251" s="326" t="s">
        <v>246</v>
      </c>
      <c r="V251" s="300" t="s">
        <v>538</v>
      </c>
      <c r="W251" s="318" t="s">
        <v>555</v>
      </c>
    </row>
    <row r="252" spans="1:23" s="338" customFormat="1" ht="38.1" customHeight="1" x14ac:dyDescent="0.2">
      <c r="A252" s="317" t="s">
        <v>524</v>
      </c>
      <c r="B252" s="335"/>
      <c r="C252" s="319" t="s">
        <v>251</v>
      </c>
      <c r="D252" s="336" t="s">
        <v>257</v>
      </c>
      <c r="E252" s="336" t="s">
        <v>301</v>
      </c>
      <c r="F252" s="336" t="s">
        <v>300</v>
      </c>
      <c r="G252" s="336" t="s">
        <v>299</v>
      </c>
      <c r="H252" s="336"/>
      <c r="I252" s="336"/>
      <c r="J252" s="336"/>
      <c r="K252" s="336"/>
      <c r="L252" s="336"/>
      <c r="M252" s="336"/>
      <c r="N252" s="337"/>
      <c r="P252" s="331">
        <f t="shared" si="10"/>
        <v>4</v>
      </c>
      <c r="Q252" s="335" t="s">
        <v>535</v>
      </c>
      <c r="R252" s="335"/>
      <c r="S252" s="335"/>
      <c r="T252" s="335"/>
      <c r="U252" s="326" t="s">
        <v>246</v>
      </c>
      <c r="V252" s="300" t="s">
        <v>539</v>
      </c>
      <c r="W252" s="318" t="s">
        <v>555</v>
      </c>
    </row>
    <row r="253" spans="1:23" s="338" customFormat="1" ht="38.1" customHeight="1" x14ac:dyDescent="0.2">
      <c r="A253" s="317" t="s">
        <v>525</v>
      </c>
      <c r="B253" s="335"/>
      <c r="C253" s="319" t="s">
        <v>251</v>
      </c>
      <c r="D253" s="336" t="s">
        <v>257</v>
      </c>
      <c r="E253" s="336" t="s">
        <v>301</v>
      </c>
      <c r="F253" s="336" t="s">
        <v>300</v>
      </c>
      <c r="G253" s="336" t="s">
        <v>299</v>
      </c>
      <c r="H253" s="336"/>
      <c r="I253" s="336"/>
      <c r="J253" s="336"/>
      <c r="K253" s="336"/>
      <c r="L253" s="336"/>
      <c r="M253" s="336"/>
      <c r="N253" s="337"/>
      <c r="P253" s="331">
        <f t="shared" si="10"/>
        <v>4</v>
      </c>
      <c r="Q253" s="335" t="s">
        <v>554</v>
      </c>
      <c r="R253" s="335"/>
      <c r="S253" s="335"/>
      <c r="T253" s="335"/>
      <c r="U253" s="326" t="s">
        <v>246</v>
      </c>
      <c r="V253" s="300" t="s">
        <v>540</v>
      </c>
      <c r="W253" s="318" t="s">
        <v>555</v>
      </c>
    </row>
    <row r="254" spans="1:23" s="338" customFormat="1" x14ac:dyDescent="0.2">
      <c r="A254" s="309" t="s">
        <v>290</v>
      </c>
      <c r="C254" s="319"/>
      <c r="D254" s="336"/>
      <c r="E254" s="335"/>
      <c r="F254" s="336"/>
      <c r="G254" s="336"/>
      <c r="H254" s="336"/>
      <c r="I254" s="336"/>
      <c r="J254" s="336"/>
      <c r="K254" s="336"/>
      <c r="L254" s="336"/>
      <c r="M254" s="336"/>
      <c r="N254" s="337"/>
      <c r="P254" s="331"/>
      <c r="Q254" s="336"/>
      <c r="R254" s="335"/>
      <c r="S254" s="335"/>
      <c r="T254" s="335"/>
      <c r="U254" s="326"/>
      <c r="V254" s="335"/>
      <c r="W254" s="336"/>
    </row>
    <row r="255" spans="1:23" s="338" customFormat="1" x14ac:dyDescent="0.2">
      <c r="A255" s="343" t="s">
        <v>615</v>
      </c>
      <c r="C255" s="319" t="s">
        <v>251</v>
      </c>
      <c r="D255" s="336" t="s">
        <v>299</v>
      </c>
      <c r="E255" s="335" t="s">
        <v>300</v>
      </c>
      <c r="F255" s="336" t="s">
        <v>296</v>
      </c>
      <c r="G255" s="336" t="s">
        <v>298</v>
      </c>
      <c r="H255" s="336"/>
      <c r="I255" s="336"/>
      <c r="J255" s="336"/>
      <c r="K255" s="336"/>
      <c r="L255" s="336"/>
      <c r="M255" s="336"/>
      <c r="N255" s="337"/>
      <c r="P255" s="331">
        <f t="shared" ref="P255:P280" si="11">COUNTIF(D255:O255,"*")</f>
        <v>4</v>
      </c>
      <c r="Q255" s="336" t="s">
        <v>566</v>
      </c>
      <c r="R255" s="335"/>
      <c r="S255" s="335"/>
      <c r="T255" s="335"/>
      <c r="U255" s="326" t="s">
        <v>246</v>
      </c>
      <c r="V255" s="335" t="s">
        <v>595</v>
      </c>
      <c r="W255" s="336" t="s">
        <v>555</v>
      </c>
    </row>
    <row r="256" spans="1:23" s="338" customFormat="1" x14ac:dyDescent="0.2">
      <c r="A256" s="335" t="s">
        <v>616</v>
      </c>
      <c r="C256" s="319" t="s">
        <v>251</v>
      </c>
      <c r="D256" s="336" t="s">
        <v>299</v>
      </c>
      <c r="E256" s="335" t="s">
        <v>300</v>
      </c>
      <c r="F256" s="336" t="s">
        <v>296</v>
      </c>
      <c r="G256" s="336" t="s">
        <v>298</v>
      </c>
      <c r="H256" s="336"/>
      <c r="I256" s="336"/>
      <c r="J256" s="336"/>
      <c r="K256" s="336"/>
      <c r="L256" s="336"/>
      <c r="M256" s="336"/>
      <c r="N256" s="336"/>
      <c r="O256" s="335"/>
      <c r="P256" s="331">
        <f t="shared" si="11"/>
        <v>4</v>
      </c>
      <c r="Q256" s="336" t="s">
        <v>567</v>
      </c>
      <c r="R256" s="335"/>
      <c r="S256" s="335"/>
      <c r="T256" s="335"/>
      <c r="U256" s="326" t="s">
        <v>246</v>
      </c>
      <c r="V256" s="335" t="s">
        <v>596</v>
      </c>
      <c r="W256" s="336" t="s">
        <v>555</v>
      </c>
    </row>
    <row r="257" spans="1:23" s="338" customFormat="1" x14ac:dyDescent="0.2">
      <c r="A257" s="335" t="s">
        <v>617</v>
      </c>
      <c r="C257" s="319" t="s">
        <v>251</v>
      </c>
      <c r="D257" s="336" t="s">
        <v>299</v>
      </c>
      <c r="E257" s="335" t="s">
        <v>300</v>
      </c>
      <c r="F257" s="336" t="s">
        <v>296</v>
      </c>
      <c r="G257" s="336" t="s">
        <v>298</v>
      </c>
      <c r="H257" s="336"/>
      <c r="I257" s="336"/>
      <c r="J257" s="336"/>
      <c r="K257" s="336"/>
      <c r="L257" s="336"/>
      <c r="M257" s="336"/>
      <c r="N257" s="336"/>
      <c r="O257" s="335"/>
      <c r="P257" s="331">
        <f t="shared" si="11"/>
        <v>4</v>
      </c>
      <c r="Q257" s="336" t="s">
        <v>568</v>
      </c>
      <c r="R257" s="335"/>
      <c r="S257" s="335"/>
      <c r="T257" s="335"/>
      <c r="U257" s="326" t="s">
        <v>246</v>
      </c>
      <c r="V257" s="335" t="s">
        <v>597</v>
      </c>
      <c r="W257" s="336" t="s">
        <v>555</v>
      </c>
    </row>
    <row r="258" spans="1:23" s="338" customFormat="1" x14ac:dyDescent="0.2">
      <c r="A258" s="335" t="s">
        <v>618</v>
      </c>
      <c r="C258" s="319" t="s">
        <v>251</v>
      </c>
      <c r="D258" s="336" t="s">
        <v>299</v>
      </c>
      <c r="E258" s="335" t="s">
        <v>300</v>
      </c>
      <c r="F258" s="336" t="s">
        <v>296</v>
      </c>
      <c r="G258" s="336" t="s">
        <v>298</v>
      </c>
      <c r="H258" s="336"/>
      <c r="I258" s="336"/>
      <c r="J258" s="336"/>
      <c r="K258" s="336"/>
      <c r="L258" s="336"/>
      <c r="M258" s="336"/>
      <c r="N258" s="336"/>
      <c r="O258" s="335"/>
      <c r="P258" s="331">
        <f t="shared" si="11"/>
        <v>4</v>
      </c>
      <c r="Q258" s="336" t="s">
        <v>569</v>
      </c>
      <c r="R258" s="335"/>
      <c r="S258" s="335"/>
      <c r="T258" s="335"/>
      <c r="U258" s="326" t="s">
        <v>246</v>
      </c>
      <c r="V258" s="335" t="s">
        <v>598</v>
      </c>
      <c r="W258" s="336" t="s">
        <v>555</v>
      </c>
    </row>
    <row r="259" spans="1:23" s="338" customFormat="1" x14ac:dyDescent="0.2">
      <c r="A259" s="335" t="s">
        <v>507</v>
      </c>
      <c r="C259" s="319" t="s">
        <v>251</v>
      </c>
      <c r="D259" s="336" t="s">
        <v>503</v>
      </c>
      <c r="E259" s="335" t="s">
        <v>504</v>
      </c>
      <c r="F259" s="336" t="s">
        <v>301</v>
      </c>
      <c r="G259" s="336" t="s">
        <v>300</v>
      </c>
      <c r="H259" s="336" t="s">
        <v>299</v>
      </c>
      <c r="I259" s="336" t="s">
        <v>505</v>
      </c>
      <c r="J259" s="336"/>
      <c r="K259" s="336"/>
      <c r="L259" s="336"/>
      <c r="M259" s="336"/>
      <c r="N259" s="336"/>
      <c r="O259" s="335"/>
      <c r="P259" s="331">
        <f t="shared" si="11"/>
        <v>6</v>
      </c>
      <c r="Q259" s="336" t="s">
        <v>570</v>
      </c>
      <c r="R259" s="335"/>
      <c r="S259" s="335"/>
      <c r="T259" s="335"/>
      <c r="U259" s="326" t="s">
        <v>246</v>
      </c>
      <c r="V259" s="335" t="s">
        <v>516</v>
      </c>
      <c r="W259" s="336" t="s">
        <v>555</v>
      </c>
    </row>
    <row r="260" spans="1:23" s="338" customFormat="1" x14ac:dyDescent="0.2">
      <c r="A260" s="335" t="s">
        <v>508</v>
      </c>
      <c r="C260" s="319" t="s">
        <v>251</v>
      </c>
      <c r="D260" s="336" t="s">
        <v>503</v>
      </c>
      <c r="E260" s="335" t="s">
        <v>504</v>
      </c>
      <c r="F260" s="336" t="s">
        <v>301</v>
      </c>
      <c r="G260" s="336" t="s">
        <v>300</v>
      </c>
      <c r="H260" s="336" t="s">
        <v>299</v>
      </c>
      <c r="I260" s="336" t="s">
        <v>505</v>
      </c>
      <c r="J260" s="336"/>
      <c r="K260" s="336"/>
      <c r="L260" s="336"/>
      <c r="M260" s="336"/>
      <c r="N260" s="336"/>
      <c r="O260" s="335"/>
      <c r="P260" s="331">
        <f t="shared" si="11"/>
        <v>6</v>
      </c>
      <c r="Q260" s="336" t="s">
        <v>571</v>
      </c>
      <c r="R260" s="335"/>
      <c r="S260" s="335"/>
      <c r="T260" s="335"/>
      <c r="U260" s="326" t="s">
        <v>246</v>
      </c>
      <c r="V260" s="335" t="s">
        <v>517</v>
      </c>
      <c r="W260" s="336" t="s">
        <v>555</v>
      </c>
    </row>
    <row r="261" spans="1:23" s="338" customFormat="1" x14ac:dyDescent="0.2">
      <c r="A261" s="335" t="s">
        <v>509</v>
      </c>
      <c r="C261" s="319" t="s">
        <v>251</v>
      </c>
      <c r="D261" s="336" t="s">
        <v>503</v>
      </c>
      <c r="E261" s="335" t="s">
        <v>504</v>
      </c>
      <c r="F261" s="336" t="s">
        <v>301</v>
      </c>
      <c r="G261" s="336" t="s">
        <v>300</v>
      </c>
      <c r="H261" s="336" t="s">
        <v>299</v>
      </c>
      <c r="I261" s="336" t="s">
        <v>505</v>
      </c>
      <c r="J261" s="336"/>
      <c r="K261" s="336"/>
      <c r="L261" s="336"/>
      <c r="M261" s="336"/>
      <c r="N261" s="336"/>
      <c r="O261" s="335"/>
      <c r="P261" s="331">
        <f t="shared" si="11"/>
        <v>6</v>
      </c>
      <c r="Q261" s="336" t="s">
        <v>572</v>
      </c>
      <c r="R261" s="335"/>
      <c r="S261" s="335"/>
      <c r="T261" s="335"/>
      <c r="U261" s="326" t="s">
        <v>246</v>
      </c>
      <c r="V261" s="335" t="s">
        <v>518</v>
      </c>
      <c r="W261" s="336" t="s">
        <v>555</v>
      </c>
    </row>
    <row r="262" spans="1:23" s="338" customFormat="1" x14ac:dyDescent="0.2">
      <c r="A262" s="335" t="s">
        <v>619</v>
      </c>
      <c r="C262" s="319" t="s">
        <v>251</v>
      </c>
      <c r="D262" s="336" t="s">
        <v>559</v>
      </c>
      <c r="E262" s="335" t="s">
        <v>500</v>
      </c>
      <c r="F262" s="336" t="s">
        <v>501</v>
      </c>
      <c r="G262" s="336" t="s">
        <v>502</v>
      </c>
      <c r="H262" s="336"/>
      <c r="I262" s="336"/>
      <c r="J262" s="336"/>
      <c r="K262" s="336"/>
      <c r="L262" s="336"/>
      <c r="M262" s="336"/>
      <c r="N262" s="336"/>
      <c r="O262" s="335"/>
      <c r="P262" s="331">
        <f t="shared" si="11"/>
        <v>4</v>
      </c>
      <c r="Q262" s="336" t="s">
        <v>573</v>
      </c>
      <c r="R262" s="335"/>
      <c r="S262" s="335"/>
      <c r="T262" s="335"/>
      <c r="U262" s="326" t="s">
        <v>246</v>
      </c>
      <c r="V262" s="335" t="s">
        <v>599</v>
      </c>
      <c r="W262" s="336" t="s">
        <v>556</v>
      </c>
    </row>
    <row r="263" spans="1:23" s="338" customFormat="1" x14ac:dyDescent="0.2">
      <c r="A263" s="335" t="s">
        <v>574</v>
      </c>
      <c r="C263" s="319" t="s">
        <v>251</v>
      </c>
      <c r="D263" s="336" t="s">
        <v>295</v>
      </c>
      <c r="E263" s="335" t="s">
        <v>301</v>
      </c>
      <c r="F263" s="336" t="s">
        <v>300</v>
      </c>
      <c r="G263" s="336" t="s">
        <v>299</v>
      </c>
      <c r="H263" s="336"/>
      <c r="I263" s="336"/>
      <c r="J263" s="336"/>
      <c r="K263" s="336"/>
      <c r="L263" s="336"/>
      <c r="M263" s="336"/>
      <c r="N263" s="336"/>
      <c r="O263" s="335"/>
      <c r="P263" s="331">
        <f t="shared" si="11"/>
        <v>4</v>
      </c>
      <c r="Q263" s="336" t="s">
        <v>575</v>
      </c>
      <c r="R263" s="335"/>
      <c r="S263" s="335"/>
      <c r="T263" s="335"/>
      <c r="U263" s="326" t="s">
        <v>246</v>
      </c>
      <c r="V263" s="335" t="s">
        <v>600</v>
      </c>
      <c r="W263" s="336" t="s">
        <v>555</v>
      </c>
    </row>
    <row r="264" spans="1:23" s="338" customFormat="1" x14ac:dyDescent="0.2">
      <c r="A264" s="335" t="s">
        <v>576</v>
      </c>
      <c r="C264" s="319" t="s">
        <v>251</v>
      </c>
      <c r="D264" s="336" t="s">
        <v>559</v>
      </c>
      <c r="E264" s="335" t="s">
        <v>500</v>
      </c>
      <c r="F264" s="336" t="s">
        <v>501</v>
      </c>
      <c r="G264" s="336" t="s">
        <v>502</v>
      </c>
      <c r="H264" s="336"/>
      <c r="I264" s="336"/>
      <c r="J264" s="336"/>
      <c r="K264" s="336"/>
      <c r="L264" s="336"/>
      <c r="M264" s="336"/>
      <c r="N264" s="336"/>
      <c r="O264" s="335"/>
      <c r="P264" s="331">
        <f t="shared" si="11"/>
        <v>4</v>
      </c>
      <c r="Q264" s="336" t="s">
        <v>575</v>
      </c>
      <c r="R264" s="335"/>
      <c r="S264" s="335"/>
      <c r="T264" s="335"/>
      <c r="U264" s="326" t="s">
        <v>246</v>
      </c>
      <c r="V264" s="335" t="s">
        <v>600</v>
      </c>
      <c r="W264" s="336" t="s">
        <v>556</v>
      </c>
    </row>
    <row r="265" spans="1:23" s="338" customFormat="1" x14ac:dyDescent="0.2">
      <c r="A265" s="335" t="s">
        <v>577</v>
      </c>
      <c r="C265" s="319" t="s">
        <v>251</v>
      </c>
      <c r="D265" s="336" t="s">
        <v>295</v>
      </c>
      <c r="E265" s="335" t="s">
        <v>301</v>
      </c>
      <c r="F265" s="336" t="s">
        <v>300</v>
      </c>
      <c r="G265" s="336" t="s">
        <v>299</v>
      </c>
      <c r="H265" s="336"/>
      <c r="I265" s="336"/>
      <c r="J265" s="336"/>
      <c r="K265" s="336"/>
      <c r="L265" s="336"/>
      <c r="M265" s="336"/>
      <c r="N265" s="336"/>
      <c r="O265" s="335"/>
      <c r="P265" s="331">
        <f t="shared" si="11"/>
        <v>4</v>
      </c>
      <c r="Q265" s="336" t="s">
        <v>578</v>
      </c>
      <c r="R265" s="335"/>
      <c r="S265" s="335"/>
      <c r="T265" s="335"/>
      <c r="U265" s="326" t="s">
        <v>246</v>
      </c>
      <c r="V265" s="335" t="s">
        <v>601</v>
      </c>
      <c r="W265" s="336" t="s">
        <v>555</v>
      </c>
    </row>
    <row r="266" spans="1:23" s="338" customFormat="1" x14ac:dyDescent="0.2">
      <c r="A266" s="335" t="s">
        <v>579</v>
      </c>
      <c r="C266" s="319" t="s">
        <v>251</v>
      </c>
      <c r="D266" s="336" t="s">
        <v>559</v>
      </c>
      <c r="E266" s="335" t="s">
        <v>500</v>
      </c>
      <c r="F266" s="336" t="s">
        <v>501</v>
      </c>
      <c r="G266" s="336" t="s">
        <v>502</v>
      </c>
      <c r="H266" s="336"/>
      <c r="I266" s="336"/>
      <c r="J266" s="336"/>
      <c r="K266" s="336"/>
      <c r="L266" s="336"/>
      <c r="M266" s="336"/>
      <c r="N266" s="336"/>
      <c r="O266" s="335"/>
      <c r="P266" s="331">
        <f t="shared" si="11"/>
        <v>4</v>
      </c>
      <c r="Q266" s="336" t="s">
        <v>578</v>
      </c>
      <c r="R266" s="335"/>
      <c r="S266" s="335"/>
      <c r="T266" s="335"/>
      <c r="U266" s="326" t="s">
        <v>246</v>
      </c>
      <c r="V266" s="335" t="s">
        <v>601</v>
      </c>
      <c r="W266" s="336" t="s">
        <v>556</v>
      </c>
    </row>
    <row r="267" spans="1:23" s="338" customFormat="1" x14ac:dyDescent="0.2">
      <c r="A267" s="335" t="s">
        <v>580</v>
      </c>
      <c r="C267" s="319" t="s">
        <v>251</v>
      </c>
      <c r="D267" s="336" t="s">
        <v>295</v>
      </c>
      <c r="E267" s="335" t="s">
        <v>301</v>
      </c>
      <c r="F267" s="336" t="s">
        <v>300</v>
      </c>
      <c r="G267" s="336" t="s">
        <v>299</v>
      </c>
      <c r="H267" s="336"/>
      <c r="I267" s="336"/>
      <c r="J267" s="336"/>
      <c r="K267" s="336"/>
      <c r="L267" s="336"/>
      <c r="M267" s="336"/>
      <c r="N267" s="336"/>
      <c r="O267" s="335"/>
      <c r="P267" s="331">
        <f t="shared" si="11"/>
        <v>4</v>
      </c>
      <c r="Q267" s="336" t="s">
        <v>581</v>
      </c>
      <c r="R267" s="335"/>
      <c r="S267" s="335"/>
      <c r="T267" s="335"/>
      <c r="U267" s="326" t="s">
        <v>246</v>
      </c>
      <c r="V267" s="335" t="s">
        <v>602</v>
      </c>
      <c r="W267" s="336" t="s">
        <v>555</v>
      </c>
    </row>
    <row r="268" spans="1:23" s="338" customFormat="1" x14ac:dyDescent="0.2">
      <c r="A268" s="335" t="s">
        <v>582</v>
      </c>
      <c r="C268" s="319" t="s">
        <v>251</v>
      </c>
      <c r="D268" s="336" t="s">
        <v>559</v>
      </c>
      <c r="E268" s="335" t="s">
        <v>500</v>
      </c>
      <c r="F268" s="336" t="s">
        <v>501</v>
      </c>
      <c r="G268" s="336" t="s">
        <v>502</v>
      </c>
      <c r="H268" s="336"/>
      <c r="I268" s="336"/>
      <c r="J268" s="336"/>
      <c r="K268" s="336"/>
      <c r="L268" s="336"/>
      <c r="M268" s="336"/>
      <c r="N268" s="336"/>
      <c r="O268" s="335"/>
      <c r="P268" s="331">
        <f t="shared" si="11"/>
        <v>4</v>
      </c>
      <c r="Q268" s="336" t="s">
        <v>581</v>
      </c>
      <c r="R268" s="335"/>
      <c r="S268" s="335"/>
      <c r="T268" s="335"/>
      <c r="U268" s="326" t="s">
        <v>246</v>
      </c>
      <c r="V268" s="335" t="s">
        <v>602</v>
      </c>
      <c r="W268" s="336" t="s">
        <v>556</v>
      </c>
    </row>
    <row r="269" spans="1:23" s="338" customFormat="1" x14ac:dyDescent="0.2">
      <c r="A269" s="335" t="s">
        <v>620</v>
      </c>
      <c r="C269" s="319" t="s">
        <v>251</v>
      </c>
      <c r="D269" s="336" t="s">
        <v>559</v>
      </c>
      <c r="E269" s="335" t="s">
        <v>500</v>
      </c>
      <c r="F269" s="336" t="s">
        <v>501</v>
      </c>
      <c r="G269" s="336" t="s">
        <v>502</v>
      </c>
      <c r="H269" s="336"/>
      <c r="I269" s="336"/>
      <c r="J269" s="336"/>
      <c r="K269" s="336"/>
      <c r="L269" s="336"/>
      <c r="M269" s="336"/>
      <c r="N269" s="336"/>
      <c r="O269" s="335"/>
      <c r="P269" s="331">
        <f t="shared" si="11"/>
        <v>4</v>
      </c>
      <c r="Q269" s="336" t="s">
        <v>583</v>
      </c>
      <c r="R269" s="335"/>
      <c r="S269" s="335"/>
      <c r="T269" s="335"/>
      <c r="U269" s="326" t="s">
        <v>246</v>
      </c>
      <c r="V269" s="335" t="s">
        <v>603</v>
      </c>
      <c r="W269" s="336" t="s">
        <v>556</v>
      </c>
    </row>
    <row r="270" spans="1:23" s="338" customFormat="1" x14ac:dyDescent="0.2">
      <c r="A270" s="335" t="s">
        <v>621</v>
      </c>
      <c r="C270" s="319" t="s">
        <v>251</v>
      </c>
      <c r="D270" s="336" t="s">
        <v>502</v>
      </c>
      <c r="E270" s="335" t="s">
        <v>501</v>
      </c>
      <c r="F270" s="336" t="s">
        <v>632</v>
      </c>
      <c r="G270" s="336" t="s">
        <v>633</v>
      </c>
      <c r="H270" s="336"/>
      <c r="I270" s="336"/>
      <c r="J270" s="336"/>
      <c r="K270" s="336"/>
      <c r="L270" s="336"/>
      <c r="M270" s="336"/>
      <c r="N270" s="336"/>
      <c r="O270" s="335"/>
      <c r="P270" s="331">
        <f t="shared" si="11"/>
        <v>4</v>
      </c>
      <c r="Q270" s="336" t="s">
        <v>584</v>
      </c>
      <c r="R270" s="335"/>
      <c r="S270" s="335"/>
      <c r="T270" s="335"/>
      <c r="U270" s="326" t="s">
        <v>246</v>
      </c>
      <c r="V270" s="335" t="s">
        <v>604</v>
      </c>
      <c r="W270" s="336" t="s">
        <v>556</v>
      </c>
    </row>
    <row r="271" spans="1:23" s="338" customFormat="1" x14ac:dyDescent="0.2">
      <c r="A271" s="335" t="s">
        <v>622</v>
      </c>
      <c r="C271" s="319" t="s">
        <v>251</v>
      </c>
      <c r="D271" s="336" t="s">
        <v>502</v>
      </c>
      <c r="E271" s="335" t="s">
        <v>501</v>
      </c>
      <c r="F271" s="336" t="s">
        <v>632</v>
      </c>
      <c r="G271" s="336" t="s">
        <v>633</v>
      </c>
      <c r="H271" s="336"/>
      <c r="I271" s="336"/>
      <c r="J271" s="336"/>
      <c r="K271" s="336"/>
      <c r="L271" s="336"/>
      <c r="M271" s="336"/>
      <c r="N271" s="336"/>
      <c r="O271" s="335"/>
      <c r="P271" s="331">
        <f t="shared" si="11"/>
        <v>4</v>
      </c>
      <c r="Q271" s="336" t="s">
        <v>585</v>
      </c>
      <c r="R271" s="335"/>
      <c r="S271" s="335"/>
      <c r="T271" s="335"/>
      <c r="U271" s="326" t="s">
        <v>246</v>
      </c>
      <c r="V271" s="335" t="s">
        <v>605</v>
      </c>
      <c r="W271" s="336" t="s">
        <v>556</v>
      </c>
    </row>
    <row r="272" spans="1:23" s="338" customFormat="1" x14ac:dyDescent="0.2">
      <c r="A272" s="335" t="s">
        <v>623</v>
      </c>
      <c r="C272" s="319" t="s">
        <v>251</v>
      </c>
      <c r="D272" s="336" t="s">
        <v>559</v>
      </c>
      <c r="E272" s="335" t="s">
        <v>500</v>
      </c>
      <c r="F272" s="336" t="s">
        <v>501</v>
      </c>
      <c r="G272" s="336" t="s">
        <v>502</v>
      </c>
      <c r="H272" s="336"/>
      <c r="I272" s="336"/>
      <c r="J272" s="336"/>
      <c r="K272" s="336"/>
      <c r="L272" s="336"/>
      <c r="M272" s="336"/>
      <c r="N272" s="336"/>
      <c r="O272" s="335"/>
      <c r="P272" s="331">
        <f t="shared" si="11"/>
        <v>4</v>
      </c>
      <c r="Q272" s="336" t="s">
        <v>586</v>
      </c>
      <c r="R272" s="335"/>
      <c r="S272" s="335"/>
      <c r="T272" s="335"/>
      <c r="U272" s="326" t="s">
        <v>246</v>
      </c>
      <c r="V272" s="335" t="s">
        <v>606</v>
      </c>
      <c r="W272" s="336" t="s">
        <v>556</v>
      </c>
    </row>
    <row r="273" spans="1:23" s="338" customFormat="1" x14ac:dyDescent="0.2">
      <c r="A273" s="335" t="s">
        <v>624</v>
      </c>
      <c r="C273" s="319" t="s">
        <v>251</v>
      </c>
      <c r="D273" s="336" t="s">
        <v>295</v>
      </c>
      <c r="E273" s="335" t="s">
        <v>301</v>
      </c>
      <c r="F273" s="336" t="s">
        <v>300</v>
      </c>
      <c r="G273" s="336" t="s">
        <v>299</v>
      </c>
      <c r="H273" s="336"/>
      <c r="I273" s="336"/>
      <c r="J273" s="336"/>
      <c r="K273" s="336"/>
      <c r="L273" s="336"/>
      <c r="M273" s="336"/>
      <c r="N273" s="336"/>
      <c r="O273" s="335"/>
      <c r="P273" s="331">
        <f t="shared" si="11"/>
        <v>4</v>
      </c>
      <c r="Q273" s="336" t="s">
        <v>587</v>
      </c>
      <c r="R273" s="335"/>
      <c r="S273" s="335"/>
      <c r="T273" s="335"/>
      <c r="U273" s="326" t="s">
        <v>246</v>
      </c>
      <c r="V273" s="335" t="s">
        <v>607</v>
      </c>
      <c r="W273" s="336" t="s">
        <v>555</v>
      </c>
    </row>
    <row r="274" spans="1:23" s="338" customFormat="1" x14ac:dyDescent="0.2">
      <c r="A274" s="335" t="s">
        <v>625</v>
      </c>
      <c r="C274" s="319" t="s">
        <v>251</v>
      </c>
      <c r="D274" s="336" t="s">
        <v>295</v>
      </c>
      <c r="E274" s="335" t="s">
        <v>301</v>
      </c>
      <c r="F274" s="336" t="s">
        <v>300</v>
      </c>
      <c r="G274" s="336" t="s">
        <v>299</v>
      </c>
      <c r="H274" s="336"/>
      <c r="I274" s="336"/>
      <c r="J274" s="336"/>
      <c r="K274" s="336"/>
      <c r="L274" s="336"/>
      <c r="M274" s="336"/>
      <c r="N274" s="336"/>
      <c r="O274" s="335"/>
      <c r="P274" s="331">
        <f t="shared" si="11"/>
        <v>4</v>
      </c>
      <c r="Q274" s="336" t="s">
        <v>588</v>
      </c>
      <c r="R274" s="335"/>
      <c r="S274" s="335"/>
      <c r="T274" s="335"/>
      <c r="U274" s="326" t="s">
        <v>246</v>
      </c>
      <c r="V274" s="335" t="s">
        <v>608</v>
      </c>
      <c r="W274" s="336" t="s">
        <v>555</v>
      </c>
    </row>
    <row r="275" spans="1:23" s="338" customFormat="1" x14ac:dyDescent="0.2">
      <c r="A275" s="335" t="s">
        <v>626</v>
      </c>
      <c r="C275" s="319" t="s">
        <v>251</v>
      </c>
      <c r="D275" s="336" t="s">
        <v>559</v>
      </c>
      <c r="E275" s="335" t="s">
        <v>500</v>
      </c>
      <c r="F275" s="336" t="s">
        <v>501</v>
      </c>
      <c r="G275" s="336" t="s">
        <v>502</v>
      </c>
      <c r="H275" s="336"/>
      <c r="I275" s="336"/>
      <c r="J275" s="336"/>
      <c r="K275" s="336"/>
      <c r="L275" s="336"/>
      <c r="M275" s="336"/>
      <c r="N275" s="336"/>
      <c r="O275" s="335"/>
      <c r="P275" s="331">
        <f t="shared" si="11"/>
        <v>4</v>
      </c>
      <c r="Q275" s="336" t="s">
        <v>589</v>
      </c>
      <c r="R275" s="335"/>
      <c r="S275" s="335"/>
      <c r="T275" s="335"/>
      <c r="U275" s="326" t="s">
        <v>246</v>
      </c>
      <c r="V275" s="335" t="s">
        <v>609</v>
      </c>
      <c r="W275" s="336" t="s">
        <v>556</v>
      </c>
    </row>
    <row r="276" spans="1:23" s="338" customFormat="1" x14ac:dyDescent="0.2">
      <c r="A276" s="335" t="s">
        <v>627</v>
      </c>
      <c r="C276" s="319" t="s">
        <v>251</v>
      </c>
      <c r="D276" s="336" t="s">
        <v>559</v>
      </c>
      <c r="E276" s="335" t="s">
        <v>500</v>
      </c>
      <c r="F276" s="336" t="s">
        <v>501</v>
      </c>
      <c r="G276" s="336" t="s">
        <v>502</v>
      </c>
      <c r="H276" s="336"/>
      <c r="I276" s="336"/>
      <c r="J276" s="336"/>
      <c r="K276" s="336"/>
      <c r="L276" s="336"/>
      <c r="M276" s="336"/>
      <c r="N276" s="336"/>
      <c r="O276" s="335"/>
      <c r="P276" s="331">
        <f t="shared" si="11"/>
        <v>4</v>
      </c>
      <c r="Q276" s="336" t="s">
        <v>590</v>
      </c>
      <c r="R276" s="335"/>
      <c r="S276" s="335"/>
      <c r="T276" s="335"/>
      <c r="U276" s="326" t="s">
        <v>246</v>
      </c>
      <c r="V276" s="335" t="s">
        <v>610</v>
      </c>
      <c r="W276" s="336" t="s">
        <v>556</v>
      </c>
    </row>
    <row r="277" spans="1:23" s="338" customFormat="1" x14ac:dyDescent="0.2">
      <c r="A277" s="335" t="s">
        <v>628</v>
      </c>
      <c r="C277" s="319" t="s">
        <v>251</v>
      </c>
      <c r="D277" s="336" t="s">
        <v>503</v>
      </c>
      <c r="E277" s="335" t="s">
        <v>504</v>
      </c>
      <c r="F277" s="336" t="s">
        <v>301</v>
      </c>
      <c r="G277" s="336" t="s">
        <v>300</v>
      </c>
      <c r="H277" s="336" t="s">
        <v>299</v>
      </c>
      <c r="I277" s="336" t="s">
        <v>505</v>
      </c>
      <c r="J277" s="336"/>
      <c r="K277" s="336"/>
      <c r="L277" s="336"/>
      <c r="M277" s="336"/>
      <c r="N277" s="336"/>
      <c r="O277" s="335"/>
      <c r="P277" s="331">
        <f t="shared" si="11"/>
        <v>6</v>
      </c>
      <c r="Q277" s="336" t="s">
        <v>591</v>
      </c>
      <c r="R277" s="335"/>
      <c r="S277" s="335"/>
      <c r="T277" s="335"/>
      <c r="U277" s="326" t="s">
        <v>246</v>
      </c>
      <c r="V277" s="335" t="s">
        <v>611</v>
      </c>
      <c r="W277" s="336" t="s">
        <v>555</v>
      </c>
    </row>
    <row r="278" spans="1:23" s="338" customFormat="1" x14ac:dyDescent="0.2">
      <c r="A278" s="335" t="s">
        <v>629</v>
      </c>
      <c r="C278" s="319" t="s">
        <v>251</v>
      </c>
      <c r="D278" s="336" t="s">
        <v>503</v>
      </c>
      <c r="E278" s="335" t="s">
        <v>504</v>
      </c>
      <c r="F278" s="336" t="s">
        <v>301</v>
      </c>
      <c r="G278" s="336" t="s">
        <v>300</v>
      </c>
      <c r="H278" s="336" t="s">
        <v>299</v>
      </c>
      <c r="I278" s="336" t="s">
        <v>505</v>
      </c>
      <c r="J278" s="336"/>
      <c r="K278" s="336"/>
      <c r="L278" s="336"/>
      <c r="M278" s="336"/>
      <c r="N278" s="336"/>
      <c r="O278" s="335"/>
      <c r="P278" s="331">
        <f t="shared" si="11"/>
        <v>6</v>
      </c>
      <c r="Q278" s="336" t="s">
        <v>592</v>
      </c>
      <c r="R278" s="335"/>
      <c r="S278" s="335"/>
      <c r="T278" s="335"/>
      <c r="U278" s="326" t="s">
        <v>246</v>
      </c>
      <c r="V278" s="335" t="s">
        <v>612</v>
      </c>
      <c r="W278" s="336" t="s">
        <v>555</v>
      </c>
    </row>
    <row r="279" spans="1:23" s="338" customFormat="1" x14ac:dyDescent="0.2">
      <c r="A279" s="335" t="s">
        <v>630</v>
      </c>
      <c r="C279" s="319" t="s">
        <v>251</v>
      </c>
      <c r="D279" s="336" t="s">
        <v>503</v>
      </c>
      <c r="E279" s="335" t="s">
        <v>504</v>
      </c>
      <c r="F279" s="336" t="s">
        <v>301</v>
      </c>
      <c r="G279" s="336" t="s">
        <v>300</v>
      </c>
      <c r="H279" s="336" t="s">
        <v>299</v>
      </c>
      <c r="I279" s="336" t="s">
        <v>505</v>
      </c>
      <c r="J279" s="336"/>
      <c r="K279" s="336"/>
      <c r="L279" s="336"/>
      <c r="M279" s="336"/>
      <c r="N279" s="336"/>
      <c r="O279" s="335"/>
      <c r="P279" s="331">
        <f t="shared" si="11"/>
        <v>6</v>
      </c>
      <c r="Q279" s="336" t="s">
        <v>593</v>
      </c>
      <c r="R279" s="335"/>
      <c r="S279" s="335"/>
      <c r="T279" s="335"/>
      <c r="U279" s="326" t="s">
        <v>246</v>
      </c>
      <c r="V279" s="335" t="s">
        <v>613</v>
      </c>
      <c r="W279" s="336" t="s">
        <v>555</v>
      </c>
    </row>
    <row r="280" spans="1:23" s="338" customFormat="1" x14ac:dyDescent="0.2">
      <c r="A280" s="335" t="s">
        <v>631</v>
      </c>
      <c r="C280" s="319" t="s">
        <v>251</v>
      </c>
      <c r="D280" s="336" t="s">
        <v>503</v>
      </c>
      <c r="E280" s="335" t="s">
        <v>504</v>
      </c>
      <c r="F280" s="336" t="s">
        <v>301</v>
      </c>
      <c r="G280" s="336" t="s">
        <v>300</v>
      </c>
      <c r="H280" s="336" t="s">
        <v>299</v>
      </c>
      <c r="I280" s="336" t="s">
        <v>505</v>
      </c>
      <c r="J280" s="336"/>
      <c r="K280" s="336"/>
      <c r="L280" s="336"/>
      <c r="M280" s="336"/>
      <c r="N280" s="336"/>
      <c r="O280" s="335"/>
      <c r="P280" s="331">
        <f t="shared" si="11"/>
        <v>6</v>
      </c>
      <c r="Q280" s="336" t="s">
        <v>594</v>
      </c>
      <c r="R280" s="335"/>
      <c r="S280" s="335"/>
      <c r="T280" s="335"/>
      <c r="U280" s="326" t="s">
        <v>246</v>
      </c>
      <c r="V280" s="335" t="s">
        <v>614</v>
      </c>
      <c r="W280" s="336" t="s">
        <v>555</v>
      </c>
    </row>
    <row r="281" spans="1:23" s="212" customFormat="1" x14ac:dyDescent="0.2">
      <c r="A281" s="292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</row>
    <row r="282" spans="1:23" s="212" customFormat="1" x14ac:dyDescent="0.2">
      <c r="A282" s="292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</row>
    <row r="283" spans="1:23" s="212" customFormat="1" x14ac:dyDescent="0.2">
      <c r="A283" s="292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</row>
    <row r="284" spans="1:23" s="212" customFormat="1" x14ac:dyDescent="0.2">
      <c r="A284" s="292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</row>
    <row r="285" spans="1:23" s="212" customFormat="1" x14ac:dyDescent="0.2">
      <c r="A285" s="292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</row>
    <row r="286" spans="1:23" s="212" customFormat="1" x14ac:dyDescent="0.2">
      <c r="A286" s="292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</row>
    <row r="287" spans="1:23" s="212" customFormat="1" x14ac:dyDescent="0.2">
      <c r="A287" s="292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</row>
    <row r="288" spans="1:23" s="212" customFormat="1" x14ac:dyDescent="0.2">
      <c r="A288" s="292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</row>
    <row r="289" spans="1:14" s="212" customFormat="1" x14ac:dyDescent="0.2">
      <c r="A289" s="292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</row>
    <row r="290" spans="1:14" s="212" customFormat="1" x14ac:dyDescent="0.2">
      <c r="A290" s="292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</row>
    <row r="291" spans="1:14" s="212" customFormat="1" x14ac:dyDescent="0.2">
      <c r="A291" s="292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</row>
    <row r="292" spans="1:14" s="212" customFormat="1" x14ac:dyDescent="0.2">
      <c r="A292" s="292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</row>
    <row r="293" spans="1:14" s="212" customFormat="1" x14ac:dyDescent="0.2">
      <c r="A293" s="292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</row>
    <row r="294" spans="1:14" s="212" customFormat="1" x14ac:dyDescent="0.2">
      <c r="A294" s="292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</row>
    <row r="295" spans="1:14" s="212" customFormat="1" x14ac:dyDescent="0.2">
      <c r="A295" s="292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</row>
    <row r="296" spans="1:14" s="212" customFormat="1" x14ac:dyDescent="0.2">
      <c r="A296" s="292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</row>
    <row r="297" spans="1:14" s="212" customFormat="1" x14ac:dyDescent="0.2">
      <c r="A297" s="292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</row>
    <row r="298" spans="1:14" s="212" customFormat="1" x14ac:dyDescent="0.2">
      <c r="A298" s="292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</row>
    <row r="299" spans="1:14" s="212" customFormat="1" x14ac:dyDescent="0.2">
      <c r="A299" s="292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</row>
    <row r="300" spans="1:14" s="212" customFormat="1" x14ac:dyDescent="0.2">
      <c r="A300" s="292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</row>
    <row r="301" spans="1:14" s="212" customFormat="1" x14ac:dyDescent="0.2">
      <c r="A301" s="292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</row>
    <row r="302" spans="1:14" s="212" customFormat="1" x14ac:dyDescent="0.2">
      <c r="A302" s="292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</row>
    <row r="303" spans="1:14" s="212" customFormat="1" x14ac:dyDescent="0.2">
      <c r="A303" s="292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</row>
    <row r="304" spans="1:14" s="212" customFormat="1" x14ac:dyDescent="0.2">
      <c r="A304" s="292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</row>
    <row r="305" spans="1:14" s="212" customFormat="1" x14ac:dyDescent="0.2">
      <c r="A305" s="292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</row>
    <row r="306" spans="1:14" s="212" customFormat="1" x14ac:dyDescent="0.2">
      <c r="A306" s="292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</row>
    <row r="307" spans="1:14" s="212" customFormat="1" x14ac:dyDescent="0.2">
      <c r="A307" s="292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</row>
    <row r="308" spans="1:14" s="212" customFormat="1" x14ac:dyDescent="0.2">
      <c r="A308" s="292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</row>
    <row r="309" spans="1:14" s="212" customFormat="1" x14ac:dyDescent="0.2">
      <c r="A309" s="292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</row>
    <row r="310" spans="1:14" s="212" customFormat="1" x14ac:dyDescent="0.2">
      <c r="A310" s="292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</row>
    <row r="311" spans="1:14" s="212" customFormat="1" x14ac:dyDescent="0.2">
      <c r="A311" s="292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</row>
    <row r="312" spans="1:14" s="212" customFormat="1" x14ac:dyDescent="0.2">
      <c r="A312" s="292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</row>
    <row r="313" spans="1:14" s="212" customFormat="1" x14ac:dyDescent="0.2">
      <c r="A313" s="292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</row>
    <row r="314" spans="1:14" s="212" customFormat="1" x14ac:dyDescent="0.2">
      <c r="A314" s="292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</row>
    <row r="315" spans="1:14" s="212" customFormat="1" x14ac:dyDescent="0.2">
      <c r="A315" s="292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</row>
    <row r="316" spans="1:14" s="212" customFormat="1" x14ac:dyDescent="0.2">
      <c r="A316" s="292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</row>
    <row r="317" spans="1:14" s="212" customFormat="1" x14ac:dyDescent="0.2">
      <c r="A317" s="292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</row>
    <row r="318" spans="1:14" s="212" customFormat="1" x14ac:dyDescent="0.2">
      <c r="A318" s="292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</row>
    <row r="319" spans="1:14" s="212" customFormat="1" x14ac:dyDescent="0.2">
      <c r="A319" s="292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</row>
    <row r="320" spans="1:14" s="212" customFormat="1" x14ac:dyDescent="0.2">
      <c r="A320" s="292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</row>
    <row r="321" spans="1:14" s="212" customFormat="1" x14ac:dyDescent="0.2">
      <c r="A321" s="292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</row>
    <row r="322" spans="1:14" s="212" customFormat="1" x14ac:dyDescent="0.2">
      <c r="A322" s="292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</row>
    <row r="323" spans="1:14" s="212" customFormat="1" x14ac:dyDescent="0.2">
      <c r="A323" s="292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</row>
    <row r="324" spans="1:14" s="212" customFormat="1" x14ac:dyDescent="0.2">
      <c r="A324" s="292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</row>
    <row r="325" spans="1:14" s="212" customFormat="1" x14ac:dyDescent="0.2">
      <c r="A325" s="292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</row>
    <row r="326" spans="1:14" s="212" customFormat="1" x14ac:dyDescent="0.2">
      <c r="A326" s="292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</row>
    <row r="327" spans="1:14" s="212" customFormat="1" x14ac:dyDescent="0.2">
      <c r="A327" s="292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</row>
    <row r="328" spans="1:14" s="212" customFormat="1" x14ac:dyDescent="0.2">
      <c r="A328" s="292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</row>
    <row r="329" spans="1:14" s="212" customFormat="1" x14ac:dyDescent="0.2">
      <c r="A329" s="292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</row>
    <row r="330" spans="1:14" s="212" customFormat="1" x14ac:dyDescent="0.2">
      <c r="A330" s="292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</row>
    <row r="331" spans="1:14" s="212" customFormat="1" x14ac:dyDescent="0.2">
      <c r="A331" s="292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</row>
    <row r="332" spans="1:14" s="212" customFormat="1" x14ac:dyDescent="0.2">
      <c r="A332" s="292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</row>
    <row r="333" spans="1:14" s="212" customFormat="1" x14ac:dyDescent="0.2">
      <c r="A333" s="292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</row>
    <row r="334" spans="1:14" s="212" customFormat="1" x14ac:dyDescent="0.2">
      <c r="A334" s="292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</row>
    <row r="335" spans="1:14" s="212" customFormat="1" x14ac:dyDescent="0.2">
      <c r="A335" s="292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</row>
    <row r="336" spans="1:14" s="212" customFormat="1" x14ac:dyDescent="0.2">
      <c r="A336" s="292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</row>
    <row r="337" spans="1:14" s="212" customFormat="1" x14ac:dyDescent="0.2">
      <c r="A337" s="292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</row>
    <row r="338" spans="1:14" s="212" customFormat="1" x14ac:dyDescent="0.2">
      <c r="A338" s="292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</row>
    <row r="339" spans="1:14" s="212" customFormat="1" x14ac:dyDescent="0.2">
      <c r="A339" s="292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</row>
    <row r="340" spans="1:14" s="212" customFormat="1" x14ac:dyDescent="0.2">
      <c r="A340" s="292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</row>
    <row r="341" spans="1:14" s="212" customFormat="1" x14ac:dyDescent="0.2">
      <c r="A341" s="292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</row>
    <row r="342" spans="1:14" s="212" customFormat="1" x14ac:dyDescent="0.2">
      <c r="A342" s="292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</row>
    <row r="343" spans="1:14" s="212" customFormat="1" x14ac:dyDescent="0.2">
      <c r="A343" s="292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</row>
    <row r="344" spans="1:14" s="212" customFormat="1" x14ac:dyDescent="0.2">
      <c r="A344" s="292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</row>
    <row r="345" spans="1:14" s="212" customFormat="1" x14ac:dyDescent="0.2">
      <c r="A345" s="292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</row>
    <row r="346" spans="1:14" s="212" customFormat="1" x14ac:dyDescent="0.2">
      <c r="A346" s="292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</row>
    <row r="347" spans="1:14" s="212" customFormat="1" x14ac:dyDescent="0.2">
      <c r="A347" s="292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</row>
    <row r="348" spans="1:14" s="212" customFormat="1" x14ac:dyDescent="0.2">
      <c r="A348" s="292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</row>
    <row r="349" spans="1:14" s="212" customFormat="1" x14ac:dyDescent="0.2">
      <c r="A349" s="292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</row>
    <row r="350" spans="1:14" s="212" customFormat="1" x14ac:dyDescent="0.2">
      <c r="A350" s="292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</row>
    <row r="351" spans="1:14" s="212" customFormat="1" x14ac:dyDescent="0.2">
      <c r="A351" s="292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</row>
    <row r="352" spans="1:14" s="212" customFormat="1" x14ac:dyDescent="0.2">
      <c r="A352" s="292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</row>
    <row r="353" spans="1:14" s="212" customFormat="1" x14ac:dyDescent="0.2">
      <c r="A353" s="292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</row>
    <row r="354" spans="1:14" s="212" customFormat="1" x14ac:dyDescent="0.2">
      <c r="A354" s="292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</row>
    <row r="355" spans="1:14" s="212" customFormat="1" x14ac:dyDescent="0.2">
      <c r="A355" s="292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</row>
    <row r="356" spans="1:14" s="212" customFormat="1" x14ac:dyDescent="0.2">
      <c r="A356" s="292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</row>
    <row r="357" spans="1:14" s="212" customFormat="1" x14ac:dyDescent="0.2">
      <c r="A357" s="292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</row>
    <row r="358" spans="1:14" s="212" customFormat="1" x14ac:dyDescent="0.2">
      <c r="A358" s="292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</row>
    <row r="359" spans="1:14" s="212" customFormat="1" x14ac:dyDescent="0.2">
      <c r="A359" s="292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</row>
    <row r="360" spans="1:14" s="212" customFormat="1" x14ac:dyDescent="0.2">
      <c r="A360" s="292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</row>
    <row r="361" spans="1:14" s="212" customFormat="1" x14ac:dyDescent="0.2">
      <c r="A361" s="292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</row>
    <row r="362" spans="1:14" s="212" customFormat="1" x14ac:dyDescent="0.2">
      <c r="A362" s="292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</row>
    <row r="363" spans="1:14" s="212" customFormat="1" x14ac:dyDescent="0.2">
      <c r="A363" s="292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</row>
    <row r="364" spans="1:14" s="212" customFormat="1" x14ac:dyDescent="0.2">
      <c r="A364" s="292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</row>
    <row r="365" spans="1:14" s="212" customFormat="1" x14ac:dyDescent="0.2">
      <c r="A365" s="292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</row>
    <row r="366" spans="1:14" s="212" customFormat="1" x14ac:dyDescent="0.2">
      <c r="A366" s="292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</row>
    <row r="367" spans="1:14" s="212" customFormat="1" x14ac:dyDescent="0.2">
      <c r="A367" s="292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</row>
    <row r="368" spans="1:14" s="212" customFormat="1" x14ac:dyDescent="0.2">
      <c r="A368" s="292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</row>
    <row r="369" spans="1:14" s="212" customFormat="1" x14ac:dyDescent="0.2">
      <c r="A369" s="292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</row>
    <row r="370" spans="1:14" s="212" customFormat="1" x14ac:dyDescent="0.2">
      <c r="A370" s="292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</row>
    <row r="371" spans="1:14" s="212" customFormat="1" x14ac:dyDescent="0.2">
      <c r="A371" s="292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</row>
    <row r="372" spans="1:14" s="212" customFormat="1" x14ac:dyDescent="0.2">
      <c r="A372" s="292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</row>
    <row r="373" spans="1:14" s="212" customFormat="1" x14ac:dyDescent="0.2">
      <c r="A373" s="292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</row>
    <row r="374" spans="1:14" s="212" customFormat="1" x14ac:dyDescent="0.2">
      <c r="A374" s="292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</row>
    <row r="375" spans="1:14" s="212" customFormat="1" x14ac:dyDescent="0.2">
      <c r="A375" s="292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</row>
    <row r="376" spans="1:14" s="212" customFormat="1" x14ac:dyDescent="0.2">
      <c r="A376" s="292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</row>
    <row r="377" spans="1:14" s="212" customFormat="1" x14ac:dyDescent="0.2">
      <c r="A377" s="292"/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</row>
    <row r="378" spans="1:14" s="212" customFormat="1" x14ac:dyDescent="0.2">
      <c r="A378" s="292"/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</row>
    <row r="379" spans="1:14" s="212" customFormat="1" x14ac:dyDescent="0.2">
      <c r="A379" s="292"/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</row>
    <row r="380" spans="1:14" s="212" customFormat="1" x14ac:dyDescent="0.2">
      <c r="A380" s="292"/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</row>
    <row r="381" spans="1:14" s="212" customFormat="1" x14ac:dyDescent="0.2">
      <c r="A381" s="292"/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</row>
    <row r="382" spans="1:14" s="212" customFormat="1" x14ac:dyDescent="0.2">
      <c r="A382" s="292"/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</row>
    <row r="383" spans="1:14" s="212" customFormat="1" x14ac:dyDescent="0.2">
      <c r="A383" s="292"/>
      <c r="B383" s="213"/>
      <c r="C383" s="213"/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</row>
    <row r="384" spans="1:14" s="212" customFormat="1" x14ac:dyDescent="0.2">
      <c r="A384" s="292"/>
      <c r="B384" s="213"/>
      <c r="C384" s="213"/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</row>
    <row r="385" spans="1:14" s="212" customFormat="1" x14ac:dyDescent="0.2">
      <c r="A385" s="292"/>
      <c r="B385" s="213"/>
      <c r="C385" s="213"/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</row>
    <row r="386" spans="1:14" s="212" customFormat="1" x14ac:dyDescent="0.2">
      <c r="A386" s="292"/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</row>
    <row r="387" spans="1:14" s="212" customFormat="1" x14ac:dyDescent="0.2">
      <c r="A387" s="292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</row>
    <row r="388" spans="1:14" s="212" customFormat="1" x14ac:dyDescent="0.2">
      <c r="A388" s="292"/>
      <c r="B388" s="213"/>
      <c r="C388" s="213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</row>
    <row r="389" spans="1:14" s="212" customFormat="1" x14ac:dyDescent="0.2">
      <c r="A389" s="292"/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</row>
    <row r="390" spans="1:14" s="212" customFormat="1" x14ac:dyDescent="0.2">
      <c r="A390" s="292"/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</row>
    <row r="391" spans="1:14" s="212" customFormat="1" x14ac:dyDescent="0.2">
      <c r="A391" s="292"/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</row>
    <row r="392" spans="1:14" s="212" customFormat="1" x14ac:dyDescent="0.2">
      <c r="A392" s="292"/>
      <c r="B392" s="213"/>
      <c r="C392" s="213"/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</row>
    <row r="393" spans="1:14" s="212" customFormat="1" x14ac:dyDescent="0.2">
      <c r="A393" s="292"/>
      <c r="B393" s="213"/>
      <c r="C393" s="213"/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</row>
    <row r="394" spans="1:14" s="212" customFormat="1" x14ac:dyDescent="0.2">
      <c r="A394" s="292"/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</row>
    <row r="395" spans="1:14" s="212" customFormat="1" x14ac:dyDescent="0.2">
      <c r="A395" s="292"/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</row>
    <row r="396" spans="1:14" s="212" customFormat="1" x14ac:dyDescent="0.2">
      <c r="A396" s="292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</row>
    <row r="397" spans="1:14" s="212" customFormat="1" x14ac:dyDescent="0.2">
      <c r="A397" s="292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</row>
    <row r="398" spans="1:14" s="212" customFormat="1" x14ac:dyDescent="0.2">
      <c r="A398" s="292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</row>
    <row r="399" spans="1:14" s="212" customFormat="1" x14ac:dyDescent="0.2">
      <c r="A399" s="292"/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</row>
    <row r="400" spans="1:14" s="212" customFormat="1" x14ac:dyDescent="0.2">
      <c r="A400" s="292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</row>
    <row r="401" spans="1:14" s="212" customFormat="1" x14ac:dyDescent="0.2">
      <c r="A401" s="292"/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</row>
    <row r="402" spans="1:14" s="212" customFormat="1" x14ac:dyDescent="0.2">
      <c r="A402" s="292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</row>
    <row r="403" spans="1:14" s="212" customFormat="1" x14ac:dyDescent="0.2">
      <c r="A403" s="292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</row>
    <row r="404" spans="1:14" s="212" customFormat="1" x14ac:dyDescent="0.2">
      <c r="A404" s="292"/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</row>
    <row r="405" spans="1:14" s="212" customFormat="1" x14ac:dyDescent="0.2">
      <c r="A405" s="292"/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</row>
    <row r="406" spans="1:14" s="212" customFormat="1" x14ac:dyDescent="0.2">
      <c r="A406" s="292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</row>
    <row r="407" spans="1:14" s="212" customFormat="1" x14ac:dyDescent="0.2">
      <c r="A407" s="292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</row>
    <row r="408" spans="1:14" s="212" customFormat="1" x14ac:dyDescent="0.2">
      <c r="A408" s="292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</row>
    <row r="409" spans="1:14" s="212" customFormat="1" x14ac:dyDescent="0.2">
      <c r="A409" s="292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</row>
    <row r="410" spans="1:14" s="212" customFormat="1" x14ac:dyDescent="0.2">
      <c r="A410" s="292"/>
      <c r="B410" s="213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</row>
    <row r="411" spans="1:14" s="212" customFormat="1" x14ac:dyDescent="0.2">
      <c r="A411" s="292"/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</row>
    <row r="412" spans="1:14" s="212" customFormat="1" x14ac:dyDescent="0.2">
      <c r="A412" s="292"/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</row>
    <row r="413" spans="1:14" s="212" customFormat="1" x14ac:dyDescent="0.2">
      <c r="A413" s="292"/>
      <c r="B413" s="213"/>
      <c r="C413" s="213"/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</row>
    <row r="414" spans="1:14" s="212" customFormat="1" x14ac:dyDescent="0.2">
      <c r="A414" s="292"/>
      <c r="B414" s="213"/>
      <c r="C414" s="213"/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</row>
    <row r="415" spans="1:14" s="212" customFormat="1" x14ac:dyDescent="0.2">
      <c r="A415" s="292"/>
      <c r="B415" s="213"/>
      <c r="C415" s="213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</row>
    <row r="416" spans="1:14" s="212" customFormat="1" x14ac:dyDescent="0.2">
      <c r="A416" s="292"/>
      <c r="B416" s="213"/>
      <c r="C416" s="213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</row>
    <row r="417" spans="1:14" s="212" customFormat="1" x14ac:dyDescent="0.2">
      <c r="A417" s="292"/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</row>
    <row r="418" spans="1:14" s="212" customFormat="1" x14ac:dyDescent="0.2">
      <c r="A418" s="292"/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</row>
    <row r="419" spans="1:14" s="212" customFormat="1" x14ac:dyDescent="0.2">
      <c r="A419" s="292"/>
      <c r="B419" s="213"/>
      <c r="C419" s="213"/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</row>
    <row r="420" spans="1:14" s="212" customFormat="1" x14ac:dyDescent="0.2">
      <c r="A420" s="292"/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</row>
    <row r="421" spans="1:14" s="212" customFormat="1" x14ac:dyDescent="0.2">
      <c r="A421" s="292"/>
      <c r="B421" s="213"/>
      <c r="C421" s="213"/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</row>
    <row r="422" spans="1:14" s="212" customFormat="1" x14ac:dyDescent="0.2">
      <c r="A422" s="292"/>
      <c r="B422" s="213"/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</row>
    <row r="423" spans="1:14" s="212" customFormat="1" x14ac:dyDescent="0.2">
      <c r="A423" s="292"/>
      <c r="B423" s="213"/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</row>
    <row r="424" spans="1:14" s="212" customFormat="1" x14ac:dyDescent="0.2">
      <c r="A424" s="292"/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</row>
    <row r="425" spans="1:14" s="212" customFormat="1" x14ac:dyDescent="0.2">
      <c r="A425" s="292"/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</row>
    <row r="426" spans="1:14" s="212" customFormat="1" x14ac:dyDescent="0.2">
      <c r="A426" s="292"/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</row>
    <row r="427" spans="1:14" s="212" customFormat="1" x14ac:dyDescent="0.2">
      <c r="A427" s="292"/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</row>
    <row r="428" spans="1:14" s="212" customFormat="1" x14ac:dyDescent="0.2">
      <c r="A428" s="292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</row>
    <row r="429" spans="1:14" s="212" customFormat="1" x14ac:dyDescent="0.2">
      <c r="A429" s="292"/>
      <c r="B429" s="213"/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</row>
    <row r="430" spans="1:14" s="212" customFormat="1" x14ac:dyDescent="0.2">
      <c r="A430" s="292"/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</row>
    <row r="431" spans="1:14" s="212" customFormat="1" x14ac:dyDescent="0.2">
      <c r="A431" s="292"/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</row>
    <row r="432" spans="1:14" s="212" customFormat="1" x14ac:dyDescent="0.2">
      <c r="A432" s="292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</row>
    <row r="433" spans="1:14" s="212" customFormat="1" x14ac:dyDescent="0.2">
      <c r="A433" s="292"/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</row>
    <row r="434" spans="1:14" s="212" customFormat="1" x14ac:dyDescent="0.2">
      <c r="A434" s="292"/>
      <c r="B434" s="213"/>
      <c r="C434" s="213"/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</row>
    <row r="435" spans="1:14" s="212" customFormat="1" x14ac:dyDescent="0.2">
      <c r="A435" s="292"/>
      <c r="B435" s="213"/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</row>
    <row r="436" spans="1:14" s="212" customFormat="1" x14ac:dyDescent="0.2">
      <c r="A436" s="292"/>
      <c r="B436" s="213"/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</row>
    <row r="437" spans="1:14" s="212" customFormat="1" x14ac:dyDescent="0.2">
      <c r="A437" s="292"/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</row>
    <row r="438" spans="1:14" s="212" customFormat="1" x14ac:dyDescent="0.2">
      <c r="A438" s="292"/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</row>
    <row r="439" spans="1:14" s="212" customFormat="1" x14ac:dyDescent="0.2">
      <c r="A439" s="292"/>
      <c r="B439" s="213"/>
      <c r="C439" s="213"/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</row>
    <row r="440" spans="1:14" s="212" customFormat="1" x14ac:dyDescent="0.2">
      <c r="A440" s="292"/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</row>
    <row r="441" spans="1:14" s="212" customFormat="1" x14ac:dyDescent="0.2">
      <c r="A441" s="292"/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</row>
    <row r="442" spans="1:14" s="212" customFormat="1" x14ac:dyDescent="0.2">
      <c r="A442" s="292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</row>
    <row r="443" spans="1:14" s="212" customFormat="1" x14ac:dyDescent="0.2">
      <c r="A443" s="292"/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</row>
    <row r="444" spans="1:14" s="212" customFormat="1" x14ac:dyDescent="0.2">
      <c r="A444" s="292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</row>
    <row r="445" spans="1:14" s="212" customFormat="1" x14ac:dyDescent="0.2">
      <c r="A445" s="292"/>
      <c r="B445" s="213"/>
      <c r="C445" s="213"/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</row>
    <row r="446" spans="1:14" s="212" customFormat="1" x14ac:dyDescent="0.2">
      <c r="A446" s="292"/>
      <c r="B446" s="213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</row>
    <row r="447" spans="1:14" s="212" customFormat="1" x14ac:dyDescent="0.2">
      <c r="A447" s="292"/>
      <c r="B447" s="213"/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</row>
    <row r="448" spans="1:14" s="212" customFormat="1" x14ac:dyDescent="0.2">
      <c r="A448" s="292"/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</row>
    <row r="449" spans="1:14" s="212" customFormat="1" x14ac:dyDescent="0.2">
      <c r="A449" s="292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</row>
    <row r="450" spans="1:14" s="212" customFormat="1" x14ac:dyDescent="0.2">
      <c r="A450" s="292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</row>
    <row r="451" spans="1:14" s="212" customFormat="1" x14ac:dyDescent="0.2">
      <c r="A451" s="292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</row>
    <row r="452" spans="1:14" s="212" customFormat="1" x14ac:dyDescent="0.2">
      <c r="A452" s="292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</row>
    <row r="453" spans="1:14" s="212" customFormat="1" x14ac:dyDescent="0.2">
      <c r="A453" s="292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</row>
    <row r="454" spans="1:14" s="212" customFormat="1" x14ac:dyDescent="0.2">
      <c r="A454" s="292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</row>
    <row r="455" spans="1:14" s="212" customFormat="1" x14ac:dyDescent="0.2">
      <c r="A455" s="292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</row>
    <row r="456" spans="1:14" s="212" customFormat="1" x14ac:dyDescent="0.2">
      <c r="A456" s="292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</row>
    <row r="457" spans="1:14" s="212" customFormat="1" x14ac:dyDescent="0.2">
      <c r="A457" s="292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</row>
    <row r="458" spans="1:14" s="212" customFormat="1" x14ac:dyDescent="0.2">
      <c r="A458" s="292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</row>
    <row r="459" spans="1:14" s="212" customFormat="1" x14ac:dyDescent="0.2">
      <c r="A459" s="292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</row>
    <row r="460" spans="1:14" s="212" customFormat="1" x14ac:dyDescent="0.2">
      <c r="A460" s="292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</row>
    <row r="461" spans="1:14" s="212" customFormat="1" x14ac:dyDescent="0.2">
      <c r="A461" s="292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</row>
    <row r="462" spans="1:14" s="212" customFormat="1" x14ac:dyDescent="0.2">
      <c r="A462" s="292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</row>
    <row r="463" spans="1:14" s="212" customFormat="1" x14ac:dyDescent="0.2">
      <c r="A463" s="292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</row>
    <row r="464" spans="1:14" s="212" customFormat="1" x14ac:dyDescent="0.2">
      <c r="A464" s="292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</row>
    <row r="465" spans="1:14" s="212" customFormat="1" x14ac:dyDescent="0.2">
      <c r="A465" s="292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</row>
    <row r="466" spans="1:14" s="212" customFormat="1" x14ac:dyDescent="0.2">
      <c r="A466" s="292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</row>
    <row r="467" spans="1:14" s="212" customFormat="1" x14ac:dyDescent="0.2">
      <c r="A467" s="292"/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</row>
    <row r="468" spans="1:14" s="212" customFormat="1" x14ac:dyDescent="0.2">
      <c r="A468" s="292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</row>
    <row r="469" spans="1:14" s="212" customFormat="1" x14ac:dyDescent="0.2">
      <c r="A469" s="292"/>
      <c r="B469" s="213"/>
      <c r="C469" s="213"/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</row>
    <row r="470" spans="1:14" s="212" customFormat="1" x14ac:dyDescent="0.2">
      <c r="A470" s="292"/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</row>
    <row r="471" spans="1:14" s="212" customFormat="1" x14ac:dyDescent="0.2">
      <c r="A471" s="292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</row>
    <row r="472" spans="1:14" s="212" customFormat="1" x14ac:dyDescent="0.2">
      <c r="A472" s="292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</row>
    <row r="473" spans="1:14" s="212" customFormat="1" x14ac:dyDescent="0.2">
      <c r="A473" s="292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</row>
    <row r="474" spans="1:14" s="212" customFormat="1" x14ac:dyDescent="0.2">
      <c r="A474" s="292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</row>
    <row r="475" spans="1:14" s="212" customFormat="1" x14ac:dyDescent="0.2">
      <c r="A475" s="292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</row>
    <row r="476" spans="1:14" s="212" customFormat="1" x14ac:dyDescent="0.2">
      <c r="A476" s="292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</row>
    <row r="477" spans="1:14" s="212" customFormat="1" x14ac:dyDescent="0.2">
      <c r="A477" s="292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</row>
    <row r="478" spans="1:14" s="212" customFormat="1" x14ac:dyDescent="0.2">
      <c r="A478" s="292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</row>
    <row r="479" spans="1:14" s="212" customFormat="1" x14ac:dyDescent="0.2">
      <c r="A479" s="292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</row>
    <row r="480" spans="1:14" s="212" customFormat="1" x14ac:dyDescent="0.2">
      <c r="A480" s="292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</row>
    <row r="481" spans="1:18" s="212" customFormat="1" x14ac:dyDescent="0.2">
      <c r="A481" s="292"/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</row>
    <row r="482" spans="1:18" s="212" customFormat="1" x14ac:dyDescent="0.2">
      <c r="A482" s="292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</row>
    <row r="483" spans="1:18" s="212" customFormat="1" x14ac:dyDescent="0.2">
      <c r="A483" s="292"/>
      <c r="B483" s="213"/>
      <c r="C483" s="213"/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</row>
    <row r="484" spans="1:18" s="212" customFormat="1" x14ac:dyDescent="0.2">
      <c r="A484" s="292"/>
      <c r="B484" s="213"/>
      <c r="C484" s="213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</row>
    <row r="485" spans="1:18" s="212" customFormat="1" x14ac:dyDescent="0.2">
      <c r="A485" s="292"/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</row>
    <row r="486" spans="1:18" s="212" customFormat="1" x14ac:dyDescent="0.2">
      <c r="A486" s="292"/>
      <c r="B486" s="213"/>
      <c r="C486" s="213"/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</row>
    <row r="487" spans="1:18" s="210" customFormat="1" x14ac:dyDescent="0.2">
      <c r="A487" s="293"/>
      <c r="B487" s="211"/>
      <c r="C487" s="211"/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</row>
    <row r="488" spans="1:18" s="210" customFormat="1" x14ac:dyDescent="0.2">
      <c r="A488" s="293"/>
      <c r="B488" s="211"/>
      <c r="C488" s="211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</row>
    <row r="489" spans="1:18" s="210" customFormat="1" x14ac:dyDescent="0.2">
      <c r="A489" s="293"/>
      <c r="B489" s="211"/>
      <c r="C489" s="211"/>
      <c r="D489" s="211"/>
      <c r="E489" s="211"/>
      <c r="F489" s="211"/>
      <c r="G489" s="211"/>
      <c r="H489" s="211"/>
      <c r="I489" s="211"/>
      <c r="J489" s="211"/>
      <c r="K489" s="211"/>
      <c r="L489" s="211"/>
      <c r="M489" s="211"/>
      <c r="N489" s="211"/>
    </row>
    <row r="490" spans="1:18" s="210" customFormat="1" x14ac:dyDescent="0.2">
      <c r="A490" s="293"/>
      <c r="B490" s="211"/>
      <c r="C490" s="211"/>
      <c r="D490" s="211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</row>
    <row r="491" spans="1:18" x14ac:dyDescent="0.2">
      <c r="A491" s="293"/>
      <c r="B491" s="211"/>
      <c r="C491" s="211"/>
      <c r="D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O491" s="210"/>
      <c r="P491" s="210"/>
      <c r="Q491" s="210"/>
      <c r="R491" s="210"/>
    </row>
    <row r="492" spans="1:18" x14ac:dyDescent="0.2">
      <c r="A492" s="293"/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  <c r="O492" s="210"/>
      <c r="P492" s="210"/>
      <c r="Q492" s="210"/>
      <c r="R492" s="210"/>
    </row>
    <row r="493" spans="1:18" x14ac:dyDescent="0.2">
      <c r="A493" s="293"/>
      <c r="B493" s="211"/>
      <c r="C493" s="211"/>
      <c r="D493" s="211"/>
      <c r="E493" s="211"/>
      <c r="F493" s="211"/>
      <c r="G493" s="211"/>
      <c r="H493" s="211"/>
      <c r="I493" s="211"/>
      <c r="J493" s="211"/>
      <c r="K493" s="211"/>
      <c r="L493" s="211"/>
      <c r="M493" s="211"/>
      <c r="N493" s="211"/>
      <c r="O493" s="210"/>
      <c r="P493" s="210"/>
      <c r="Q493" s="210"/>
      <c r="R493" s="210"/>
    </row>
    <row r="494" spans="1:18" x14ac:dyDescent="0.2">
      <c r="A494" s="293"/>
      <c r="B494" s="211"/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1"/>
      <c r="N494" s="211"/>
      <c r="O494" s="210"/>
      <c r="P494" s="210"/>
      <c r="Q494" s="210"/>
      <c r="R494" s="210"/>
    </row>
    <row r="495" spans="1:18" x14ac:dyDescent="0.2">
      <c r="A495" s="293"/>
      <c r="B495" s="211"/>
      <c r="C495" s="211"/>
      <c r="D495" s="21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0"/>
      <c r="P495" s="210"/>
      <c r="Q495" s="210"/>
      <c r="R495" s="210"/>
    </row>
    <row r="496" spans="1:18" x14ac:dyDescent="0.2">
      <c r="A496" s="293"/>
      <c r="B496" s="211"/>
      <c r="C496" s="211"/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0"/>
      <c r="P496" s="210"/>
      <c r="Q496" s="210"/>
      <c r="R496" s="210"/>
    </row>
    <row r="497" spans="1:18" x14ac:dyDescent="0.2">
      <c r="A497" s="293"/>
      <c r="B497" s="211"/>
      <c r="C497" s="211"/>
      <c r="D497" s="211"/>
      <c r="E497" s="211"/>
      <c r="F497" s="211"/>
      <c r="G497" s="211"/>
      <c r="H497" s="211"/>
      <c r="I497" s="211"/>
      <c r="J497" s="211"/>
      <c r="K497" s="211"/>
      <c r="L497" s="211"/>
      <c r="M497" s="211"/>
      <c r="N497" s="211"/>
      <c r="O497" s="210"/>
      <c r="P497" s="210"/>
      <c r="Q497" s="210"/>
      <c r="R497" s="210"/>
    </row>
    <row r="498" spans="1:18" x14ac:dyDescent="0.2">
      <c r="A498" s="293"/>
      <c r="B498" s="211"/>
      <c r="C498" s="211"/>
      <c r="D498" s="211"/>
      <c r="E498" s="211"/>
      <c r="F498" s="211"/>
      <c r="G498" s="211"/>
      <c r="H498" s="211"/>
      <c r="I498" s="211"/>
      <c r="J498" s="211"/>
      <c r="K498" s="211"/>
      <c r="L498" s="211"/>
      <c r="M498" s="211"/>
      <c r="N498" s="211"/>
      <c r="O498" s="210"/>
      <c r="P498" s="210"/>
      <c r="Q498" s="210"/>
      <c r="R498" s="210"/>
    </row>
    <row r="499" spans="1:18" x14ac:dyDescent="0.2">
      <c r="A499" s="293"/>
      <c r="B499" s="211"/>
      <c r="C499" s="211"/>
      <c r="D499" s="211"/>
      <c r="E499" s="211"/>
      <c r="F499" s="211"/>
      <c r="G499" s="211"/>
      <c r="H499" s="211"/>
      <c r="I499" s="211"/>
      <c r="J499" s="211"/>
      <c r="K499" s="211"/>
      <c r="L499" s="211"/>
      <c r="M499" s="211"/>
      <c r="N499" s="211"/>
      <c r="O499" s="210"/>
      <c r="P499" s="210"/>
      <c r="Q499" s="210"/>
      <c r="R499" s="210"/>
    </row>
    <row r="500" spans="1:18" x14ac:dyDescent="0.2">
      <c r="A500" s="293"/>
      <c r="B500" s="211"/>
      <c r="C500" s="211"/>
      <c r="D500" s="211"/>
      <c r="E500" s="211"/>
      <c r="F500" s="211"/>
      <c r="G500" s="211"/>
      <c r="H500" s="211"/>
      <c r="I500" s="211"/>
      <c r="J500" s="211"/>
      <c r="K500" s="211"/>
      <c r="L500" s="211"/>
      <c r="M500" s="211"/>
      <c r="N500" s="211"/>
      <c r="O500" s="210"/>
      <c r="P500" s="210"/>
      <c r="Q500" s="210"/>
      <c r="R500" s="210"/>
    </row>
    <row r="501" spans="1:18" x14ac:dyDescent="0.2">
      <c r="A501" s="293"/>
      <c r="B501" s="211"/>
      <c r="C501" s="211"/>
      <c r="D501" s="211"/>
      <c r="E501" s="211"/>
      <c r="F501" s="211"/>
      <c r="G501" s="211"/>
      <c r="H501" s="211"/>
      <c r="I501" s="211"/>
      <c r="J501" s="211"/>
      <c r="K501" s="211"/>
      <c r="L501" s="211"/>
      <c r="M501" s="211"/>
      <c r="N501" s="211"/>
      <c r="O501" s="210"/>
      <c r="P501" s="210"/>
      <c r="Q501" s="210"/>
      <c r="R501" s="210"/>
    </row>
    <row r="502" spans="1:18" x14ac:dyDescent="0.2">
      <c r="A502" s="293"/>
      <c r="B502" s="211"/>
      <c r="C502" s="211"/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0"/>
      <c r="P502" s="210"/>
      <c r="Q502" s="210"/>
      <c r="R502" s="210"/>
    </row>
    <row r="503" spans="1:18" x14ac:dyDescent="0.2">
      <c r="A503" s="293"/>
      <c r="B503" s="211"/>
      <c r="C503" s="211"/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0"/>
      <c r="P503" s="210"/>
      <c r="Q503" s="210"/>
      <c r="R503" s="210"/>
    </row>
    <row r="504" spans="1:18" x14ac:dyDescent="0.2">
      <c r="A504" s="293"/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0"/>
      <c r="P504" s="210"/>
      <c r="Q504" s="210"/>
      <c r="R504" s="210"/>
    </row>
    <row r="505" spans="1:18" x14ac:dyDescent="0.2">
      <c r="A505" s="293"/>
      <c r="B505" s="211"/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0"/>
      <c r="P505" s="210"/>
      <c r="Q505" s="210"/>
      <c r="R505" s="210"/>
    </row>
    <row r="506" spans="1:18" x14ac:dyDescent="0.2">
      <c r="A506" s="293"/>
      <c r="B506" s="211"/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0"/>
      <c r="P506" s="210"/>
      <c r="Q506" s="210"/>
      <c r="R506" s="210"/>
    </row>
    <row r="507" spans="1:18" x14ac:dyDescent="0.2">
      <c r="A507" s="293"/>
      <c r="B507" s="211"/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0"/>
      <c r="P507" s="210"/>
      <c r="Q507" s="210"/>
      <c r="R507" s="210"/>
    </row>
    <row r="508" spans="1:18" x14ac:dyDescent="0.2">
      <c r="A508" s="293"/>
      <c r="B508" s="211"/>
      <c r="C508" s="211"/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0"/>
      <c r="P508" s="210"/>
      <c r="Q508" s="210"/>
      <c r="R508" s="210"/>
    </row>
    <row r="509" spans="1:18" x14ac:dyDescent="0.2">
      <c r="L509" s="211"/>
      <c r="M509" s="211"/>
      <c r="N509" s="211"/>
      <c r="O509" s="210"/>
      <c r="P509" s="210"/>
      <c r="Q509" s="210"/>
      <c r="R509" s="210"/>
    </row>
  </sheetData>
  <sheetProtection algorithmName="SHA-512" hashValue="Mq4722fH8dCDgdaIIcqPBzwowTgJ+bksQp1g9PPPZhc/XIfLzLW0qzTOtZEs7LVSbnk5+CGtwcfjQ7lo7QT9rA==" saltValue="5JF26za6gcMGPslFEOurvQ==" spinCount="100000" sheet="1" objects="1" scenarios="1"/>
  <sortState ref="A168:K191">
    <sortCondition ref="A168:A191"/>
  </sortState>
  <mergeCells count="207">
    <mergeCell ref="A2:N2"/>
    <mergeCell ref="A3:C3"/>
    <mergeCell ref="D3:N3"/>
    <mergeCell ref="A4:C4"/>
    <mergeCell ref="D4:N4"/>
    <mergeCell ref="A5:C5"/>
    <mergeCell ref="D5:N5"/>
    <mergeCell ref="A12:C12"/>
    <mergeCell ref="D12:N12"/>
    <mergeCell ref="A13:C13"/>
    <mergeCell ref="D13:N13"/>
    <mergeCell ref="A7:N7"/>
    <mergeCell ref="A8:C8"/>
    <mergeCell ref="D8:N8"/>
    <mergeCell ref="A9:C9"/>
    <mergeCell ref="D9:N9"/>
    <mergeCell ref="A10:C10"/>
    <mergeCell ref="A11:C11"/>
    <mergeCell ref="D11:N11"/>
    <mergeCell ref="D10:N10"/>
    <mergeCell ref="A14:C14"/>
    <mergeCell ref="D14:N14"/>
    <mergeCell ref="A16:N16"/>
    <mergeCell ref="A17:C17"/>
    <mergeCell ref="D17:N17"/>
    <mergeCell ref="A18:C18"/>
    <mergeCell ref="D18:N18"/>
    <mergeCell ref="A19:C19"/>
    <mergeCell ref="D19:N19"/>
    <mergeCell ref="A20:C20"/>
    <mergeCell ref="D20:N20"/>
    <mergeCell ref="A21:C21"/>
    <mergeCell ref="D21:N21"/>
    <mergeCell ref="A24:N24"/>
    <mergeCell ref="A25:C25"/>
    <mergeCell ref="D25:N25"/>
    <mergeCell ref="A26:C26"/>
    <mergeCell ref="D26:N26"/>
    <mergeCell ref="A27:C27"/>
    <mergeCell ref="D27:N27"/>
    <mergeCell ref="A28:C28"/>
    <mergeCell ref="D28:N28"/>
    <mergeCell ref="A29:C29"/>
    <mergeCell ref="D29:N29"/>
    <mergeCell ref="A30:C30"/>
    <mergeCell ref="D30:N30"/>
    <mergeCell ref="A32:N32"/>
    <mergeCell ref="A33:N44"/>
    <mergeCell ref="A46:N46"/>
    <mergeCell ref="A47:C47"/>
    <mergeCell ref="D47:N47"/>
    <mergeCell ref="A48:C48"/>
    <mergeCell ref="D48:N48"/>
    <mergeCell ref="A49:C49"/>
    <mergeCell ref="D49:N49"/>
    <mergeCell ref="A50:C50"/>
    <mergeCell ref="E50:F50"/>
    <mergeCell ref="H50:N50"/>
    <mergeCell ref="A52:N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5:N65"/>
    <mergeCell ref="A66:C66"/>
    <mergeCell ref="D66:N66"/>
    <mergeCell ref="A67:C67"/>
    <mergeCell ref="D67:N67"/>
    <mergeCell ref="A68:C68"/>
    <mergeCell ref="A69:N69"/>
    <mergeCell ref="B70:C70"/>
    <mergeCell ref="J70:K70"/>
    <mergeCell ref="B71:C71"/>
    <mergeCell ref="J71:K71"/>
    <mergeCell ref="B72:C72"/>
    <mergeCell ref="J72:K72"/>
    <mergeCell ref="B73:C73"/>
    <mergeCell ref="J73:K73"/>
    <mergeCell ref="B74:C74"/>
    <mergeCell ref="J74:K74"/>
    <mergeCell ref="B75:C75"/>
    <mergeCell ref="J75:K75"/>
    <mergeCell ref="B76:C76"/>
    <mergeCell ref="J76:K76"/>
    <mergeCell ref="B77:C77"/>
    <mergeCell ref="J77:K77"/>
    <mergeCell ref="B78:C78"/>
    <mergeCell ref="J78:K78"/>
    <mergeCell ref="B79:C79"/>
    <mergeCell ref="J79:K79"/>
    <mergeCell ref="B80:C80"/>
    <mergeCell ref="J80:K80"/>
    <mergeCell ref="B81:C81"/>
    <mergeCell ref="J81:K81"/>
    <mergeCell ref="B82:C82"/>
    <mergeCell ref="J82:K82"/>
    <mergeCell ref="B83:C83"/>
    <mergeCell ref="J83:K83"/>
    <mergeCell ref="B84:C84"/>
    <mergeCell ref="J84:K84"/>
    <mergeCell ref="B85:C85"/>
    <mergeCell ref="J85:K85"/>
    <mergeCell ref="B86:C86"/>
    <mergeCell ref="J86:K86"/>
    <mergeCell ref="B87:C87"/>
    <mergeCell ref="J87:K87"/>
    <mergeCell ref="H93:H94"/>
    <mergeCell ref="I93:I94"/>
    <mergeCell ref="J93:J94"/>
    <mergeCell ref="L93:N94"/>
    <mergeCell ref="B88:C88"/>
    <mergeCell ref="J88:K88"/>
    <mergeCell ref="B89:C89"/>
    <mergeCell ref="J89:K89"/>
    <mergeCell ref="B90:C90"/>
    <mergeCell ref="J90:K90"/>
    <mergeCell ref="A91:J91"/>
    <mergeCell ref="L91:N91"/>
    <mergeCell ref="L92:M92"/>
    <mergeCell ref="A93:A94"/>
    <mergeCell ref="B93:B94"/>
    <mergeCell ref="C93:C94"/>
    <mergeCell ref="D93:D94"/>
    <mergeCell ref="E93:E94"/>
    <mergeCell ref="F93:F94"/>
    <mergeCell ref="G93:G94"/>
    <mergeCell ref="A102:C102"/>
    <mergeCell ref="D102:F102"/>
    <mergeCell ref="G102:I102"/>
    <mergeCell ref="J102:L102"/>
    <mergeCell ref="M102:O102"/>
    <mergeCell ref="A99:C99"/>
    <mergeCell ref="D99:F99"/>
    <mergeCell ref="G99:I99"/>
    <mergeCell ref="J99:L99"/>
    <mergeCell ref="M99:O99"/>
    <mergeCell ref="A100:C100"/>
    <mergeCell ref="D100:F100"/>
    <mergeCell ref="G100:I100"/>
    <mergeCell ref="J100:L100"/>
    <mergeCell ref="M100:O100"/>
    <mergeCell ref="A101:C101"/>
    <mergeCell ref="D101:F101"/>
    <mergeCell ref="G101:I101"/>
    <mergeCell ref="J101:L101"/>
    <mergeCell ref="M101:O101"/>
    <mergeCell ref="A96:O96"/>
    <mergeCell ref="A97:C97"/>
    <mergeCell ref="D97:F97"/>
    <mergeCell ref="G97:I97"/>
    <mergeCell ref="J97:L97"/>
    <mergeCell ref="M97:O97"/>
    <mergeCell ref="A98:C98"/>
    <mergeCell ref="D98:F98"/>
    <mergeCell ref="G98:I98"/>
    <mergeCell ref="J98:L98"/>
    <mergeCell ref="M98:O98"/>
    <mergeCell ref="A103:C103"/>
    <mergeCell ref="D103:F103"/>
    <mergeCell ref="G103:I103"/>
    <mergeCell ref="J103:L103"/>
    <mergeCell ref="M103:O103"/>
    <mergeCell ref="A104:C104"/>
    <mergeCell ref="D104:F104"/>
    <mergeCell ref="G104:I104"/>
    <mergeCell ref="J104:L104"/>
    <mergeCell ref="M104:O104"/>
    <mergeCell ref="A105:C105"/>
    <mergeCell ref="D105:F105"/>
    <mergeCell ref="G105:I105"/>
    <mergeCell ref="J105:L105"/>
    <mergeCell ref="M105:O105"/>
    <mergeCell ref="A106:C106"/>
    <mergeCell ref="D106:F106"/>
    <mergeCell ref="G106:I106"/>
    <mergeCell ref="J106:L106"/>
    <mergeCell ref="M106:O106"/>
    <mergeCell ref="A107:C107"/>
    <mergeCell ref="D107:F107"/>
    <mergeCell ref="G107:I107"/>
    <mergeCell ref="J107:L107"/>
    <mergeCell ref="M107:O107"/>
    <mergeCell ref="L111:O112"/>
    <mergeCell ref="A109:J109"/>
    <mergeCell ref="L109:O109"/>
    <mergeCell ref="A110:B110"/>
    <mergeCell ref="C110:D110"/>
    <mergeCell ref="E110:F110"/>
    <mergeCell ref="G110:H110"/>
    <mergeCell ref="I110:J110"/>
    <mergeCell ref="L110:O110"/>
    <mergeCell ref="A113:C115"/>
    <mergeCell ref="D113:H115"/>
    <mergeCell ref="A116:C118"/>
    <mergeCell ref="D116:H118"/>
    <mergeCell ref="A111:B112"/>
    <mergeCell ref="C111:D112"/>
    <mergeCell ref="E111:F112"/>
    <mergeCell ref="G111:H112"/>
    <mergeCell ref="I111:J112"/>
  </mergeCells>
  <phoneticPr fontId="44" type="noConversion"/>
  <dataValidations count="13">
    <dataValidation type="list" allowBlank="1" showInputMessage="1" showErrorMessage="1" sqref="D47:N47">
      <formula1>$I$134:$I$139</formula1>
    </dataValidation>
    <dataValidation type="list" allowBlank="1" showInputMessage="1" showErrorMessage="1" sqref="D48:N48">
      <formula1>$E$134:$E$136</formula1>
    </dataValidation>
    <dataValidation type="list" allowBlank="1" showInputMessage="1" showErrorMessage="1" sqref="D61:D63">
      <formula1>$A$134:$A$151</formula1>
    </dataValidation>
    <dataValidation type="list" allowBlank="1" showInputMessage="1" showErrorMessage="1" sqref="D67:N67">
      <formula1>$G$134:$G$136</formula1>
    </dataValidation>
    <dataValidation type="list" allowBlank="1" showInputMessage="1" showErrorMessage="1" sqref="D54:D60">
      <formula1>$A$134:$A$152</formula1>
    </dataValidation>
    <dataValidation type="list" allowBlank="1" showInputMessage="1" showErrorMessage="1" sqref="D49:N49">
      <formula1>$K$134:$K$138</formula1>
    </dataValidation>
    <dataValidation type="list" allowBlank="1" showInputMessage="1" showErrorMessage="1" sqref="M98:M107">
      <formula1>$X$134:$X$140</formula1>
    </dataValidation>
    <dataValidation type="list" allowBlank="1" showInputMessage="1" showErrorMessage="1" sqref="J98:J107">
      <formula1>$V$134:$V$139</formula1>
    </dataValidation>
    <dataValidation type="list" allowBlank="1" showInputMessage="1" showErrorMessage="1" sqref="G98:G107">
      <formula1>$T$134:$T$139</formula1>
    </dataValidation>
    <dataValidation type="list" allowBlank="1" showInputMessage="1" showErrorMessage="1" sqref="D98:F107">
      <formula1>$R$134:$R$159</formula1>
    </dataValidation>
    <dataValidation type="list" allowBlank="1" showInputMessage="1" showErrorMessage="1" sqref="A98:C107">
      <formula1>$P$134:$P$156</formula1>
    </dataValidation>
    <dataValidation type="list" allowBlank="1" showInputMessage="1" showErrorMessage="1" sqref="D4:N4">
      <formula1>$AB$134:$AB$136</formula1>
    </dataValidation>
    <dataValidation type="list" allowBlank="1" showInputMessage="1" showErrorMessage="1" sqref="D8:N8">
      <formula1>INDIRECT(LEFT($D$4,5))</formula1>
    </dataValidation>
  </dataValidations>
  <pageMargins left="1" right="0.5" top="0.75" bottom="0.4" header="0.5" footer="0.5"/>
  <pageSetup orientation="landscape" horizontalDpi="4294967292" verticalDpi="4294967292" r:id="rId1"/>
  <colBreaks count="1" manualBreakCount="1">
    <brk id="33" max="1048575" man="1" pt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view="pageLayout" workbookViewId="0"/>
  </sheetViews>
  <sheetFormatPr defaultColWidth="11" defaultRowHeight="12.75" x14ac:dyDescent="0.2"/>
  <cols>
    <col min="1" max="6" width="11" style="151"/>
    <col min="7" max="7" width="6.375" style="189" customWidth="1"/>
    <col min="8" max="16384" width="11" style="151"/>
  </cols>
  <sheetData>
    <row r="1" spans="1:13" x14ac:dyDescent="0.2">
      <c r="A1" s="177" t="s">
        <v>244</v>
      </c>
      <c r="H1" s="177" t="s">
        <v>243</v>
      </c>
    </row>
    <row r="2" spans="1:13" ht="13.5" thickBot="1" x14ac:dyDescent="0.25">
      <c r="B2" s="151" t="s">
        <v>242</v>
      </c>
      <c r="C2" s="151" t="s">
        <v>241</v>
      </c>
      <c r="D2" s="151" t="s">
        <v>240</v>
      </c>
      <c r="E2" s="151" t="s">
        <v>239</v>
      </c>
      <c r="F2" s="151" t="s">
        <v>238</v>
      </c>
      <c r="I2" s="151" t="s">
        <v>242</v>
      </c>
      <c r="J2" s="151" t="s">
        <v>241</v>
      </c>
      <c r="K2" s="151" t="s">
        <v>240</v>
      </c>
      <c r="L2" s="151" t="s">
        <v>239</v>
      </c>
      <c r="M2" s="151" t="s">
        <v>238</v>
      </c>
    </row>
    <row r="3" spans="1:13" ht="13.5" thickBot="1" x14ac:dyDescent="0.25">
      <c r="A3" s="151" t="s">
        <v>237</v>
      </c>
      <c r="B3" s="205">
        <f>Template!E54</f>
        <v>63.27</v>
      </c>
      <c r="C3" s="205">
        <f>Template!F54</f>
        <v>-57.83</v>
      </c>
      <c r="D3" s="205">
        <f>Template!G54</f>
        <v>-7.6</v>
      </c>
      <c r="E3" s="207">
        <f>SQRT(C3^2+D3^2)</f>
        <v>58.327256921614271</v>
      </c>
      <c r="F3" s="196">
        <f>IF(DEGREES(ATAN2(C3,D3))&lt;0,DEGREES(ATAN2(C3,D3))+360,IF(DEGREES(ATAN2(C3,D3))&gt;360,DEGREES(ATAN2(C3,D3))-360,DEGREES(ATAN2(C3,D3))))</f>
        <v>187.48688731369421</v>
      </c>
      <c r="G3" s="185"/>
      <c r="H3" s="151" t="s">
        <v>237</v>
      </c>
      <c r="I3" s="205">
        <f>Template!H54</f>
        <v>81.19</v>
      </c>
      <c r="J3" s="205">
        <f>Template!I54</f>
        <v>-24.08</v>
      </c>
      <c r="K3" s="205">
        <f>Template!J54</f>
        <v>-3.61</v>
      </c>
      <c r="L3" s="207">
        <f>SQRT(J3^2+K3^2)</f>
        <v>24.349096492477909</v>
      </c>
      <c r="M3" s="196">
        <f>IF(DEGREES(ATAN2(J3,K3))&lt;0,DEGREES(ATAN2(J3,K3))+360,IF(DEGREES(ATAN2(J3,K3))&gt;360,DEGREES(ATAN2(J3,K3))-360,DEGREES(ATAN2(J3,K3))))</f>
        <v>188.52611148413231</v>
      </c>
    </row>
    <row r="4" spans="1:13" ht="13.5" thickBot="1" x14ac:dyDescent="0.25">
      <c r="A4" s="151" t="s">
        <v>236</v>
      </c>
      <c r="B4" s="205">
        <f>Template!F71</f>
        <v>63.63</v>
      </c>
      <c r="C4" s="205">
        <f>Template!G71</f>
        <v>-60.62</v>
      </c>
      <c r="D4" s="205">
        <f>Template!H71</f>
        <v>-7.76</v>
      </c>
      <c r="E4" s="204">
        <f>SQRT(C4^2+D4^2)</f>
        <v>61.114662725077686</v>
      </c>
      <c r="F4" s="203">
        <f>IF(DEGREES(ATAN2(C4,D4))&lt;0,DEGREES(ATAN2(C4,D4))+360,IF(DEGREES(ATAN2(C4,D4))&gt;360,DEGREES(ATAN2(C4,D4))-360,DEGREES(ATAN2(C4,D4))))</f>
        <v>187.29479146106135</v>
      </c>
      <c r="G4" s="206"/>
      <c r="H4" s="151" t="s">
        <v>236</v>
      </c>
      <c r="I4" s="205">
        <f>Template!F72</f>
        <v>76.5</v>
      </c>
      <c r="J4" s="205">
        <f>Template!G72</f>
        <v>-29.3</v>
      </c>
      <c r="K4" s="205">
        <f>Template!H72</f>
        <v>-4.05</v>
      </c>
      <c r="L4" s="204">
        <f>SQRT(J4^2+K4^2)</f>
        <v>29.578581778036622</v>
      </c>
      <c r="M4" s="203">
        <f>IF(DEGREES(ATAN2(J4,K4))&lt;0,DEGREES(ATAN2(J4,K4))+360,IF(DEGREES(ATAN2(J4,K4))&gt;360,DEGREES(ATAN2(J4,K4))-360,DEGREES(ATAN2(J4,K4))))</f>
        <v>187.86985556376396</v>
      </c>
    </row>
    <row r="5" spans="1:13" ht="13.5" thickBot="1" x14ac:dyDescent="0.25"/>
    <row r="6" spans="1:13" x14ac:dyDescent="0.2">
      <c r="A6" s="197" t="s">
        <v>217</v>
      </c>
      <c r="B6" s="200">
        <f>B3-B4</f>
        <v>-0.35999999999999943</v>
      </c>
      <c r="C6" s="197" t="s">
        <v>196</v>
      </c>
      <c r="D6" s="190">
        <f>IF(B3&lt;16,0.511,(0.040975*B3)/(1+(0.01765*B3)))</f>
        <v>1.2247693419356547</v>
      </c>
      <c r="E6" s="197" t="s">
        <v>216</v>
      </c>
      <c r="F6" s="202">
        <v>2</v>
      </c>
      <c r="G6" s="185"/>
      <c r="H6" s="197" t="s">
        <v>217</v>
      </c>
      <c r="I6" s="200">
        <f>I3-I4</f>
        <v>4.6899999999999977</v>
      </c>
      <c r="J6" s="197" t="s">
        <v>196</v>
      </c>
      <c r="K6" s="190">
        <f>IF(I3&lt;16,0.511,(0.040975*I3)/(1+(0.01765*I3)))</f>
        <v>1.3673470876634579</v>
      </c>
      <c r="L6" s="197" t="s">
        <v>216</v>
      </c>
      <c r="M6" s="202">
        <v>2</v>
      </c>
    </row>
    <row r="7" spans="1:13" ht="13.5" thickBot="1" x14ac:dyDescent="0.25">
      <c r="A7" s="197" t="s">
        <v>215</v>
      </c>
      <c r="B7" s="200">
        <f>C3-C4</f>
        <v>2.7899999999999991</v>
      </c>
      <c r="C7" s="197" t="s">
        <v>194</v>
      </c>
      <c r="D7" s="190">
        <f>0.0638*E3/(1+(0.0131*E3))+0.638</f>
        <v>2.7474644725933697</v>
      </c>
      <c r="E7" s="197" t="s">
        <v>214</v>
      </c>
      <c r="F7" s="201">
        <v>1</v>
      </c>
      <c r="G7" s="185"/>
      <c r="H7" s="197" t="s">
        <v>215</v>
      </c>
      <c r="I7" s="200">
        <f>J3-J4</f>
        <v>5.2200000000000024</v>
      </c>
      <c r="J7" s="197" t="s">
        <v>194</v>
      </c>
      <c r="K7" s="190">
        <f>0.0638*L3/(1+(0.0131*L3))+0.638</f>
        <v>1.8157892064523313</v>
      </c>
      <c r="L7" s="197" t="s">
        <v>214</v>
      </c>
      <c r="M7" s="201">
        <v>1</v>
      </c>
    </row>
    <row r="8" spans="1:13" ht="13.5" thickBot="1" x14ac:dyDescent="0.25">
      <c r="A8" s="197" t="s">
        <v>213</v>
      </c>
      <c r="B8" s="200">
        <f>D3-D4</f>
        <v>0.16000000000000014</v>
      </c>
      <c r="C8" s="197" t="s">
        <v>192</v>
      </c>
      <c r="D8" s="190">
        <f>D7*(D10*D9+1-D10)</f>
        <v>2.0864234708834077</v>
      </c>
      <c r="H8" s="197" t="s">
        <v>213</v>
      </c>
      <c r="I8" s="200">
        <f>K3-K4</f>
        <v>0.43999999999999995</v>
      </c>
      <c r="J8" s="197" t="s">
        <v>192</v>
      </c>
      <c r="K8" s="190">
        <f>K7*(K10*K9+1-K10)</f>
        <v>1.3805073359454654</v>
      </c>
    </row>
    <row r="9" spans="1:13" ht="14.1" customHeight="1" thickBot="1" x14ac:dyDescent="0.25">
      <c r="A9" s="197" t="s">
        <v>212</v>
      </c>
      <c r="B9" s="193">
        <f>E3-E4</f>
        <v>-2.7874058034634146</v>
      </c>
      <c r="C9" s="197" t="s">
        <v>207</v>
      </c>
      <c r="D9" s="190">
        <f>IF(AND(F3&gt;=164,F3&lt;=345),0.56+ABS(0.2*(COS(RADIANS(F3+168)))),0.36+ABS(0.4*(COS(RADIANS(F3+35)))))</f>
        <v>0.75937987030246823</v>
      </c>
      <c r="E9" s="147" t="s">
        <v>211</v>
      </c>
      <c r="F9" s="198">
        <f>ROUND(SQRT((B6/(F6*D6))^2+(B9/(F7*D7))^2+(B10/D8)^2),2)</f>
        <v>1.03</v>
      </c>
      <c r="G9" s="199"/>
      <c r="H9" s="197" t="s">
        <v>212</v>
      </c>
      <c r="I9" s="193">
        <f>L3-L4</f>
        <v>-5.2294852855587131</v>
      </c>
      <c r="J9" s="197" t="s">
        <v>207</v>
      </c>
      <c r="K9" s="190">
        <f>IF(AND(M3&gt;=164,M3&lt;=345),0.56+ABS(0.2*(COS(RADIANS(M3+168)))),0.36+ABS(0.4*(COS(RADIANS(M3+35)))))</f>
        <v>0.75963250330073173</v>
      </c>
      <c r="L9" s="147" t="s">
        <v>211</v>
      </c>
      <c r="M9" s="198">
        <f>ROUND(SQRT((I6/(M6*K6))^2+(I9/(M7*K7))^2+(I10/K8)^2),2)</f>
        <v>3.36</v>
      </c>
    </row>
    <row r="10" spans="1:13" ht="14.1" customHeight="1" x14ac:dyDescent="0.2">
      <c r="A10" s="197" t="s">
        <v>210</v>
      </c>
      <c r="B10" s="193">
        <f>SQRT(B7^2+B8^2-B9^2)</f>
        <v>0.20017214296317776</v>
      </c>
      <c r="C10" s="197" t="s">
        <v>209</v>
      </c>
      <c r="D10" s="190">
        <f>SQRT(E3^4/(E3^4+1900))</f>
        <v>0.99991793009527663</v>
      </c>
      <c r="H10" s="197" t="s">
        <v>210</v>
      </c>
      <c r="I10" s="193">
        <f>SQRT(I7^2+I8^2-I9^2)</f>
        <v>0.30738192550137333</v>
      </c>
      <c r="J10" s="197" t="s">
        <v>209</v>
      </c>
      <c r="K10" s="190">
        <f>SQRT(L3^4/(L3^4+1900))</f>
        <v>0.99730824256966888</v>
      </c>
    </row>
    <row r="11" spans="1:13" s="189" customFormat="1" ht="14.1" customHeight="1" thickBot="1" x14ac:dyDescent="0.25">
      <c r="A11" s="191"/>
      <c r="B11" s="192"/>
      <c r="C11" s="191"/>
      <c r="D11" s="192"/>
      <c r="H11" s="191"/>
      <c r="I11" s="192"/>
      <c r="J11" s="191"/>
      <c r="K11" s="192"/>
    </row>
    <row r="12" spans="1:13" s="189" customFormat="1" ht="14.1" customHeight="1" thickBot="1" x14ac:dyDescent="0.25">
      <c r="A12" s="191" t="s">
        <v>208</v>
      </c>
      <c r="B12" s="193">
        <f>(B3+B4)/2</f>
        <v>63.45</v>
      </c>
      <c r="C12" s="191" t="s">
        <v>207</v>
      </c>
      <c r="D12" s="196">
        <f>1-0.17*(COS(RADIANS(B24-30)))+0.24*COS(RADIANS(2*B24))+0.32*COS(RADIANS(3*B24+6))-0.2*COS(RADIANS(4*B24-63))</f>
        <v>0.94000697675835165</v>
      </c>
      <c r="E12" s="191" t="s">
        <v>206</v>
      </c>
      <c r="F12" s="195">
        <f>ROUND(SQRT((D14/(D23*D17))^2+(D15/(D24*D18))^2+(D16/(D25*D19))^2+D22*(D15/(D24*D18))*(D16/(D25*D19))),2)</f>
        <v>0.82</v>
      </c>
      <c r="H12" s="191" t="s">
        <v>208</v>
      </c>
      <c r="I12" s="193">
        <f>(I3+I4)/2</f>
        <v>78.844999999999999</v>
      </c>
      <c r="J12" s="191" t="s">
        <v>207</v>
      </c>
      <c r="K12" s="196">
        <f>1-0.17*(COS(RADIANS(I24-30)))+0.24*COS(RADIANS(2*I24))+0.32*COS(RADIANS(3*I24+6))-0.2*COS(RADIANS(4*I24-63))</f>
        <v>0.93996753870315586</v>
      </c>
      <c r="L12" s="191" t="s">
        <v>206</v>
      </c>
      <c r="M12" s="195">
        <f>ROUND(SQRT((K14/(K23*K17))^2+(K15/(K24*K18))^2+(K16/(K25*K19))^2+K22*(K15/(K24*K18))*(K16/(K25*K19))),2)</f>
        <v>4.12</v>
      </c>
    </row>
    <row r="13" spans="1:13" s="189" customFormat="1" ht="14.1" customHeight="1" x14ac:dyDescent="0.2">
      <c r="A13" s="191" t="s">
        <v>205</v>
      </c>
      <c r="B13" s="193">
        <f>SQRT(C3^2+D3^2)</f>
        <v>58.327256921614271</v>
      </c>
      <c r="C13" s="191" t="s">
        <v>204</v>
      </c>
      <c r="D13" s="190">
        <f>IF((B23-B22)&lt;=180,B23-B22,IF(AND(B23-B22&gt;180,B23&lt;=B22),B23-B22+360,B23-B22-360))</f>
        <v>-0.19199148429083834</v>
      </c>
      <c r="H13" s="191" t="s">
        <v>205</v>
      </c>
      <c r="I13" s="193">
        <f>SQRT(J3^2+K3^2)</f>
        <v>24.349096492477909</v>
      </c>
      <c r="J13" s="191" t="s">
        <v>204</v>
      </c>
      <c r="K13" s="190">
        <f>IF((I23-I22)&lt;=180,I23-I22,IF(AND(I23-I22&gt;180,I23&lt;=I22),I23-I22+360,I23-I22-360))</f>
        <v>-0.59695436870953245</v>
      </c>
    </row>
    <row r="14" spans="1:13" s="189" customFormat="1" ht="14.1" customHeight="1" x14ac:dyDescent="0.2">
      <c r="A14" s="191" t="s">
        <v>203</v>
      </c>
      <c r="B14" s="193">
        <f>SQRT(C4^2+D4^2)</f>
        <v>61.114662725077686</v>
      </c>
      <c r="C14" s="191" t="s">
        <v>202</v>
      </c>
      <c r="D14" s="190">
        <f>B4-B3</f>
        <v>0.35999999999999943</v>
      </c>
      <c r="H14" s="191" t="s">
        <v>203</v>
      </c>
      <c r="I14" s="193">
        <f>SQRT(J4^2+K4^2)</f>
        <v>29.578581778036622</v>
      </c>
      <c r="J14" s="191" t="s">
        <v>202</v>
      </c>
      <c r="K14" s="190">
        <f>I4-I3</f>
        <v>-4.6899999999999977</v>
      </c>
    </row>
    <row r="15" spans="1:13" s="189" customFormat="1" ht="14.1" customHeight="1" x14ac:dyDescent="0.2">
      <c r="A15" s="191" t="s">
        <v>201</v>
      </c>
      <c r="B15" s="193">
        <f>(B13+B14)/2</f>
        <v>59.720959823345979</v>
      </c>
      <c r="C15" s="191" t="s">
        <v>200</v>
      </c>
      <c r="D15" s="190">
        <f>B20-B19</f>
        <v>2.7889756987157455</v>
      </c>
      <c r="H15" s="191" t="s">
        <v>201</v>
      </c>
      <c r="I15" s="193">
        <f>(I13+I14)/2</f>
        <v>26.963839135257267</v>
      </c>
      <c r="J15" s="191" t="s">
        <v>200</v>
      </c>
      <c r="K15" s="190">
        <f>I20-I19</f>
        <v>5.768046046770646</v>
      </c>
    </row>
    <row r="16" spans="1:13" s="189" customFormat="1" ht="14.1" customHeight="1" x14ac:dyDescent="0.2">
      <c r="A16" s="191" t="s">
        <v>199</v>
      </c>
      <c r="B16" s="193">
        <f>(1-SQRT(B15^7/(B15^7+25^7)))/2</f>
        <v>5.6221138966977557E-4</v>
      </c>
      <c r="C16" s="191" t="s">
        <v>198</v>
      </c>
      <c r="D16" s="190">
        <f>2*SQRT(B19*B20)*SIN(RADIANS(D13/2))</f>
        <v>-0.2001740036586987</v>
      </c>
      <c r="H16" s="191" t="s">
        <v>199</v>
      </c>
      <c r="I16" s="193">
        <f>(1-SQRT(I15^7/(I15^7+25^7)))/2</f>
        <v>0.10334821446826759</v>
      </c>
      <c r="J16" s="191" t="s">
        <v>198</v>
      </c>
      <c r="K16" s="190">
        <f>2*SQRT(I19*I20)*SIN(RADIANS(K13/2))</f>
        <v>-0.30794146078903789</v>
      </c>
    </row>
    <row r="17" spans="1:13" s="189" customFormat="1" ht="14.1" customHeight="1" x14ac:dyDescent="0.2">
      <c r="A17" s="191" t="s">
        <v>197</v>
      </c>
      <c r="B17" s="193">
        <f>C3*(1+B16)</f>
        <v>-57.862512684664601</v>
      </c>
      <c r="C17" s="191" t="s">
        <v>196</v>
      </c>
      <c r="D17" s="190">
        <f>1+(0.015*(B12-50)^2)/SQRT(20+(B12-50)^2)</f>
        <v>1.1914446160042955</v>
      </c>
      <c r="H17" s="191" t="s">
        <v>197</v>
      </c>
      <c r="I17" s="193">
        <f>J3*(1+I16)</f>
        <v>-26.56862500439588</v>
      </c>
      <c r="J17" s="191" t="s">
        <v>196</v>
      </c>
      <c r="K17" s="190">
        <f>1+(0.015*(I12-50)^2)/SQRT(20+(I12-50)^2)</f>
        <v>1.4275667026435199</v>
      </c>
    </row>
    <row r="18" spans="1:13" s="189" customFormat="1" ht="14.1" customHeight="1" x14ac:dyDescent="0.2">
      <c r="A18" s="191" t="s">
        <v>195</v>
      </c>
      <c r="B18" s="193">
        <f>C4*(1+B16)</f>
        <v>-60.654081254441778</v>
      </c>
      <c r="C18" s="191" t="s">
        <v>194</v>
      </c>
      <c r="D18" s="190">
        <f>1+0.045*B21</f>
        <v>3.6889291193164384</v>
      </c>
      <c r="H18" s="191" t="s">
        <v>195</v>
      </c>
      <c r="I18" s="193">
        <f>J4*(1+I16)</f>
        <v>-32.328102683920243</v>
      </c>
      <c r="J18" s="191" t="s">
        <v>194</v>
      </c>
      <c r="K18" s="190">
        <f>1+0.045*I21</f>
        <v>2.3363550982690047</v>
      </c>
    </row>
    <row r="19" spans="1:13" s="189" customFormat="1" ht="14.1" customHeight="1" x14ac:dyDescent="0.2">
      <c r="A19" s="191" t="s">
        <v>193</v>
      </c>
      <c r="B19" s="193">
        <f>SQRT(B17^2+D3^2)</f>
        <v>58.359492579896312</v>
      </c>
      <c r="C19" s="191" t="s">
        <v>192</v>
      </c>
      <c r="D19" s="190">
        <f>1+0.015*B21*D12</f>
        <v>1.8425373773887141</v>
      </c>
      <c r="H19" s="191" t="s">
        <v>193</v>
      </c>
      <c r="I19" s="193">
        <f>SQRT(I17^2+K3^2)</f>
        <v>26.812756938148116</v>
      </c>
      <c r="J19" s="191" t="s">
        <v>192</v>
      </c>
      <c r="K19" s="190">
        <f>1+0.015*I21*K12</f>
        <v>1.4187101375177766</v>
      </c>
    </row>
    <row r="20" spans="1:13" s="189" customFormat="1" ht="14.1" customHeight="1" x14ac:dyDescent="0.2">
      <c r="A20" s="191" t="s">
        <v>191</v>
      </c>
      <c r="B20" s="193">
        <f>SQRT(B18^2+D4^2)</f>
        <v>61.148468278612057</v>
      </c>
      <c r="C20" s="191" t="s">
        <v>190</v>
      </c>
      <c r="D20" s="190">
        <f>30*EXP(-1*((B24-275)/25)^2)</f>
        <v>1.3906931620873521E-4</v>
      </c>
      <c r="H20" s="191" t="s">
        <v>191</v>
      </c>
      <c r="I20" s="193">
        <f>SQRT(I18^2+K4^2)</f>
        <v>32.580802984918762</v>
      </c>
      <c r="J20" s="191" t="s">
        <v>190</v>
      </c>
      <c r="K20" s="190">
        <f>30*EXP(-1*((I24-275)/25)^2)</f>
        <v>1.4112857092334351E-4</v>
      </c>
    </row>
    <row r="21" spans="1:13" s="189" customFormat="1" ht="14.1" customHeight="1" x14ac:dyDescent="0.2">
      <c r="A21" s="191" t="s">
        <v>189</v>
      </c>
      <c r="B21" s="193">
        <f>(B19+B20)/2</f>
        <v>59.753980429254185</v>
      </c>
      <c r="C21" s="191" t="s">
        <v>188</v>
      </c>
      <c r="D21" s="190">
        <f>2*SQRT(B21^7/(B21^7+25^7))</f>
        <v>1.9977598245778665</v>
      </c>
      <c r="H21" s="191" t="s">
        <v>189</v>
      </c>
      <c r="I21" s="193">
        <f>(I19+I20)/2</f>
        <v>29.696779961533437</v>
      </c>
      <c r="J21" s="191" t="s">
        <v>188</v>
      </c>
      <c r="K21" s="190">
        <f>2*SQRT(I21^7/(I21^7+25^7))</f>
        <v>1.7543521003600551</v>
      </c>
    </row>
    <row r="22" spans="1:13" s="189" customFormat="1" ht="14.1" customHeight="1" x14ac:dyDescent="0.2">
      <c r="A22" s="191" t="s">
        <v>187</v>
      </c>
      <c r="B22" s="193">
        <f>IF(DEGREES(ATAN2(B17,D3))&gt;=0,DEGREES(ATAN2(B17,D3)),DEGREES(ATAN2(B17,D3))+360)</f>
        <v>187.4827281501538</v>
      </c>
      <c r="C22" s="191" t="s">
        <v>186</v>
      </c>
      <c r="D22" s="190">
        <f>-SIN(2*RADIANS(D20))*D21</f>
        <v>-9.6979950395403694E-6</v>
      </c>
      <c r="H22" s="191" t="s">
        <v>187</v>
      </c>
      <c r="I22" s="193">
        <f>IF(DEGREES(ATAN2(I17,K3))&gt;=0,DEGREES(ATAN2(I17,K3)),DEGREES(ATAN2(I17,K3))+360)</f>
        <v>187.73765327387517</v>
      </c>
      <c r="J22" s="191" t="s">
        <v>186</v>
      </c>
      <c r="K22" s="190">
        <f>-SIN(2*RADIANS(K20))*K21</f>
        <v>-8.6424936329785802E-6</v>
      </c>
    </row>
    <row r="23" spans="1:13" s="189" customFormat="1" ht="14.1" customHeight="1" x14ac:dyDescent="0.2">
      <c r="A23" s="191" t="s">
        <v>185</v>
      </c>
      <c r="B23" s="193">
        <f>IF(DEGREES(ATAN2(B18,D4))&gt;=0,DEGREES(ATAN2(B18,D4)),DEGREES(ATAN2(B18,D4))+360)</f>
        <v>187.29073666586297</v>
      </c>
      <c r="C23" s="191" t="s">
        <v>184</v>
      </c>
      <c r="D23" s="190">
        <v>1</v>
      </c>
      <c r="H23" s="191" t="s">
        <v>185</v>
      </c>
      <c r="I23" s="193">
        <f>IF(DEGREES(ATAN2(I18,K4))&gt;=0,DEGREES(ATAN2(I18,K4)),DEGREES(ATAN2(I18,K4))+360)</f>
        <v>187.14069890516564</v>
      </c>
      <c r="J23" s="191" t="s">
        <v>184</v>
      </c>
      <c r="K23" s="190">
        <v>1</v>
      </c>
    </row>
    <row r="24" spans="1:13" s="189" customFormat="1" ht="14.1" customHeight="1" x14ac:dyDescent="0.2">
      <c r="A24" s="194" t="s">
        <v>183</v>
      </c>
      <c r="B24" s="193">
        <f>IF((B22-B23)&gt;180,(B22+B23+360)/2,(B22+B23)/2)</f>
        <v>187.38673240800838</v>
      </c>
      <c r="C24" s="191" t="s">
        <v>182</v>
      </c>
      <c r="D24" s="190">
        <v>1</v>
      </c>
      <c r="H24" s="194" t="s">
        <v>183</v>
      </c>
      <c r="I24" s="193">
        <f>IF((I22-I23)&gt;180,(I22+I23+360)/2,(I22+I23)/2)</f>
        <v>187.4391760895204</v>
      </c>
      <c r="J24" s="191" t="s">
        <v>182</v>
      </c>
      <c r="K24" s="190">
        <v>1</v>
      </c>
    </row>
    <row r="25" spans="1:13" s="189" customFormat="1" ht="14.1" customHeight="1" x14ac:dyDescent="0.2">
      <c r="A25" s="191"/>
      <c r="B25" s="192"/>
      <c r="C25" s="191" t="s">
        <v>181</v>
      </c>
      <c r="D25" s="190">
        <v>1</v>
      </c>
      <c r="H25" s="191"/>
      <c r="I25" s="192"/>
      <c r="J25" s="191" t="s">
        <v>181</v>
      </c>
      <c r="K25" s="190">
        <v>1</v>
      </c>
    </row>
    <row r="26" spans="1:13" ht="14.1" customHeight="1" thickBot="1" x14ac:dyDescent="0.25"/>
    <row r="27" spans="1:13" ht="14.1" customHeight="1" thickBot="1" x14ac:dyDescent="0.25">
      <c r="A27" s="151" t="s">
        <v>235</v>
      </c>
      <c r="B27" s="205">
        <f>Template!E55</f>
        <v>91</v>
      </c>
      <c r="C27" s="205">
        <f>Template!F55</f>
        <v>2.2000000000000002</v>
      </c>
      <c r="D27" s="205">
        <f>Template!G55</f>
        <v>71</v>
      </c>
      <c r="E27" s="207">
        <f>SQRT(C27^2+D27^2)</f>
        <v>71.034076329603948</v>
      </c>
      <c r="F27" s="196">
        <f>IF(DEGREES(ATAN2(C27,D27))&lt;0,DEGREES(ATAN2(C27,D27))+360,IF(DEGREES(ATAN2(C27,D27))&gt;360,DEGREES(ATAN2(C27,D27))-360,DEGREES(ATAN2(C27,D27))))</f>
        <v>88.22520568183846</v>
      </c>
      <c r="G27" s="185"/>
      <c r="H27" s="151" t="s">
        <v>235</v>
      </c>
      <c r="I27" s="205">
        <f>Template!H55</f>
        <v>92.96</v>
      </c>
      <c r="J27" s="205">
        <f>Template!I55</f>
        <v>-0.39</v>
      </c>
      <c r="K27" s="205">
        <f>Template!J55</f>
        <v>29.15</v>
      </c>
      <c r="L27" s="207">
        <f>SQRT(J27^2+K27^2)</f>
        <v>29.15260880264406</v>
      </c>
      <c r="M27" s="196">
        <f>IF(DEGREES(ATAN2(J27,K27))&lt;0,DEGREES(ATAN2(J27,K27))+360,IF(DEGREES(ATAN2(J27,K27))&gt;360,DEGREES(ATAN2(J27,K27))-360,DEGREES(ATAN2(J27,K27))))</f>
        <v>90.766518726701818</v>
      </c>
    </row>
    <row r="28" spans="1:13" ht="14.1" customHeight="1" thickBot="1" x14ac:dyDescent="0.25">
      <c r="A28" s="151" t="s">
        <v>234</v>
      </c>
      <c r="B28" s="205">
        <f>Template!F73</f>
        <v>88.06</v>
      </c>
      <c r="C28" s="205">
        <f>Template!G73</f>
        <v>0.63</v>
      </c>
      <c r="D28" s="205">
        <f>Template!H73</f>
        <v>71.73</v>
      </c>
      <c r="E28" s="204">
        <f>SQRT(C28^2+D28^2)</f>
        <v>71.732766571490885</v>
      </c>
      <c r="F28" s="203">
        <f>IF(DEGREES(ATAN2(C28,D28))&lt;0,DEGREES(ATAN2(C28,D28))+360,IF(DEGREES(ATAN2(C28,D28))&gt;360,DEGREES(ATAN2(C28,D28))-360,DEGREES(ATAN2(C28,D28))))</f>
        <v>89.496787773883042</v>
      </c>
      <c r="G28" s="206"/>
      <c r="H28" s="151" t="s">
        <v>234</v>
      </c>
      <c r="I28" s="205">
        <f>Template!F74</f>
        <v>91.67</v>
      </c>
      <c r="J28" s="205">
        <f>Template!G74</f>
        <v>0.15</v>
      </c>
      <c r="K28" s="205">
        <f>Template!H74</f>
        <v>34.01</v>
      </c>
      <c r="L28" s="204">
        <f>SQRT(J28^2+K28^2)</f>
        <v>34.010330783454606</v>
      </c>
      <c r="M28" s="203">
        <f>IF(DEGREES(ATAN2(J28,K28))&lt;0,DEGREES(ATAN2(J28,K28))+360,IF(DEGREES(ATAN2(J28,K28))&gt;360,DEGREES(ATAN2(J28,K28))-360,DEGREES(ATAN2(J28,K28))))</f>
        <v>89.747300464536991</v>
      </c>
    </row>
    <row r="29" spans="1:13" ht="13.5" thickBot="1" x14ac:dyDescent="0.25"/>
    <row r="30" spans="1:13" x14ac:dyDescent="0.2">
      <c r="A30" s="197" t="s">
        <v>217</v>
      </c>
      <c r="B30" s="200">
        <f>B27-B28</f>
        <v>2.9399999999999977</v>
      </c>
      <c r="C30" s="197" t="s">
        <v>196</v>
      </c>
      <c r="D30" s="190">
        <f>IF(B27&lt;16,0.511,(0.040975*B27)/(1+(0.01765*B27)))</f>
        <v>1.43074074784644</v>
      </c>
      <c r="E30" s="197" t="s">
        <v>216</v>
      </c>
      <c r="F30" s="202">
        <v>2</v>
      </c>
      <c r="G30" s="185"/>
      <c r="H30" s="197" t="s">
        <v>217</v>
      </c>
      <c r="I30" s="200">
        <f>I27-I28</f>
        <v>1.289999999999992</v>
      </c>
      <c r="J30" s="197" t="s">
        <v>196</v>
      </c>
      <c r="K30" s="190">
        <f>IF(I27&lt;16,0.511,(0.040975*I27)/(1+(0.01765*I27)))</f>
        <v>1.4424101692553311</v>
      </c>
      <c r="L30" s="197" t="s">
        <v>216</v>
      </c>
      <c r="M30" s="202">
        <v>2</v>
      </c>
    </row>
    <row r="31" spans="1:13" ht="13.5" thickBot="1" x14ac:dyDescent="0.25">
      <c r="A31" s="197" t="s">
        <v>215</v>
      </c>
      <c r="B31" s="200">
        <f>C27-C28</f>
        <v>1.5700000000000003</v>
      </c>
      <c r="C31" s="197" t="s">
        <v>194</v>
      </c>
      <c r="D31" s="190">
        <f>0.0638*E27/(1+(0.0131*E27))+0.638</f>
        <v>2.9855084929435876</v>
      </c>
      <c r="E31" s="197" t="s">
        <v>214</v>
      </c>
      <c r="F31" s="201">
        <v>1</v>
      </c>
      <c r="G31" s="185"/>
      <c r="H31" s="197" t="s">
        <v>215</v>
      </c>
      <c r="I31" s="200">
        <f>J27-J28</f>
        <v>-0.54</v>
      </c>
      <c r="J31" s="197" t="s">
        <v>194</v>
      </c>
      <c r="K31" s="190">
        <f>0.0638*L27/(1+(0.0131*L27))+0.638</f>
        <v>1.9839277455500413</v>
      </c>
      <c r="L31" s="197" t="s">
        <v>214</v>
      </c>
      <c r="M31" s="201">
        <v>1</v>
      </c>
    </row>
    <row r="32" spans="1:13" ht="13.5" thickBot="1" x14ac:dyDescent="0.25">
      <c r="A32" s="197" t="s">
        <v>213</v>
      </c>
      <c r="B32" s="200">
        <f>D27-D28</f>
        <v>-0.73000000000000398</v>
      </c>
      <c r="C32" s="197" t="s">
        <v>192</v>
      </c>
      <c r="D32" s="190">
        <f>D31*(D34*D33+1-D34)</f>
        <v>1.7291713318703037</v>
      </c>
      <c r="H32" s="197" t="s">
        <v>213</v>
      </c>
      <c r="I32" s="200">
        <f>K27-K28</f>
        <v>-4.8599999999999994</v>
      </c>
      <c r="J32" s="197" t="s">
        <v>192</v>
      </c>
      <c r="K32" s="190">
        <f>K31*(K34*K33+1-K34)</f>
        <v>1.1791011656691655</v>
      </c>
    </row>
    <row r="33" spans="1:13" ht="14.1" customHeight="1" thickBot="1" x14ac:dyDescent="0.25">
      <c r="A33" s="197" t="s">
        <v>212</v>
      </c>
      <c r="B33" s="193">
        <f>E27-E28</f>
        <v>-0.69869024188693629</v>
      </c>
      <c r="C33" s="197" t="s">
        <v>207</v>
      </c>
      <c r="D33" s="190">
        <f>IF(AND(F27&gt;=164,F27&lt;=345),0.56+ABS(0.2*(COS(RADIANS(F27+168)))),0.36+ABS(0.4*(COS(RADIANS(F27+35)))))</f>
        <v>0.57917251265653513</v>
      </c>
      <c r="E33" s="147" t="s">
        <v>211</v>
      </c>
      <c r="F33" s="198">
        <f>ROUND(SQRT((B30/(F30*D30))^2+(B33/(F31*D31))^2+(B34/D32)^2),2)</f>
        <v>1.4</v>
      </c>
      <c r="G33" s="199"/>
      <c r="H33" s="197" t="s">
        <v>212</v>
      </c>
      <c r="I33" s="193">
        <f>L27-L28</f>
        <v>-4.8577219808105454</v>
      </c>
      <c r="J33" s="197" t="s">
        <v>207</v>
      </c>
      <c r="K33" s="190">
        <f>IF(AND(M27&gt;=164,M27&lt;=345),0.56+ABS(0.2*(COS(RADIANS(M27+168)))),0.36+ABS(0.4*(COS(RADIANS(M27+35)))))</f>
        <v>0.59379344925535837</v>
      </c>
      <c r="L33" s="147" t="s">
        <v>211</v>
      </c>
      <c r="M33" s="198">
        <f>ROUND(SQRT((I30/(M30*K30))^2+(I33/(M31*K31))^2+(I34/K32)^2),2)</f>
        <v>2.5299999999999998</v>
      </c>
    </row>
    <row r="34" spans="1:13" ht="14.1" customHeight="1" x14ac:dyDescent="0.2">
      <c r="A34" s="197" t="s">
        <v>210</v>
      </c>
      <c r="B34" s="193">
        <f>SQRT(B31^2+B32^2-B33^2)</f>
        <v>1.5841817906704967</v>
      </c>
      <c r="C34" s="197" t="s">
        <v>209</v>
      </c>
      <c r="D34" s="190">
        <f>SQRT(E27^4/(E27^4+1900))</f>
        <v>0.99996268939007482</v>
      </c>
      <c r="H34" s="197" t="s">
        <v>210</v>
      </c>
      <c r="I34" s="193">
        <f>SQRT(I31^2+I32^2-I33^2)</f>
        <v>0.56012244835398728</v>
      </c>
      <c r="J34" s="197" t="s">
        <v>209</v>
      </c>
      <c r="K34" s="190">
        <f>SQRT(L27^4/(L27^4+1900))</f>
        <v>0.99868732227025336</v>
      </c>
    </row>
    <row r="35" spans="1:13" s="189" customFormat="1" ht="14.1" customHeight="1" thickBot="1" x14ac:dyDescent="0.25">
      <c r="A35" s="191"/>
      <c r="B35" s="192"/>
      <c r="C35" s="191"/>
      <c r="D35" s="192"/>
      <c r="H35" s="191"/>
      <c r="I35" s="192"/>
      <c r="J35" s="191"/>
      <c r="K35" s="192"/>
    </row>
    <row r="36" spans="1:13" s="189" customFormat="1" ht="14.1" customHeight="1" thickBot="1" x14ac:dyDescent="0.25">
      <c r="A36" s="191" t="s">
        <v>208</v>
      </c>
      <c r="B36" s="193">
        <f>(B27+B28)/2</f>
        <v>89.53</v>
      </c>
      <c r="C36" s="191" t="s">
        <v>207</v>
      </c>
      <c r="D36" s="196">
        <f>1-0.17*(COS(RADIANS(B48-30)))+0.24*COS(RADIANS(2*B48))+0.32*COS(RADIANS(3*B48+6))-0.2*COS(RADIANS(4*B48-63))</f>
        <v>0.61034406025173893</v>
      </c>
      <c r="E36" s="191" t="s">
        <v>206</v>
      </c>
      <c r="F36" s="195">
        <f>ROUND(SQRT((D38/(D47*D41))^2+(D39/(D48*D42))^2+(D40/(D49*D43))^2+D46*(D39/(D48*D42))*(D40/(D49*D43))),2)</f>
        <v>2.09</v>
      </c>
      <c r="H36" s="191" t="s">
        <v>208</v>
      </c>
      <c r="I36" s="193">
        <f>(I27+I28)/2</f>
        <v>92.314999999999998</v>
      </c>
      <c r="J36" s="191" t="s">
        <v>207</v>
      </c>
      <c r="K36" s="196">
        <f>1-0.17*(COS(RADIANS(I48-30)))+0.24*COS(RADIANS(2*I48))+0.32*COS(RADIANS(3*I48+6))-0.2*COS(RADIANS(4*I48-63))</f>
        <v>0.61949428665770168</v>
      </c>
      <c r="L36" s="191" t="s">
        <v>206</v>
      </c>
      <c r="M36" s="195">
        <f>ROUND(SQRT((K38/(K47*K41))^2+(K39/(K48*K42))^2+(K40/(K49*K43))^2+K46*(K39/(K48*K42))*(K40/(K49*K43))),2)</f>
        <v>2.2000000000000002</v>
      </c>
    </row>
    <row r="37" spans="1:13" s="189" customFormat="1" ht="14.1" customHeight="1" x14ac:dyDescent="0.2">
      <c r="A37" s="191" t="s">
        <v>205</v>
      </c>
      <c r="B37" s="193">
        <f>SQRT(C27^2+D27^2)</f>
        <v>71.034076329603948</v>
      </c>
      <c r="C37" s="191" t="s">
        <v>204</v>
      </c>
      <c r="D37" s="190">
        <f>IF((B47-B46)&lt;=180,B47-B46,IF(AND(B47-B46&gt;180,B47&lt;=B46),B47-B46+360,B47-B46-360))</f>
        <v>1.2717872523925138</v>
      </c>
      <c r="H37" s="191" t="s">
        <v>205</v>
      </c>
      <c r="I37" s="193">
        <f>SQRT(J27^2+K27^2)</f>
        <v>29.15260880264406</v>
      </c>
      <c r="J37" s="191" t="s">
        <v>204</v>
      </c>
      <c r="K37" s="190">
        <f>IF((I47-I46)&lt;=180,I47-I46,IF(AND(I47-I46&gt;180,I47&lt;=I46),I47-I46+360,I47-I46-360))</f>
        <v>-1.0626014159136616</v>
      </c>
    </row>
    <row r="38" spans="1:13" s="189" customFormat="1" ht="14.1" customHeight="1" x14ac:dyDescent="0.2">
      <c r="A38" s="191" t="s">
        <v>203</v>
      </c>
      <c r="B38" s="193">
        <f>SQRT(C28^2+D28^2)</f>
        <v>71.732766571490885</v>
      </c>
      <c r="C38" s="191" t="s">
        <v>202</v>
      </c>
      <c r="D38" s="190">
        <f>B28-B27</f>
        <v>-2.9399999999999977</v>
      </c>
      <c r="H38" s="191" t="s">
        <v>203</v>
      </c>
      <c r="I38" s="193">
        <f>SQRT(J28^2+K28^2)</f>
        <v>34.010330783454606</v>
      </c>
      <c r="J38" s="191" t="s">
        <v>202</v>
      </c>
      <c r="K38" s="190">
        <f>I28-I27</f>
        <v>-1.289999999999992</v>
      </c>
    </row>
    <row r="39" spans="1:13" s="189" customFormat="1" ht="14.1" customHeight="1" x14ac:dyDescent="0.2">
      <c r="A39" s="191" t="s">
        <v>201</v>
      </c>
      <c r="B39" s="193">
        <f>(B37+B38)/2</f>
        <v>71.383421450547416</v>
      </c>
      <c r="C39" s="191" t="s">
        <v>200</v>
      </c>
      <c r="D39" s="190">
        <f>B44-B43</f>
        <v>0.69868013167634047</v>
      </c>
      <c r="H39" s="191" t="s">
        <v>201</v>
      </c>
      <c r="I39" s="193">
        <f>(I37+I38)/2</f>
        <v>31.581469793049333</v>
      </c>
      <c r="J39" s="191" t="s">
        <v>200</v>
      </c>
      <c r="K39" s="190">
        <f>I44-I43</f>
        <v>4.8575239160393657</v>
      </c>
    </row>
    <row r="40" spans="1:13" s="189" customFormat="1" ht="14.1" customHeight="1" x14ac:dyDescent="0.2">
      <c r="A40" s="191" t="s">
        <v>199</v>
      </c>
      <c r="B40" s="193">
        <f>(1-SQRT(B39^7/(B39^7+25^7)))/2</f>
        <v>1.6148348549993585E-4</v>
      </c>
      <c r="C40" s="191" t="s">
        <v>198</v>
      </c>
      <c r="D40" s="190">
        <f>2*SQRT(B43*B44)*SIN(RADIANS(D37/2))</f>
        <v>1.5844375087596814</v>
      </c>
      <c r="H40" s="191" t="s">
        <v>199</v>
      </c>
      <c r="I40" s="193">
        <f>(1-SQRT(I39^7/(I39^7+25^7)))/2</f>
        <v>4.2569338913178933E-2</v>
      </c>
      <c r="J40" s="191" t="s">
        <v>198</v>
      </c>
      <c r="K40" s="190">
        <f>2*SQRT(I43*I44)*SIN(RADIANS(K37/2))</f>
        <v>-0.58396598025571222</v>
      </c>
    </row>
    <row r="41" spans="1:13" s="189" customFormat="1" ht="14.1" customHeight="1" x14ac:dyDescent="0.2">
      <c r="A41" s="191" t="s">
        <v>197</v>
      </c>
      <c r="B41" s="193">
        <f>C27*(1+B40)</f>
        <v>2.2003552636680999</v>
      </c>
      <c r="C41" s="191" t="s">
        <v>196</v>
      </c>
      <c r="D41" s="190">
        <f>1+(0.015*(B36-50)^2)/SQRT(20+(B36-50)^2)</f>
        <v>1.5891914546166896</v>
      </c>
      <c r="H41" s="191" t="s">
        <v>197</v>
      </c>
      <c r="I41" s="193">
        <f>J27*(1+I40)</f>
        <v>-0.40660204217613982</v>
      </c>
      <c r="J41" s="191" t="s">
        <v>196</v>
      </c>
      <c r="K41" s="190">
        <f>1+(0.015*(I36-50)^2)/SQRT(20+(I36-50)^2)</f>
        <v>1.6312095801109137</v>
      </c>
    </row>
    <row r="42" spans="1:13" s="189" customFormat="1" ht="14.1" customHeight="1" x14ac:dyDescent="0.2">
      <c r="A42" s="191" t="s">
        <v>195</v>
      </c>
      <c r="B42" s="193">
        <f>C28*(1+B40)</f>
        <v>0.63010173459586494</v>
      </c>
      <c r="C42" s="191" t="s">
        <v>194</v>
      </c>
      <c r="D42" s="190">
        <f>1+0.045*B45</f>
        <v>4.212254232964848</v>
      </c>
      <c r="H42" s="191" t="s">
        <v>195</v>
      </c>
      <c r="I42" s="193">
        <f>J28*(1+I40)</f>
        <v>0.15638540083697683</v>
      </c>
      <c r="J42" s="191" t="s">
        <v>194</v>
      </c>
      <c r="K42" s="190">
        <f>1+0.045*I45</f>
        <v>2.4211718914229938</v>
      </c>
    </row>
    <row r="43" spans="1:13" s="189" customFormat="1" ht="14.1" customHeight="1" x14ac:dyDescent="0.2">
      <c r="A43" s="191" t="s">
        <v>193</v>
      </c>
      <c r="B43" s="193">
        <f>SQRT(B41^2+D27^2)</f>
        <v>71.034087333380668</v>
      </c>
      <c r="C43" s="191" t="s">
        <v>192</v>
      </c>
      <c r="D43" s="190">
        <f>1+0.015*B45*D36</f>
        <v>1.653526763702867</v>
      </c>
      <c r="H43" s="191" t="s">
        <v>193</v>
      </c>
      <c r="I43" s="193">
        <f>SQRT(I41^2+K27^2)</f>
        <v>29.152835629157959</v>
      </c>
      <c r="J43" s="191" t="s">
        <v>192</v>
      </c>
      <c r="K43" s="190">
        <f>1+0.015*I45*K36</f>
        <v>1.2934692890316881</v>
      </c>
    </row>
    <row r="44" spans="1:13" s="189" customFormat="1" ht="14.1" customHeight="1" x14ac:dyDescent="0.2">
      <c r="A44" s="191" t="s">
        <v>191</v>
      </c>
      <c r="B44" s="193">
        <f>SQRT(B42^2+D28^2)</f>
        <v>71.732767465057009</v>
      </c>
      <c r="C44" s="191" t="s">
        <v>190</v>
      </c>
      <c r="D44" s="190">
        <f>30*EXP(-1*((B48-275)/25)^2)</f>
        <v>2.5197995547803807E-23</v>
      </c>
      <c r="H44" s="191" t="s">
        <v>191</v>
      </c>
      <c r="I44" s="193">
        <f>SQRT(I42^2+K28^2)</f>
        <v>34.010359545197325</v>
      </c>
      <c r="J44" s="191" t="s">
        <v>190</v>
      </c>
      <c r="K44" s="190">
        <f>30*EXP(-1*((I48-275)/25)^2)</f>
        <v>5.8072284413465867E-23</v>
      </c>
    </row>
    <row r="45" spans="1:13" s="189" customFormat="1" ht="14.1" customHeight="1" x14ac:dyDescent="0.2">
      <c r="A45" s="191" t="s">
        <v>189</v>
      </c>
      <c r="B45" s="193">
        <f>(B43+B44)/2</f>
        <v>71.383427399218846</v>
      </c>
      <c r="C45" s="191" t="s">
        <v>188</v>
      </c>
      <c r="D45" s="190">
        <f>2*SQRT(B45^7/(B45^7+25^7))</f>
        <v>1.9993540664346157</v>
      </c>
      <c r="H45" s="191" t="s">
        <v>189</v>
      </c>
      <c r="I45" s="193">
        <f>(I43+I44)/2</f>
        <v>31.58159758717764</v>
      </c>
      <c r="J45" s="191" t="s">
        <v>188</v>
      </c>
      <c r="K45" s="190">
        <f>2*SQRT(I45^7/(I45^7+25^7))</f>
        <v>1.8297268689957036</v>
      </c>
    </row>
    <row r="46" spans="1:13" s="189" customFormat="1" ht="14.1" customHeight="1" x14ac:dyDescent="0.2">
      <c r="A46" s="191" t="s">
        <v>187</v>
      </c>
      <c r="B46" s="193">
        <f>IF(DEGREES(ATAN2(B41,D27))&gt;=0,DEGREES(ATAN2(B41,D27)),DEGREES(ATAN2(B41,D27))+360)</f>
        <v>88.224919265205997</v>
      </c>
      <c r="C46" s="191" t="s">
        <v>186</v>
      </c>
      <c r="D46" s="190">
        <f>-SIN(2*RADIANS(D44))*D45</f>
        <v>-1.7585838012030086E-24</v>
      </c>
      <c r="H46" s="191" t="s">
        <v>187</v>
      </c>
      <c r="I46" s="193">
        <f>IF(DEGREES(ATAN2(I41,K27))&gt;=0,DEGREES(ATAN2(I41,K27)),DEGREES(ATAN2(I41,K27))+360)</f>
        <v>90.799144776815467</v>
      </c>
      <c r="J46" s="191" t="s">
        <v>186</v>
      </c>
      <c r="K46" s="190">
        <f>-SIN(2*RADIANS(K44))*K45</f>
        <v>-3.7090487305794458E-24</v>
      </c>
    </row>
    <row r="47" spans="1:13" s="189" customFormat="1" ht="14.1" customHeight="1" x14ac:dyDescent="0.2">
      <c r="A47" s="191" t="s">
        <v>185</v>
      </c>
      <c r="B47" s="193">
        <f>IF(DEGREES(ATAN2(B42,D28))&gt;=0,DEGREES(ATAN2(B42,D28)),DEGREES(ATAN2(B42,D28))+360)</f>
        <v>89.496706517598511</v>
      </c>
      <c r="C47" s="191" t="s">
        <v>184</v>
      </c>
      <c r="D47" s="190">
        <v>1</v>
      </c>
      <c r="H47" s="191" t="s">
        <v>185</v>
      </c>
      <c r="I47" s="193">
        <f>IF(DEGREES(ATAN2(I42,K28))&gt;=0,DEGREES(ATAN2(I42,K28)),DEGREES(ATAN2(I42,K28))+360)</f>
        <v>89.736543360901805</v>
      </c>
      <c r="J47" s="191" t="s">
        <v>184</v>
      </c>
      <c r="K47" s="190">
        <v>1</v>
      </c>
    </row>
    <row r="48" spans="1:13" s="189" customFormat="1" ht="14.1" customHeight="1" x14ac:dyDescent="0.2">
      <c r="A48" s="194" t="s">
        <v>183</v>
      </c>
      <c r="B48" s="193">
        <f>IF((B46-B47)&gt;180,(B46+B47+360)/2,(B46+B47)/2)</f>
        <v>88.860812891402247</v>
      </c>
      <c r="C48" s="191" t="s">
        <v>182</v>
      </c>
      <c r="D48" s="190">
        <v>1</v>
      </c>
      <c r="H48" s="194" t="s">
        <v>183</v>
      </c>
      <c r="I48" s="193">
        <f>IF((I46-I47)&gt;180,(I46+I47+360)/2,(I46+I47)/2)</f>
        <v>90.267844068858636</v>
      </c>
      <c r="J48" s="191" t="s">
        <v>182</v>
      </c>
      <c r="K48" s="190">
        <v>1</v>
      </c>
    </row>
    <row r="49" spans="1:13" s="189" customFormat="1" ht="14.1" customHeight="1" x14ac:dyDescent="0.2">
      <c r="A49" s="191"/>
      <c r="B49" s="192"/>
      <c r="C49" s="191" t="s">
        <v>181</v>
      </c>
      <c r="D49" s="190">
        <v>1</v>
      </c>
      <c r="H49" s="191"/>
      <c r="I49" s="192"/>
      <c r="J49" s="191" t="s">
        <v>181</v>
      </c>
      <c r="K49" s="190">
        <v>1</v>
      </c>
    </row>
    <row r="50" spans="1:13" ht="13.5" thickBot="1" x14ac:dyDescent="0.25"/>
    <row r="51" spans="1:13" ht="13.5" thickBot="1" x14ac:dyDescent="0.25">
      <c r="A51" s="151" t="s">
        <v>233</v>
      </c>
      <c r="B51" s="205">
        <f>Template!E56</f>
        <v>74.930000000000007</v>
      </c>
      <c r="C51" s="205">
        <f>Template!F56</f>
        <v>36.54</v>
      </c>
      <c r="D51" s="205">
        <f>Template!G56</f>
        <v>75.89</v>
      </c>
      <c r="E51" s="207">
        <f>SQRT(C51^2+D51^2)</f>
        <v>84.228639428640889</v>
      </c>
      <c r="F51" s="196">
        <f>IF(DEGREES(ATAN2(C51,D51))&lt;0,DEGREES(ATAN2(C51,D51))+360,IF(DEGREES(ATAN2(C51,D51))&gt;360,DEGREES(ATAN2(C51,D51))-360,DEGREES(ATAN2(C51,D51))))</f>
        <v>64.289819219804755</v>
      </c>
      <c r="G51" s="185"/>
      <c r="H51" s="151" t="s">
        <v>233</v>
      </c>
      <c r="I51" s="205">
        <f>Template!H56</f>
        <v>84.16</v>
      </c>
      <c r="J51" s="205">
        <f>Template!I56</f>
        <v>19.04</v>
      </c>
      <c r="K51" s="205">
        <f>Template!J56</f>
        <v>30.21</v>
      </c>
      <c r="L51" s="207">
        <f>SQRT(J51^2+K51^2)</f>
        <v>35.709462331432547</v>
      </c>
      <c r="M51" s="196">
        <f>IF(DEGREES(ATAN2(J51,K51))&lt;0,DEGREES(ATAN2(J51,K51))+360,IF(DEGREES(ATAN2(J51,K51))&gt;360,DEGREES(ATAN2(J51,K51))-360,DEGREES(ATAN2(J51,K51))))</f>
        <v>57.778619121327438</v>
      </c>
    </row>
    <row r="52" spans="1:13" ht="13.5" thickBot="1" x14ac:dyDescent="0.25">
      <c r="A52" s="151" t="s">
        <v>232</v>
      </c>
      <c r="B52" s="205">
        <f>Template!F75</f>
        <v>73.13</v>
      </c>
      <c r="C52" s="205">
        <f>Template!G75</f>
        <v>37.119999999999997</v>
      </c>
      <c r="D52" s="205">
        <f>Template!H75</f>
        <v>75.62</v>
      </c>
      <c r="E52" s="204">
        <f>SQRT(C52^2+D52^2)</f>
        <v>84.239413578205784</v>
      </c>
      <c r="F52" s="203">
        <f>IF(DEGREES(ATAN2(C52,D52))&lt;0,DEGREES(ATAN2(C52,D52))+360,IF(DEGREES(ATAN2(C52,D52))&gt;360,DEGREES(ATAN2(C52,D52))-360,DEGREES(ATAN2(C52,D52))))</f>
        <v>63.854712897479494</v>
      </c>
      <c r="G52" s="206"/>
      <c r="H52" s="151" t="s">
        <v>232</v>
      </c>
      <c r="I52" s="205">
        <f>Template!F76</f>
        <v>84.41</v>
      </c>
      <c r="J52" s="205">
        <f>Template!G76</f>
        <v>17.07</v>
      </c>
      <c r="K52" s="205">
        <f>Template!H76</f>
        <v>27.43</v>
      </c>
      <c r="L52" s="204">
        <f>SQRT(J52^2+K52^2)</f>
        <v>32.307735915721487</v>
      </c>
      <c r="M52" s="203">
        <f>IF(DEGREES(ATAN2(J52,K52))&lt;0,DEGREES(ATAN2(J52,K52))+360,IF(DEGREES(ATAN2(J52,K52))&gt;360,DEGREES(ATAN2(J52,K52))-360,DEGREES(ATAN2(J52,K52))))</f>
        <v>58.105527476942733</v>
      </c>
    </row>
    <row r="53" spans="1:13" ht="13.5" thickBot="1" x14ac:dyDescent="0.25"/>
    <row r="54" spans="1:13" x14ac:dyDescent="0.2">
      <c r="A54" s="197" t="s">
        <v>217</v>
      </c>
      <c r="B54" s="200">
        <f>B51-B52</f>
        <v>1.8000000000000114</v>
      </c>
      <c r="C54" s="197" t="s">
        <v>196</v>
      </c>
      <c r="D54" s="190">
        <f>IF(B51&lt;16,0.511,(0.040975*B51)/(1+(0.01765*B51)))</f>
        <v>1.321953748835583</v>
      </c>
      <c r="E54" s="197" t="s">
        <v>216</v>
      </c>
      <c r="F54" s="202">
        <v>2</v>
      </c>
      <c r="G54" s="185"/>
      <c r="H54" s="197" t="s">
        <v>217</v>
      </c>
      <c r="I54" s="200">
        <f>I51-I52</f>
        <v>-0.25</v>
      </c>
      <c r="J54" s="197" t="s">
        <v>196</v>
      </c>
      <c r="K54" s="190">
        <f>IF(I51&lt;16,0.511,(0.040975*I51)/(1+(0.01765*I51)))</f>
        <v>1.3874719162605655</v>
      </c>
      <c r="L54" s="197" t="s">
        <v>216</v>
      </c>
      <c r="M54" s="202">
        <v>2</v>
      </c>
    </row>
    <row r="55" spans="1:13" ht="13.5" thickBot="1" x14ac:dyDescent="0.25">
      <c r="A55" s="197" t="s">
        <v>215</v>
      </c>
      <c r="B55" s="200">
        <f>C51-C52</f>
        <v>-0.57999999999999829</v>
      </c>
      <c r="C55" s="197" t="s">
        <v>194</v>
      </c>
      <c r="D55" s="190">
        <f>0.0638*E51/(1+(0.0131*E51))+0.638</f>
        <v>3.1928157833328883</v>
      </c>
      <c r="E55" s="197" t="s">
        <v>214</v>
      </c>
      <c r="F55" s="201">
        <v>1</v>
      </c>
      <c r="G55" s="185"/>
      <c r="H55" s="197" t="s">
        <v>215</v>
      </c>
      <c r="I55" s="200">
        <f>J51-J52</f>
        <v>1.9699999999999989</v>
      </c>
      <c r="J55" s="197" t="s">
        <v>194</v>
      </c>
      <c r="K55" s="190">
        <f>0.0638*L51/(1+(0.0131*L51))+0.638</f>
        <v>2.1901686041773587</v>
      </c>
      <c r="L55" s="197" t="s">
        <v>214</v>
      </c>
      <c r="M55" s="201">
        <v>1</v>
      </c>
    </row>
    <row r="56" spans="1:13" ht="13.5" thickBot="1" x14ac:dyDescent="0.25">
      <c r="A56" s="197" t="s">
        <v>213</v>
      </c>
      <c r="B56" s="200">
        <f>D51-D52</f>
        <v>0.26999999999999602</v>
      </c>
      <c r="C56" s="197" t="s">
        <v>192</v>
      </c>
      <c r="D56" s="190">
        <f>D55*(D58*D57+1-D58)</f>
        <v>1.3556129003291908</v>
      </c>
      <c r="H56" s="197" t="s">
        <v>213</v>
      </c>
      <c r="I56" s="200">
        <f>K51-K52</f>
        <v>2.7800000000000011</v>
      </c>
      <c r="J56" s="197" t="s">
        <v>192</v>
      </c>
      <c r="K56" s="190">
        <f>K55*(K58*K57+1-K58)</f>
        <v>0.83172328315025768</v>
      </c>
    </row>
    <row r="57" spans="1:13" ht="14.1" customHeight="1" thickBot="1" x14ac:dyDescent="0.25">
      <c r="A57" s="197" t="s">
        <v>212</v>
      </c>
      <c r="B57" s="193">
        <f>E51-E52</f>
        <v>-1.0774149564895197E-2</v>
      </c>
      <c r="C57" s="197" t="s">
        <v>207</v>
      </c>
      <c r="D57" s="190">
        <f>IF(AND(F51&gt;=164,F51&lt;=345),0.56+ABS(0.2*(COS(RADIANS(F51+168)))),0.36+ABS(0.4*(COS(RADIANS(F51+35)))))</f>
        <v>0.42457138640061026</v>
      </c>
      <c r="E57" s="147" t="s">
        <v>211</v>
      </c>
      <c r="F57" s="198">
        <f>ROUND(SQRT((B54/(F54*D54))^2+(B57/(F55*D55))^2+(B58/D56)^2),2)</f>
        <v>0.83</v>
      </c>
      <c r="G57" s="199"/>
      <c r="H57" s="197" t="s">
        <v>212</v>
      </c>
      <c r="I57" s="193">
        <f>L51-L52</f>
        <v>3.4017264157110603</v>
      </c>
      <c r="J57" s="197" t="s">
        <v>207</v>
      </c>
      <c r="K57" s="190">
        <f>IF(AND(M51&gt;=164,M51&lt;=345),0.56+ABS(0.2*(COS(RADIANS(M51+168)))),0.36+ABS(0.4*(COS(RADIANS(M51+35)))))</f>
        <v>0.37939081807321351</v>
      </c>
      <c r="L57" s="147" t="s">
        <v>211</v>
      </c>
      <c r="M57" s="198">
        <f>ROUND(SQRT((I54/(M54*K54))^2+(I57/(M55*K55))^2+(I58/K56)^2),2)</f>
        <v>1.57</v>
      </c>
    </row>
    <row r="58" spans="1:13" ht="14.1" customHeight="1" x14ac:dyDescent="0.2">
      <c r="A58" s="197" t="s">
        <v>210</v>
      </c>
      <c r="B58" s="193">
        <f>SQRT(B55^2+B56^2-B57^2)</f>
        <v>0.63967485310988204</v>
      </c>
      <c r="C58" s="197" t="s">
        <v>209</v>
      </c>
      <c r="D58" s="190">
        <f>SQRT(E51^4/(E51^4+1900))</f>
        <v>0.99998112564289066</v>
      </c>
      <c r="H58" s="197" t="s">
        <v>210</v>
      </c>
      <c r="I58" s="193">
        <f>SQRT(I55^2+I56^2-I57^2)</f>
        <v>0.19379729784902558</v>
      </c>
      <c r="J58" s="197" t="s">
        <v>209</v>
      </c>
      <c r="K58" s="190">
        <f>SQRT(L51^4/(L51^4+1900))</f>
        <v>0.99941627275146505</v>
      </c>
    </row>
    <row r="59" spans="1:13" s="189" customFormat="1" ht="14.1" customHeight="1" thickBot="1" x14ac:dyDescent="0.25">
      <c r="A59" s="191"/>
      <c r="B59" s="192"/>
      <c r="C59" s="191"/>
      <c r="D59" s="192"/>
      <c r="H59" s="191"/>
      <c r="I59" s="192"/>
      <c r="J59" s="191"/>
      <c r="K59" s="192"/>
    </row>
    <row r="60" spans="1:13" s="189" customFormat="1" ht="14.1" customHeight="1" thickBot="1" x14ac:dyDescent="0.25">
      <c r="A60" s="191" t="s">
        <v>208</v>
      </c>
      <c r="B60" s="193">
        <f>(B51+B52)/2</f>
        <v>74.03</v>
      </c>
      <c r="C60" s="191" t="s">
        <v>207</v>
      </c>
      <c r="D60" s="196">
        <f>1-0.17*(COS(RADIANS(B72-30)))+0.24*COS(RADIANS(2*B72))+0.32*COS(RADIANS(3*B72+6))-0.2*COS(RADIANS(4*B72-63))</f>
        <v>0.60163439145991149</v>
      </c>
      <c r="E60" s="191" t="s">
        <v>206</v>
      </c>
      <c r="F60" s="195">
        <f>ROUND(SQRT((D62/(D71*D65))^2+(D63/(D72*D66))^2+(D64/(D73*D67))^2+D70*(D63/(D72*D66))*(D64/(D73*D67))),2)</f>
        <v>1.38</v>
      </c>
      <c r="H60" s="191" t="s">
        <v>208</v>
      </c>
      <c r="I60" s="193">
        <f>(I51+I52)/2</f>
        <v>84.284999999999997</v>
      </c>
      <c r="J60" s="191" t="s">
        <v>207</v>
      </c>
      <c r="K60" s="196">
        <f>1-0.17*(COS(RADIANS(I72-30)))+0.24*COS(RADIANS(2*I72))+0.32*COS(RADIANS(3*I72+6))-0.2*COS(RADIANS(4*I72-63))</f>
        <v>0.6236142051430632</v>
      </c>
      <c r="L60" s="191" t="s">
        <v>206</v>
      </c>
      <c r="M60" s="195">
        <f>ROUND(SQRT((K62/(K71*K65))^2+(K63/(K72*K66))^2+(K64/(K73*K67))^2+K70*(K63/(K72*K66))*(K64/(K73*K67))),2)</f>
        <v>1.37</v>
      </c>
    </row>
    <row r="61" spans="1:13" s="189" customFormat="1" ht="14.1" customHeight="1" x14ac:dyDescent="0.2">
      <c r="A61" s="191" t="s">
        <v>205</v>
      </c>
      <c r="B61" s="193">
        <f>SQRT(C51^2+D51^2)</f>
        <v>84.228639428640889</v>
      </c>
      <c r="C61" s="191" t="s">
        <v>204</v>
      </c>
      <c r="D61" s="190">
        <f>IF((B71-B70)&lt;=180,B71-B70,IF(AND(B71-B70&gt;180,B71&lt;=B70),B71-B70+360,B71-B70-360))</f>
        <v>-0.43511994798760156</v>
      </c>
      <c r="H61" s="191" t="s">
        <v>205</v>
      </c>
      <c r="I61" s="193">
        <f>SQRT(J51^2+K51^2)</f>
        <v>35.709462331432547</v>
      </c>
      <c r="J61" s="191" t="s">
        <v>204</v>
      </c>
      <c r="K61" s="190">
        <f>IF((I71-I70)&lt;=180,I71-I70,IF(AND(I71-I70&gt;180,I71&lt;=I70),I71-I70+360,I71-I70-360))</f>
        <v>0.33059668340395376</v>
      </c>
    </row>
    <row r="62" spans="1:13" s="189" customFormat="1" ht="14.1" customHeight="1" x14ac:dyDescent="0.2">
      <c r="A62" s="191" t="s">
        <v>203</v>
      </c>
      <c r="B62" s="193">
        <f>SQRT(C52^2+D52^2)</f>
        <v>84.239413578205784</v>
      </c>
      <c r="C62" s="191" t="s">
        <v>202</v>
      </c>
      <c r="D62" s="190">
        <f>B52-B51</f>
        <v>-1.8000000000000114</v>
      </c>
      <c r="H62" s="191" t="s">
        <v>203</v>
      </c>
      <c r="I62" s="193">
        <f>SQRT(J52^2+K52^2)</f>
        <v>32.307735915721487</v>
      </c>
      <c r="J62" s="191" t="s">
        <v>202</v>
      </c>
      <c r="K62" s="190">
        <f>I52-I51</f>
        <v>0.25</v>
      </c>
    </row>
    <row r="63" spans="1:13" s="189" customFormat="1" ht="14.1" customHeight="1" x14ac:dyDescent="0.2">
      <c r="A63" s="191" t="s">
        <v>201</v>
      </c>
      <c r="B63" s="193">
        <f>(B61+B62)/2</f>
        <v>84.234026503423337</v>
      </c>
      <c r="C63" s="191" t="s">
        <v>200</v>
      </c>
      <c r="D63" s="190">
        <f>B68-B67</f>
        <v>1.0799762104213073E-2</v>
      </c>
      <c r="H63" s="191" t="s">
        <v>201</v>
      </c>
      <c r="I63" s="193">
        <f>(I61+I62)/2</f>
        <v>34.008599123577014</v>
      </c>
      <c r="J63" s="191" t="s">
        <v>200</v>
      </c>
      <c r="K63" s="190">
        <f>I68-I67</f>
        <v>-3.4322441277400557</v>
      </c>
    </row>
    <row r="64" spans="1:13" s="189" customFormat="1" ht="14.1" customHeight="1" x14ac:dyDescent="0.2">
      <c r="A64" s="191" t="s">
        <v>199</v>
      </c>
      <c r="B64" s="193">
        <f>(1-SQRT(B63^7/(B63^7+25^7)))/2</f>
        <v>5.0703866312340473E-5</v>
      </c>
      <c r="C64" s="191" t="s">
        <v>198</v>
      </c>
      <c r="D64" s="190">
        <f>2*SQRT(B67*B68)*SIN(RADIANS(D61/2))</f>
        <v>-0.63970108610552945</v>
      </c>
      <c r="H64" s="191" t="s">
        <v>199</v>
      </c>
      <c r="I64" s="193">
        <f>(1-SQRT(I63^7/(I63^7+25^7)))/2</f>
        <v>2.6698520796969438E-2</v>
      </c>
      <c r="J64" s="191" t="s">
        <v>198</v>
      </c>
      <c r="K64" s="190">
        <f>2*SQRT(I67*I68)*SIN(RADIANS(K61/2))</f>
        <v>0.19747195895926448</v>
      </c>
    </row>
    <row r="65" spans="1:13" s="189" customFormat="1" ht="14.1" customHeight="1" x14ac:dyDescent="0.2">
      <c r="A65" s="191" t="s">
        <v>197</v>
      </c>
      <c r="B65" s="193">
        <f>C51*(1+B64)</f>
        <v>36.541852719275049</v>
      </c>
      <c r="C65" s="191" t="s">
        <v>196</v>
      </c>
      <c r="D65" s="190">
        <f>1+(0.015*(B60-50)^2)/SQRT(20+(B60-50)^2)</f>
        <v>1.3543654117086421</v>
      </c>
      <c r="H65" s="191" t="s">
        <v>197</v>
      </c>
      <c r="I65" s="193">
        <f>J51*(1+I64)</f>
        <v>19.548339835974296</v>
      </c>
      <c r="J65" s="191" t="s">
        <v>196</v>
      </c>
      <c r="K65" s="190">
        <f>1+(0.015*(I60-50)^2)/SQRT(20+(I60-50)^2)</f>
        <v>1.5099549591635055</v>
      </c>
    </row>
    <row r="66" spans="1:13" s="189" customFormat="1" ht="14.1" customHeight="1" x14ac:dyDescent="0.2">
      <c r="A66" s="191" t="s">
        <v>195</v>
      </c>
      <c r="B66" s="193">
        <f>C52*(1+B64)</f>
        <v>37.121882127517509</v>
      </c>
      <c r="C66" s="191" t="s">
        <v>194</v>
      </c>
      <c r="D66" s="190">
        <f>1+0.045*B69</f>
        <v>4.7905679382133055</v>
      </c>
      <c r="H66" s="191" t="s">
        <v>195</v>
      </c>
      <c r="I66" s="193">
        <f>J52*(1+I64)</f>
        <v>17.525743750004267</v>
      </c>
      <c r="J66" s="191" t="s">
        <v>194</v>
      </c>
      <c r="K66" s="190">
        <f>1+0.045*I69</f>
        <v>2.542012884556438</v>
      </c>
    </row>
    <row r="67" spans="1:13" s="189" customFormat="1" ht="14.1" customHeight="1" x14ac:dyDescent="0.2">
      <c r="A67" s="191" t="s">
        <v>193</v>
      </c>
      <c r="B67" s="193">
        <f>SQRT(B65^2+D51^2)</f>
        <v>84.229443190354701</v>
      </c>
      <c r="C67" s="191" t="s">
        <v>192</v>
      </c>
      <c r="D67" s="190">
        <f>1+0.015*B69*D60</f>
        <v>1.7601786782648046</v>
      </c>
      <c r="H67" s="191" t="s">
        <v>193</v>
      </c>
      <c r="I67" s="193">
        <f>SQRT(I65^2+K51^2)</f>
        <v>35.983075054013099</v>
      </c>
      <c r="J67" s="191" t="s">
        <v>192</v>
      </c>
      <c r="K67" s="190">
        <f>1+0.015*I69*K60</f>
        <v>1.3205403797743418</v>
      </c>
    </row>
    <row r="68" spans="1:13" s="189" customFormat="1" ht="14.1" customHeight="1" x14ac:dyDescent="0.2">
      <c r="A68" s="191" t="s">
        <v>191</v>
      </c>
      <c r="B68" s="193">
        <f>SQRT(B66^2+D52^2)</f>
        <v>84.240242952458914</v>
      </c>
      <c r="C68" s="191" t="s">
        <v>190</v>
      </c>
      <c r="D68" s="190">
        <f>30*EXP(-1*((B72-275)/25)^2)</f>
        <v>3.6443018851630387E-30</v>
      </c>
      <c r="H68" s="191" t="s">
        <v>191</v>
      </c>
      <c r="I68" s="193">
        <f>SQRT(I66^2+K52^2)</f>
        <v>32.550830926273044</v>
      </c>
      <c r="J68" s="191" t="s">
        <v>190</v>
      </c>
      <c r="K68" s="190">
        <f>30*EXP(-1*((I72-275)/25)^2)</f>
        <v>3.4081905095991929E-32</v>
      </c>
    </row>
    <row r="69" spans="1:13" s="189" customFormat="1" ht="14.1" customHeight="1" x14ac:dyDescent="0.2">
      <c r="A69" s="191" t="s">
        <v>189</v>
      </c>
      <c r="B69" s="193">
        <f>(B67+B68)/2</f>
        <v>84.2348430714068</v>
      </c>
      <c r="C69" s="191" t="s">
        <v>188</v>
      </c>
      <c r="D69" s="190">
        <f>2*SQRT(B69^7/(B69^7+25^7))</f>
        <v>1.9997971982948317</v>
      </c>
      <c r="H69" s="191" t="s">
        <v>189</v>
      </c>
      <c r="I69" s="193">
        <f>(I67+I68)/2</f>
        <v>34.266952990143068</v>
      </c>
      <c r="J69" s="191" t="s">
        <v>188</v>
      </c>
      <c r="K69" s="190">
        <f>2*SQRT(I69^7/(I69^7+25^7))</f>
        <v>1.8983032223243896</v>
      </c>
    </row>
    <row r="70" spans="1:13" s="189" customFormat="1" ht="14.1" customHeight="1" x14ac:dyDescent="0.2">
      <c r="A70" s="191" t="s">
        <v>187</v>
      </c>
      <c r="B70" s="193">
        <f>IF(DEGREES(ATAN2(B65,D51))&gt;=0,DEGREES(ATAN2(B65,D51)),DEGREES(ATAN2(B65,D51))+360)</f>
        <v>64.288683704244477</v>
      </c>
      <c r="C70" s="191" t="s">
        <v>186</v>
      </c>
      <c r="D70" s="190">
        <f>-SIN(2*RADIANS(D68))*D69</f>
        <v>-2.5439446889890322E-31</v>
      </c>
      <c r="H70" s="191" t="s">
        <v>187</v>
      </c>
      <c r="I70" s="193">
        <f>IF(DEGREES(ATAN2(I65,K51))&gt;=0,DEGREES(ATAN2(I65,K51)),DEGREES(ATAN2(I65,K51))+360)</f>
        <v>57.093830940713545</v>
      </c>
      <c r="J70" s="191" t="s">
        <v>186</v>
      </c>
      <c r="K70" s="190">
        <f>-SIN(2*RADIANS(K68))*K69</f>
        <v>-2.2583789178364559E-33</v>
      </c>
    </row>
    <row r="71" spans="1:13" s="189" customFormat="1" ht="14.1" customHeight="1" x14ac:dyDescent="0.2">
      <c r="A71" s="191" t="s">
        <v>185</v>
      </c>
      <c r="B71" s="193">
        <f>IF(DEGREES(ATAN2(B66,D52))&gt;=0,DEGREES(ATAN2(B66,D52)),DEGREES(ATAN2(B66,D52))+360)</f>
        <v>63.853563756256875</v>
      </c>
      <c r="C71" s="191" t="s">
        <v>184</v>
      </c>
      <c r="D71" s="190">
        <v>1</v>
      </c>
      <c r="H71" s="191" t="s">
        <v>185</v>
      </c>
      <c r="I71" s="193">
        <f>IF(DEGREES(ATAN2(I66,K52))&gt;=0,DEGREES(ATAN2(I66,K52)),DEGREES(ATAN2(I66,K52))+360)</f>
        <v>57.424427624117499</v>
      </c>
      <c r="J71" s="191" t="s">
        <v>184</v>
      </c>
      <c r="K71" s="190">
        <v>1</v>
      </c>
    </row>
    <row r="72" spans="1:13" s="189" customFormat="1" ht="14.1" customHeight="1" x14ac:dyDescent="0.2">
      <c r="A72" s="194" t="s">
        <v>183</v>
      </c>
      <c r="B72" s="193">
        <f>IF((B70-B71)&gt;180,(B70+B71+360)/2,(B70+B71)/2)</f>
        <v>64.071123730250676</v>
      </c>
      <c r="C72" s="191" t="s">
        <v>182</v>
      </c>
      <c r="D72" s="190">
        <v>1</v>
      </c>
      <c r="H72" s="194" t="s">
        <v>183</v>
      </c>
      <c r="I72" s="193">
        <f>IF((I70-I71)&gt;180,(I70+I71+360)/2,(I70+I71)/2)</f>
        <v>57.259129282415522</v>
      </c>
      <c r="J72" s="191" t="s">
        <v>182</v>
      </c>
      <c r="K72" s="190">
        <v>1</v>
      </c>
    </row>
    <row r="73" spans="1:13" s="189" customFormat="1" ht="14.1" customHeight="1" x14ac:dyDescent="0.2">
      <c r="A73" s="191"/>
      <c r="B73" s="192"/>
      <c r="C73" s="191" t="s">
        <v>181</v>
      </c>
      <c r="D73" s="190">
        <v>1</v>
      </c>
      <c r="H73" s="191"/>
      <c r="I73" s="192"/>
      <c r="J73" s="191" t="s">
        <v>181</v>
      </c>
      <c r="K73" s="190">
        <v>1</v>
      </c>
    </row>
    <row r="74" spans="1:13" ht="13.5" thickBot="1" x14ac:dyDescent="0.25"/>
    <row r="75" spans="1:13" ht="13.5" thickBot="1" x14ac:dyDescent="0.25">
      <c r="A75" s="151" t="s">
        <v>231</v>
      </c>
      <c r="B75" s="205" t="str">
        <f>Template!E57</f>
        <v/>
      </c>
      <c r="C75" s="205" t="str">
        <f>Template!F57</f>
        <v/>
      </c>
      <c r="D75" s="205" t="str">
        <f>Template!G57</f>
        <v/>
      </c>
      <c r="E75" s="207" t="e">
        <f>SQRT(C75^2+D75^2)</f>
        <v>#VALUE!</v>
      </c>
      <c r="F75" s="196" t="e">
        <f>IF(DEGREES(ATAN2(C75,D75))&lt;0,DEGREES(ATAN2(C75,D75))+360,IF(DEGREES(ATAN2(C75,D75))&gt;360,DEGREES(ATAN2(C75,D75))-360,DEGREES(ATAN2(C75,D75))))</f>
        <v>#VALUE!</v>
      </c>
      <c r="G75" s="185"/>
      <c r="H75" s="151" t="s">
        <v>231</v>
      </c>
      <c r="I75" s="205" t="str">
        <f>Template!H57</f>
        <v/>
      </c>
      <c r="J75" s="205" t="str">
        <f>Template!I57</f>
        <v/>
      </c>
      <c r="K75" s="205" t="str">
        <f>Template!J57</f>
        <v/>
      </c>
      <c r="L75" s="207" t="e">
        <f>SQRT(J75^2+K75^2)</f>
        <v>#VALUE!</v>
      </c>
      <c r="M75" s="196" t="e">
        <f>IF(DEGREES(ATAN2(J75,K75))&lt;0,DEGREES(ATAN2(J75,K75))+360,IF(DEGREES(ATAN2(J75,K75))&gt;360,DEGREES(ATAN2(J75,K75))-360,DEGREES(ATAN2(J75,K75))))</f>
        <v>#VALUE!</v>
      </c>
    </row>
    <row r="76" spans="1:13" ht="13.5" thickBot="1" x14ac:dyDescent="0.25">
      <c r="A76" s="151" t="s">
        <v>230</v>
      </c>
      <c r="B76" s="205">
        <f>Template!F77</f>
        <v>0</v>
      </c>
      <c r="C76" s="205">
        <f>Template!G77</f>
        <v>0</v>
      </c>
      <c r="D76" s="205">
        <f>Template!H77</f>
        <v>0</v>
      </c>
      <c r="E76" s="204">
        <f>SQRT(C76^2+D76^2)</f>
        <v>0</v>
      </c>
      <c r="F76" s="203" t="e">
        <f>IF(DEGREES(ATAN2(C76,D76))&lt;0,DEGREES(ATAN2(C76,D76))+360,IF(DEGREES(ATAN2(C76,D76))&gt;360,DEGREES(ATAN2(C76,D76))-360,DEGREES(ATAN2(C76,D76))))</f>
        <v>#DIV/0!</v>
      </c>
      <c r="G76" s="206"/>
      <c r="H76" s="151" t="s">
        <v>230</v>
      </c>
      <c r="I76" s="205">
        <f>Template!F78</f>
        <v>0</v>
      </c>
      <c r="J76" s="205">
        <f>Template!G78</f>
        <v>0</v>
      </c>
      <c r="K76" s="205">
        <f>Template!H78</f>
        <v>0</v>
      </c>
      <c r="L76" s="204">
        <f>SQRT(J76^2+K76^2)</f>
        <v>0</v>
      </c>
      <c r="M76" s="203" t="e">
        <f>IF(DEGREES(ATAN2(J76,K76))&lt;0,DEGREES(ATAN2(J76,K76))+360,IF(DEGREES(ATAN2(J76,K76))&gt;360,DEGREES(ATAN2(J76,K76))-360,DEGREES(ATAN2(J76,K76))))</f>
        <v>#DIV/0!</v>
      </c>
    </row>
    <row r="77" spans="1:13" ht="13.5" thickBot="1" x14ac:dyDescent="0.25"/>
    <row r="78" spans="1:13" x14ac:dyDescent="0.2">
      <c r="A78" s="197" t="s">
        <v>217</v>
      </c>
      <c r="B78" s="200" t="e">
        <f>B75-B76</f>
        <v>#VALUE!</v>
      </c>
      <c r="C78" s="197" t="s">
        <v>196</v>
      </c>
      <c r="D78" s="190" t="e">
        <f>IF(B75&lt;16,0.511,(0.040975*B75)/(1+(0.01765*B75)))</f>
        <v>#VALUE!</v>
      </c>
      <c r="E78" s="197" t="s">
        <v>216</v>
      </c>
      <c r="F78" s="202">
        <v>2</v>
      </c>
      <c r="G78" s="185"/>
      <c r="H78" s="197" t="s">
        <v>217</v>
      </c>
      <c r="I78" s="200" t="e">
        <f>I75-I76</f>
        <v>#VALUE!</v>
      </c>
      <c r="J78" s="197" t="s">
        <v>196</v>
      </c>
      <c r="K78" s="190" t="e">
        <f>IF(I75&lt;16,0.511,(0.040975*I75)/(1+(0.01765*I75)))</f>
        <v>#VALUE!</v>
      </c>
      <c r="L78" s="197" t="s">
        <v>216</v>
      </c>
      <c r="M78" s="202">
        <v>2</v>
      </c>
    </row>
    <row r="79" spans="1:13" ht="13.5" thickBot="1" x14ac:dyDescent="0.25">
      <c r="A79" s="197" t="s">
        <v>215</v>
      </c>
      <c r="B79" s="200" t="e">
        <f>C75-C76</f>
        <v>#VALUE!</v>
      </c>
      <c r="C79" s="197" t="s">
        <v>194</v>
      </c>
      <c r="D79" s="190" t="e">
        <f>0.0638*E75/(1+(0.0131*E75))+0.638</f>
        <v>#VALUE!</v>
      </c>
      <c r="E79" s="197" t="s">
        <v>214</v>
      </c>
      <c r="F79" s="201">
        <v>1</v>
      </c>
      <c r="G79" s="185"/>
      <c r="H79" s="197" t="s">
        <v>215</v>
      </c>
      <c r="I79" s="200" t="e">
        <f>J75-J76</f>
        <v>#VALUE!</v>
      </c>
      <c r="J79" s="197" t="s">
        <v>194</v>
      </c>
      <c r="K79" s="190" t="e">
        <f>0.0638*L75/(1+(0.0131*L75))+0.638</f>
        <v>#VALUE!</v>
      </c>
      <c r="L79" s="197" t="s">
        <v>214</v>
      </c>
      <c r="M79" s="201">
        <v>1</v>
      </c>
    </row>
    <row r="80" spans="1:13" ht="13.5" thickBot="1" x14ac:dyDescent="0.25">
      <c r="A80" s="197" t="s">
        <v>213</v>
      </c>
      <c r="B80" s="200" t="e">
        <f>D75-D76</f>
        <v>#VALUE!</v>
      </c>
      <c r="C80" s="197" t="s">
        <v>192</v>
      </c>
      <c r="D80" s="190" t="e">
        <f>D79*(D82*D81+1-D82)</f>
        <v>#VALUE!</v>
      </c>
      <c r="H80" s="197" t="s">
        <v>213</v>
      </c>
      <c r="I80" s="200" t="e">
        <f>K75-K76</f>
        <v>#VALUE!</v>
      </c>
      <c r="J80" s="197" t="s">
        <v>192</v>
      </c>
      <c r="K80" s="190" t="e">
        <f>K79*(K82*K81+1-K82)</f>
        <v>#VALUE!</v>
      </c>
    </row>
    <row r="81" spans="1:13" ht="14.1" customHeight="1" thickBot="1" x14ac:dyDescent="0.25">
      <c r="A81" s="197" t="s">
        <v>212</v>
      </c>
      <c r="B81" s="193" t="e">
        <f>E75-E76</f>
        <v>#VALUE!</v>
      </c>
      <c r="C81" s="197" t="s">
        <v>207</v>
      </c>
      <c r="D81" s="190" t="e">
        <f>IF(AND(F75&gt;=164,F75&lt;=345),0.56+ABS(0.2*(COS(RADIANS(F75+168)))),0.36+ABS(0.4*(COS(RADIANS(F75+35)))))</f>
        <v>#VALUE!</v>
      </c>
      <c r="E81" s="147" t="s">
        <v>211</v>
      </c>
      <c r="F81" s="198" t="e">
        <f>ROUND(SQRT((B78/(F78*D78))^2+(B81/(F79*D79))^2+(B82/D80)^2),2)</f>
        <v>#VALUE!</v>
      </c>
      <c r="G81" s="199"/>
      <c r="H81" s="197" t="s">
        <v>212</v>
      </c>
      <c r="I81" s="193" t="e">
        <f>L75-L76</f>
        <v>#VALUE!</v>
      </c>
      <c r="J81" s="197" t="s">
        <v>207</v>
      </c>
      <c r="K81" s="190" t="e">
        <f>IF(AND(M75&gt;=164,M75&lt;=345),0.56+ABS(0.2*(COS(RADIANS(M75+168)))),0.36+ABS(0.4*(COS(RADIANS(M75+35)))))</f>
        <v>#VALUE!</v>
      </c>
      <c r="L81" s="147" t="s">
        <v>211</v>
      </c>
      <c r="M81" s="198" t="e">
        <f>ROUND(SQRT((I78/(M78*K78))^2+(I81/(M79*K79))^2+(I82/K80)^2),2)</f>
        <v>#VALUE!</v>
      </c>
    </row>
    <row r="82" spans="1:13" ht="14.1" customHeight="1" x14ac:dyDescent="0.2">
      <c r="A82" s="197" t="s">
        <v>210</v>
      </c>
      <c r="B82" s="193" t="e">
        <f>SQRT(B79^2+B80^2-B81^2)</f>
        <v>#VALUE!</v>
      </c>
      <c r="C82" s="197" t="s">
        <v>209</v>
      </c>
      <c r="D82" s="190" t="e">
        <f>SQRT(E75^4/(E75^4+1900))</f>
        <v>#VALUE!</v>
      </c>
      <c r="H82" s="197" t="s">
        <v>210</v>
      </c>
      <c r="I82" s="193" t="e">
        <f>SQRT(I79^2+I80^2-I81^2)</f>
        <v>#VALUE!</v>
      </c>
      <c r="J82" s="197" t="s">
        <v>209</v>
      </c>
      <c r="K82" s="190" t="e">
        <f>SQRT(L75^4/(L75^4+1900))</f>
        <v>#VALUE!</v>
      </c>
    </row>
    <row r="83" spans="1:13" s="189" customFormat="1" ht="14.1" customHeight="1" thickBot="1" x14ac:dyDescent="0.25">
      <c r="A83" s="191"/>
      <c r="B83" s="192"/>
      <c r="C83" s="191"/>
      <c r="D83" s="192"/>
      <c r="H83" s="191"/>
      <c r="I83" s="192"/>
      <c r="J83" s="191"/>
      <c r="K83" s="192"/>
    </row>
    <row r="84" spans="1:13" s="189" customFormat="1" ht="14.1" customHeight="1" thickBot="1" x14ac:dyDescent="0.25">
      <c r="A84" s="191" t="s">
        <v>208</v>
      </c>
      <c r="B84" s="193" t="e">
        <f>(B75+B76)/2</f>
        <v>#VALUE!</v>
      </c>
      <c r="C84" s="191" t="s">
        <v>207</v>
      </c>
      <c r="D84" s="196" t="e">
        <f>1-0.17*(COS(RADIANS(B96-30)))+0.24*COS(RADIANS(2*B96))+0.32*COS(RADIANS(3*B96+6))-0.2*COS(RADIANS(4*B96-63))</f>
        <v>#VALUE!</v>
      </c>
      <c r="E84" s="191" t="s">
        <v>206</v>
      </c>
      <c r="F84" s="195" t="e">
        <f>ROUND(SQRT((D86/(D95*D89))^2+(D87/(D96*D90))^2+(D88/(D97*D91))^2+D94*(D87/(D96*D90))*(D88/(D97*D91))),2)</f>
        <v>#VALUE!</v>
      </c>
      <c r="H84" s="191" t="s">
        <v>208</v>
      </c>
      <c r="I84" s="193" t="e">
        <f>(I75+I76)/2</f>
        <v>#VALUE!</v>
      </c>
      <c r="J84" s="191" t="s">
        <v>207</v>
      </c>
      <c r="K84" s="196" t="e">
        <f>1-0.17*(COS(RADIANS(I96-30)))+0.24*COS(RADIANS(2*I96))+0.32*COS(RADIANS(3*I96+6))-0.2*COS(RADIANS(4*I96-63))</f>
        <v>#VALUE!</v>
      </c>
      <c r="L84" s="191" t="s">
        <v>206</v>
      </c>
      <c r="M84" s="195" t="e">
        <f>ROUND(SQRT((K86/(K95*K89))^2+(K87/(K96*K90))^2+(K88/(K97*K91))^2+K94*(K87/(K96*K90))*(K88/(K97*K91))),2)</f>
        <v>#VALUE!</v>
      </c>
    </row>
    <row r="85" spans="1:13" s="189" customFormat="1" ht="14.1" customHeight="1" x14ac:dyDescent="0.2">
      <c r="A85" s="191" t="s">
        <v>205</v>
      </c>
      <c r="B85" s="193" t="e">
        <f>SQRT(C75^2+D75^2)</f>
        <v>#VALUE!</v>
      </c>
      <c r="C85" s="191" t="s">
        <v>204</v>
      </c>
      <c r="D85" s="190" t="e">
        <f>IF((B95-B94)&lt;=180,B95-B94,IF(AND(B95-B94&gt;180,B95&lt;=B94),B95-B94+360,B95-B94-360))</f>
        <v>#VALUE!</v>
      </c>
      <c r="H85" s="191" t="s">
        <v>205</v>
      </c>
      <c r="I85" s="193" t="e">
        <f>SQRT(J75^2+K75^2)</f>
        <v>#VALUE!</v>
      </c>
      <c r="J85" s="191" t="s">
        <v>204</v>
      </c>
      <c r="K85" s="190" t="e">
        <f>IF((I95-I94)&lt;=180,I95-I94,IF(AND(I95-I94&gt;180,I95&lt;=I94),I95-I94+360,I95-I94-360))</f>
        <v>#VALUE!</v>
      </c>
    </row>
    <row r="86" spans="1:13" s="189" customFormat="1" ht="14.1" customHeight="1" x14ac:dyDescent="0.2">
      <c r="A86" s="191" t="s">
        <v>203</v>
      </c>
      <c r="B86" s="193">
        <f>SQRT(C76^2+D76^2)</f>
        <v>0</v>
      </c>
      <c r="C86" s="191" t="s">
        <v>202</v>
      </c>
      <c r="D86" s="190" t="e">
        <f>B76-B75</f>
        <v>#VALUE!</v>
      </c>
      <c r="H86" s="191" t="s">
        <v>203</v>
      </c>
      <c r="I86" s="193">
        <f>SQRT(J76^2+K76^2)</f>
        <v>0</v>
      </c>
      <c r="J86" s="191" t="s">
        <v>202</v>
      </c>
      <c r="K86" s="190" t="e">
        <f>I76-I75</f>
        <v>#VALUE!</v>
      </c>
    </row>
    <row r="87" spans="1:13" s="189" customFormat="1" ht="14.1" customHeight="1" x14ac:dyDescent="0.2">
      <c r="A87" s="191" t="s">
        <v>201</v>
      </c>
      <c r="B87" s="193" t="e">
        <f>(B85+B86)/2</f>
        <v>#VALUE!</v>
      </c>
      <c r="C87" s="191" t="s">
        <v>200</v>
      </c>
      <c r="D87" s="190" t="e">
        <f>B92-B91</f>
        <v>#VALUE!</v>
      </c>
      <c r="H87" s="191" t="s">
        <v>201</v>
      </c>
      <c r="I87" s="193" t="e">
        <f>(I85+I86)/2</f>
        <v>#VALUE!</v>
      </c>
      <c r="J87" s="191" t="s">
        <v>200</v>
      </c>
      <c r="K87" s="190" t="e">
        <f>I92-I91</f>
        <v>#VALUE!</v>
      </c>
    </row>
    <row r="88" spans="1:13" s="189" customFormat="1" ht="14.1" customHeight="1" x14ac:dyDescent="0.2">
      <c r="A88" s="191" t="s">
        <v>199</v>
      </c>
      <c r="B88" s="193" t="e">
        <f>(1-SQRT(B87^7/(B87^7+25^7)))/2</f>
        <v>#VALUE!</v>
      </c>
      <c r="C88" s="191" t="s">
        <v>198</v>
      </c>
      <c r="D88" s="190" t="e">
        <f>2*SQRT(B91*B92)*SIN(RADIANS(D85/2))</f>
        <v>#VALUE!</v>
      </c>
      <c r="H88" s="191" t="s">
        <v>199</v>
      </c>
      <c r="I88" s="193" t="e">
        <f>(1-SQRT(I87^7/(I87^7+25^7)))/2</f>
        <v>#VALUE!</v>
      </c>
      <c r="J88" s="191" t="s">
        <v>198</v>
      </c>
      <c r="K88" s="190" t="e">
        <f>2*SQRT(I91*I92)*SIN(RADIANS(K85/2))</f>
        <v>#VALUE!</v>
      </c>
    </row>
    <row r="89" spans="1:13" s="189" customFormat="1" ht="14.1" customHeight="1" x14ac:dyDescent="0.2">
      <c r="A89" s="191" t="s">
        <v>197</v>
      </c>
      <c r="B89" s="193" t="e">
        <f>C75*(1+B88)</f>
        <v>#VALUE!</v>
      </c>
      <c r="C89" s="191" t="s">
        <v>196</v>
      </c>
      <c r="D89" s="190" t="e">
        <f>1+(0.015*(B84-50)^2)/SQRT(20+(B84-50)^2)</f>
        <v>#VALUE!</v>
      </c>
      <c r="H89" s="191" t="s">
        <v>197</v>
      </c>
      <c r="I89" s="193" t="e">
        <f>J75*(1+I88)</f>
        <v>#VALUE!</v>
      </c>
      <c r="J89" s="191" t="s">
        <v>196</v>
      </c>
      <c r="K89" s="190" t="e">
        <f>1+(0.015*(I84-50)^2)/SQRT(20+(I84-50)^2)</f>
        <v>#VALUE!</v>
      </c>
    </row>
    <row r="90" spans="1:13" s="189" customFormat="1" ht="14.1" customHeight="1" x14ac:dyDescent="0.2">
      <c r="A90" s="191" t="s">
        <v>195</v>
      </c>
      <c r="B90" s="193" t="e">
        <f>C76*(1+B88)</f>
        <v>#VALUE!</v>
      </c>
      <c r="C90" s="191" t="s">
        <v>194</v>
      </c>
      <c r="D90" s="190" t="e">
        <f>1+0.045*B93</f>
        <v>#VALUE!</v>
      </c>
      <c r="H90" s="191" t="s">
        <v>195</v>
      </c>
      <c r="I90" s="193" t="e">
        <f>J76*(1+I88)</f>
        <v>#VALUE!</v>
      </c>
      <c r="J90" s="191" t="s">
        <v>194</v>
      </c>
      <c r="K90" s="190" t="e">
        <f>1+0.045*I93</f>
        <v>#VALUE!</v>
      </c>
    </row>
    <row r="91" spans="1:13" s="189" customFormat="1" ht="14.1" customHeight="1" x14ac:dyDescent="0.2">
      <c r="A91" s="191" t="s">
        <v>193</v>
      </c>
      <c r="B91" s="193" t="e">
        <f>SQRT(B89^2+D75^2)</f>
        <v>#VALUE!</v>
      </c>
      <c r="C91" s="191" t="s">
        <v>192</v>
      </c>
      <c r="D91" s="190" t="e">
        <f>1+0.015*B93*D84</f>
        <v>#VALUE!</v>
      </c>
      <c r="H91" s="191" t="s">
        <v>193</v>
      </c>
      <c r="I91" s="193" t="e">
        <f>SQRT(I89^2+K75^2)</f>
        <v>#VALUE!</v>
      </c>
      <c r="J91" s="191" t="s">
        <v>192</v>
      </c>
      <c r="K91" s="190" t="e">
        <f>1+0.015*I93*K84</f>
        <v>#VALUE!</v>
      </c>
    </row>
    <row r="92" spans="1:13" s="189" customFormat="1" ht="14.1" customHeight="1" x14ac:dyDescent="0.2">
      <c r="A92" s="191" t="s">
        <v>191</v>
      </c>
      <c r="B92" s="193" t="e">
        <f>SQRT(B90^2+D76^2)</f>
        <v>#VALUE!</v>
      </c>
      <c r="C92" s="191" t="s">
        <v>190</v>
      </c>
      <c r="D92" s="190" t="e">
        <f>30*EXP(-1*((B96-275)/25)^2)</f>
        <v>#VALUE!</v>
      </c>
      <c r="H92" s="191" t="s">
        <v>191</v>
      </c>
      <c r="I92" s="193" t="e">
        <f>SQRT(I90^2+K76^2)</f>
        <v>#VALUE!</v>
      </c>
      <c r="J92" s="191" t="s">
        <v>190</v>
      </c>
      <c r="K92" s="190" t="e">
        <f>30*EXP(-1*((I96-275)/25)^2)</f>
        <v>#VALUE!</v>
      </c>
    </row>
    <row r="93" spans="1:13" s="189" customFormat="1" ht="14.1" customHeight="1" x14ac:dyDescent="0.2">
      <c r="A93" s="191" t="s">
        <v>189</v>
      </c>
      <c r="B93" s="193" t="e">
        <f>(B91+B92)/2</f>
        <v>#VALUE!</v>
      </c>
      <c r="C93" s="191" t="s">
        <v>188</v>
      </c>
      <c r="D93" s="190" t="e">
        <f>2*SQRT(B93^7/(B93^7+25^7))</f>
        <v>#VALUE!</v>
      </c>
      <c r="H93" s="191" t="s">
        <v>189</v>
      </c>
      <c r="I93" s="193" t="e">
        <f>(I91+I92)/2</f>
        <v>#VALUE!</v>
      </c>
      <c r="J93" s="191" t="s">
        <v>188</v>
      </c>
      <c r="K93" s="190" t="e">
        <f>2*SQRT(I93^7/(I93^7+25^7))</f>
        <v>#VALUE!</v>
      </c>
    </row>
    <row r="94" spans="1:13" s="189" customFormat="1" ht="14.1" customHeight="1" x14ac:dyDescent="0.2">
      <c r="A94" s="191" t="s">
        <v>187</v>
      </c>
      <c r="B94" s="193" t="e">
        <f>IF(DEGREES(ATAN2(B89,D75))&gt;=0,DEGREES(ATAN2(B89,D75)),DEGREES(ATAN2(B89,D75))+360)</f>
        <v>#VALUE!</v>
      </c>
      <c r="C94" s="191" t="s">
        <v>186</v>
      </c>
      <c r="D94" s="190" t="e">
        <f>-SIN(2*RADIANS(D92))*D93</f>
        <v>#VALUE!</v>
      </c>
      <c r="H94" s="191" t="s">
        <v>187</v>
      </c>
      <c r="I94" s="193" t="e">
        <f>IF(DEGREES(ATAN2(I89,K75))&gt;=0,DEGREES(ATAN2(I89,K75)),DEGREES(ATAN2(I89,K75))+360)</f>
        <v>#VALUE!</v>
      </c>
      <c r="J94" s="191" t="s">
        <v>186</v>
      </c>
      <c r="K94" s="190" t="e">
        <f>-SIN(2*RADIANS(K92))*K93</f>
        <v>#VALUE!</v>
      </c>
    </row>
    <row r="95" spans="1:13" s="189" customFormat="1" ht="14.1" customHeight="1" x14ac:dyDescent="0.2">
      <c r="A95" s="191" t="s">
        <v>185</v>
      </c>
      <c r="B95" s="193" t="e">
        <f>IF(DEGREES(ATAN2(B90,D76))&gt;=0,DEGREES(ATAN2(B90,D76)),DEGREES(ATAN2(B90,D76))+360)</f>
        <v>#VALUE!</v>
      </c>
      <c r="C95" s="191" t="s">
        <v>184</v>
      </c>
      <c r="D95" s="190">
        <v>1</v>
      </c>
      <c r="H95" s="191" t="s">
        <v>185</v>
      </c>
      <c r="I95" s="193" t="e">
        <f>IF(DEGREES(ATAN2(I90,K76))&gt;=0,DEGREES(ATAN2(I90,K76)),DEGREES(ATAN2(I90,K76))+360)</f>
        <v>#VALUE!</v>
      </c>
      <c r="J95" s="191" t="s">
        <v>184</v>
      </c>
      <c r="K95" s="190">
        <v>1</v>
      </c>
    </row>
    <row r="96" spans="1:13" s="189" customFormat="1" ht="14.1" customHeight="1" x14ac:dyDescent="0.2">
      <c r="A96" s="194" t="s">
        <v>183</v>
      </c>
      <c r="B96" s="193" t="e">
        <f>IF((B94-B95)&gt;180,(B94+B95+360)/2,(B94+B95)/2)</f>
        <v>#VALUE!</v>
      </c>
      <c r="C96" s="191" t="s">
        <v>182</v>
      </c>
      <c r="D96" s="190">
        <v>1</v>
      </c>
      <c r="H96" s="194" t="s">
        <v>183</v>
      </c>
      <c r="I96" s="193" t="e">
        <f>IF((I94-I95)&gt;180,(I94+I95+360)/2,(I94+I95)/2)</f>
        <v>#VALUE!</v>
      </c>
      <c r="J96" s="191" t="s">
        <v>182</v>
      </c>
      <c r="K96" s="190">
        <v>1</v>
      </c>
    </row>
    <row r="97" spans="1:13" s="189" customFormat="1" ht="14.1" customHeight="1" x14ac:dyDescent="0.2">
      <c r="A97" s="191"/>
      <c r="B97" s="192"/>
      <c r="C97" s="191" t="s">
        <v>181</v>
      </c>
      <c r="D97" s="190">
        <v>1</v>
      </c>
      <c r="H97" s="191"/>
      <c r="I97" s="192"/>
      <c r="J97" s="191" t="s">
        <v>181</v>
      </c>
      <c r="K97" s="190">
        <v>1</v>
      </c>
    </row>
    <row r="98" spans="1:13" ht="13.5" thickBot="1" x14ac:dyDescent="0.25"/>
    <row r="99" spans="1:13" ht="13.5" thickBot="1" x14ac:dyDescent="0.25">
      <c r="A99" s="151" t="s">
        <v>229</v>
      </c>
      <c r="B99" s="205" t="str">
        <f>Template!E58</f>
        <v/>
      </c>
      <c r="C99" s="205" t="str">
        <f>Template!F58</f>
        <v/>
      </c>
      <c r="D99" s="205" t="str">
        <f>Template!G58</f>
        <v/>
      </c>
      <c r="E99" s="207" t="e">
        <f>SQRT(C99^2+D99^2)</f>
        <v>#VALUE!</v>
      </c>
      <c r="F99" s="196" t="e">
        <f>IF(DEGREES(ATAN2(C99,D99))&lt;0,DEGREES(ATAN2(C99,D99))+360,IF(DEGREES(ATAN2(C99,D99))&gt;360,DEGREES(ATAN2(C99,D99))-360,DEGREES(ATAN2(C99,D99))))</f>
        <v>#VALUE!</v>
      </c>
      <c r="G99" s="185"/>
      <c r="H99" s="151" t="s">
        <v>229</v>
      </c>
      <c r="I99" s="205" t="str">
        <f>Template!H58</f>
        <v/>
      </c>
      <c r="J99" s="205" t="str">
        <f>Template!I58</f>
        <v/>
      </c>
      <c r="K99" s="205" t="str">
        <f>Template!J58</f>
        <v/>
      </c>
      <c r="L99" s="207" t="e">
        <f>SQRT(J99^2+K99^2)</f>
        <v>#VALUE!</v>
      </c>
      <c r="M99" s="196" t="e">
        <f>IF(DEGREES(ATAN2(J99,K99))&lt;0,DEGREES(ATAN2(J99,K99))+360,IF(DEGREES(ATAN2(J99,K99))&gt;360,DEGREES(ATAN2(J99,K99))-360,DEGREES(ATAN2(J99,K99))))</f>
        <v>#VALUE!</v>
      </c>
    </row>
    <row r="100" spans="1:13" ht="13.5" thickBot="1" x14ac:dyDescent="0.25">
      <c r="A100" s="151" t="s">
        <v>228</v>
      </c>
      <c r="B100" s="205">
        <f>Template!F79</f>
        <v>0</v>
      </c>
      <c r="C100" s="205">
        <f>Template!G79</f>
        <v>0</v>
      </c>
      <c r="D100" s="205">
        <f>Template!H79</f>
        <v>0</v>
      </c>
      <c r="E100" s="204">
        <f>SQRT(C100^2+D100^2)</f>
        <v>0</v>
      </c>
      <c r="F100" s="203" t="e">
        <f>IF(DEGREES(ATAN2(C100,D100))&lt;0,DEGREES(ATAN2(C100,D100))+360,IF(DEGREES(ATAN2(C100,D100))&gt;360,DEGREES(ATAN2(C100,D100))-360,DEGREES(ATAN2(C100,D100))))</f>
        <v>#DIV/0!</v>
      </c>
      <c r="G100" s="206"/>
      <c r="H100" s="151" t="s">
        <v>228</v>
      </c>
      <c r="I100" s="205">
        <f>Template!F80</f>
        <v>0</v>
      </c>
      <c r="J100" s="205">
        <f>Template!G80</f>
        <v>0</v>
      </c>
      <c r="K100" s="205">
        <f>Template!H80</f>
        <v>0</v>
      </c>
      <c r="L100" s="204">
        <f>SQRT(J100^2+K100^2)</f>
        <v>0</v>
      </c>
      <c r="M100" s="203" t="e">
        <f>IF(DEGREES(ATAN2(J100,K100))&lt;0,DEGREES(ATAN2(J100,K100))+360,IF(DEGREES(ATAN2(J100,K100))&gt;360,DEGREES(ATAN2(J100,K100))-360,DEGREES(ATAN2(J100,K100))))</f>
        <v>#DIV/0!</v>
      </c>
    </row>
    <row r="101" spans="1:13" ht="13.5" thickBot="1" x14ac:dyDescent="0.25"/>
    <row r="102" spans="1:13" x14ac:dyDescent="0.2">
      <c r="A102" s="197" t="s">
        <v>217</v>
      </c>
      <c r="B102" s="200" t="e">
        <f>B99-B100</f>
        <v>#VALUE!</v>
      </c>
      <c r="C102" s="197" t="s">
        <v>196</v>
      </c>
      <c r="D102" s="190" t="e">
        <f>IF(B99&lt;16,0.511,(0.040975*B99)/(1+(0.01765*B99)))</f>
        <v>#VALUE!</v>
      </c>
      <c r="E102" s="197" t="s">
        <v>216</v>
      </c>
      <c r="F102" s="202">
        <v>2</v>
      </c>
      <c r="G102" s="185"/>
      <c r="H102" s="197" t="s">
        <v>217</v>
      </c>
      <c r="I102" s="200" t="e">
        <f>I99-I100</f>
        <v>#VALUE!</v>
      </c>
      <c r="J102" s="197" t="s">
        <v>196</v>
      </c>
      <c r="K102" s="190" t="e">
        <f>IF(I99&lt;16,0.511,(0.040975*I99)/(1+(0.01765*I99)))</f>
        <v>#VALUE!</v>
      </c>
      <c r="L102" s="197" t="s">
        <v>216</v>
      </c>
      <c r="M102" s="202">
        <v>2</v>
      </c>
    </row>
    <row r="103" spans="1:13" ht="13.5" thickBot="1" x14ac:dyDescent="0.25">
      <c r="A103" s="197" t="s">
        <v>215</v>
      </c>
      <c r="B103" s="200" t="e">
        <f>C99-C100</f>
        <v>#VALUE!</v>
      </c>
      <c r="C103" s="197" t="s">
        <v>194</v>
      </c>
      <c r="D103" s="190" t="e">
        <f>0.0638*E99/(1+(0.0131*E99))+0.638</f>
        <v>#VALUE!</v>
      </c>
      <c r="E103" s="197" t="s">
        <v>214</v>
      </c>
      <c r="F103" s="201">
        <v>1</v>
      </c>
      <c r="G103" s="185"/>
      <c r="H103" s="197" t="s">
        <v>215</v>
      </c>
      <c r="I103" s="200" t="e">
        <f>J99-J100</f>
        <v>#VALUE!</v>
      </c>
      <c r="J103" s="197" t="s">
        <v>194</v>
      </c>
      <c r="K103" s="190" t="e">
        <f>0.0638*L99/(1+(0.0131*L99))+0.638</f>
        <v>#VALUE!</v>
      </c>
      <c r="L103" s="197" t="s">
        <v>214</v>
      </c>
      <c r="M103" s="201">
        <v>1</v>
      </c>
    </row>
    <row r="104" spans="1:13" ht="13.5" thickBot="1" x14ac:dyDescent="0.25">
      <c r="A104" s="197" t="s">
        <v>213</v>
      </c>
      <c r="B104" s="200" t="e">
        <f>D99-D100</f>
        <v>#VALUE!</v>
      </c>
      <c r="C104" s="197" t="s">
        <v>192</v>
      </c>
      <c r="D104" s="190" t="e">
        <f>D103*(D106*D105+1-D106)</f>
        <v>#VALUE!</v>
      </c>
      <c r="H104" s="197" t="s">
        <v>213</v>
      </c>
      <c r="I104" s="200" t="e">
        <f>K99-K100</f>
        <v>#VALUE!</v>
      </c>
      <c r="J104" s="197" t="s">
        <v>192</v>
      </c>
      <c r="K104" s="190" t="e">
        <f>K103*(K106*K105+1-K106)</f>
        <v>#VALUE!</v>
      </c>
    </row>
    <row r="105" spans="1:13" ht="14.1" customHeight="1" thickBot="1" x14ac:dyDescent="0.25">
      <c r="A105" s="197" t="s">
        <v>212</v>
      </c>
      <c r="B105" s="193" t="e">
        <f>E99-E100</f>
        <v>#VALUE!</v>
      </c>
      <c r="C105" s="197" t="s">
        <v>207</v>
      </c>
      <c r="D105" s="190" t="e">
        <f>IF(AND(F99&gt;=164,F99&lt;=345),0.56+ABS(0.2*(COS(RADIANS(F99+168)))),0.36+ABS(0.4*(COS(RADIANS(F99+35)))))</f>
        <v>#VALUE!</v>
      </c>
      <c r="E105" s="147" t="s">
        <v>211</v>
      </c>
      <c r="F105" s="198" t="e">
        <f>ROUND(SQRT((B102/(F102*D102))^2+(B105/(F103*D103))^2+(B106/D104)^2),2)</f>
        <v>#VALUE!</v>
      </c>
      <c r="G105" s="199"/>
      <c r="H105" s="197" t="s">
        <v>212</v>
      </c>
      <c r="I105" s="193" t="e">
        <f>L99-L100</f>
        <v>#VALUE!</v>
      </c>
      <c r="J105" s="197" t="s">
        <v>207</v>
      </c>
      <c r="K105" s="190" t="e">
        <f>IF(AND(M99&gt;=164,M99&lt;=345),0.56+ABS(0.2*(COS(RADIANS(M99+168)))),0.36+ABS(0.4*(COS(RADIANS(M99+35)))))</f>
        <v>#VALUE!</v>
      </c>
      <c r="L105" s="147" t="s">
        <v>211</v>
      </c>
      <c r="M105" s="198" t="e">
        <f>ROUND(SQRT((I102/(M102*K102))^2+(I105/(M103*K103))^2+(I106/K104)^2),2)</f>
        <v>#VALUE!</v>
      </c>
    </row>
    <row r="106" spans="1:13" ht="14.1" customHeight="1" x14ac:dyDescent="0.2">
      <c r="A106" s="197" t="s">
        <v>210</v>
      </c>
      <c r="B106" s="193" t="e">
        <f>SQRT(B103^2+B104^2-B105^2)</f>
        <v>#VALUE!</v>
      </c>
      <c r="C106" s="197" t="s">
        <v>209</v>
      </c>
      <c r="D106" s="190" t="e">
        <f>SQRT(E99^4/(E99^4+1900))</f>
        <v>#VALUE!</v>
      </c>
      <c r="H106" s="197" t="s">
        <v>210</v>
      </c>
      <c r="I106" s="193" t="e">
        <f>SQRT(I103^2+I104^2-I105^2)</f>
        <v>#VALUE!</v>
      </c>
      <c r="J106" s="197" t="s">
        <v>209</v>
      </c>
      <c r="K106" s="190" t="e">
        <f>SQRT(L99^4/(L99^4+1900))</f>
        <v>#VALUE!</v>
      </c>
    </row>
    <row r="107" spans="1:13" s="189" customFormat="1" ht="14.1" customHeight="1" thickBot="1" x14ac:dyDescent="0.25">
      <c r="A107" s="191"/>
      <c r="B107" s="192"/>
      <c r="C107" s="191"/>
      <c r="D107" s="192"/>
      <c r="H107" s="191"/>
      <c r="I107" s="192"/>
      <c r="J107" s="191"/>
      <c r="K107" s="192"/>
    </row>
    <row r="108" spans="1:13" s="189" customFormat="1" ht="14.1" customHeight="1" thickBot="1" x14ac:dyDescent="0.25">
      <c r="A108" s="191" t="s">
        <v>208</v>
      </c>
      <c r="B108" s="193" t="e">
        <f>(B99+B100)/2</f>
        <v>#VALUE!</v>
      </c>
      <c r="C108" s="191" t="s">
        <v>207</v>
      </c>
      <c r="D108" s="196" t="e">
        <f>1-0.17*(COS(RADIANS(B120-30)))+0.24*COS(RADIANS(2*B120))+0.32*COS(RADIANS(3*B120+6))-0.2*COS(RADIANS(4*B120-63))</f>
        <v>#VALUE!</v>
      </c>
      <c r="E108" s="191" t="s">
        <v>206</v>
      </c>
      <c r="F108" s="195" t="e">
        <f>ROUND(SQRT((D110/(D119*D113))^2+(D111/(D120*D114))^2+(D112/(D121*D115))^2+D118*(D111/(D120*D114))*(D112/(D121*D115))),2)</f>
        <v>#VALUE!</v>
      </c>
      <c r="H108" s="191" t="s">
        <v>208</v>
      </c>
      <c r="I108" s="193" t="e">
        <f>(I99+I100)/2</f>
        <v>#VALUE!</v>
      </c>
      <c r="J108" s="191" t="s">
        <v>207</v>
      </c>
      <c r="K108" s="196" t="e">
        <f>1-0.17*(COS(RADIANS(I120-30)))+0.24*COS(RADIANS(2*I120))+0.32*COS(RADIANS(3*I120+6))-0.2*COS(RADIANS(4*I120-63))</f>
        <v>#VALUE!</v>
      </c>
      <c r="L108" s="191" t="s">
        <v>206</v>
      </c>
      <c r="M108" s="195" t="e">
        <f>ROUND(SQRT((K110/(K119*K113))^2+(K111/(K120*K114))^2+(K112/(K121*K115))^2+K118*(K111/(K120*K114))*(K112/(K121*K115))),2)</f>
        <v>#VALUE!</v>
      </c>
    </row>
    <row r="109" spans="1:13" s="189" customFormat="1" ht="14.1" customHeight="1" x14ac:dyDescent="0.2">
      <c r="A109" s="191" t="s">
        <v>205</v>
      </c>
      <c r="B109" s="193" t="e">
        <f>SQRT(C99^2+D99^2)</f>
        <v>#VALUE!</v>
      </c>
      <c r="C109" s="191" t="s">
        <v>204</v>
      </c>
      <c r="D109" s="190" t="e">
        <f>IF((B119-B118)&lt;=180,B119-B118,IF(AND(B119-B118&gt;180,B119&lt;=B118),B119-B118+360,B119-B118-360))</f>
        <v>#VALUE!</v>
      </c>
      <c r="H109" s="191" t="s">
        <v>205</v>
      </c>
      <c r="I109" s="193" t="e">
        <f>SQRT(J99^2+K99^2)</f>
        <v>#VALUE!</v>
      </c>
      <c r="J109" s="191" t="s">
        <v>204</v>
      </c>
      <c r="K109" s="190" t="e">
        <f>IF((I119-I118)&lt;=180,I119-I118,IF(AND(I119-I118&gt;180,I119&lt;=I118),I119-I118+360,I119-I118-360))</f>
        <v>#VALUE!</v>
      </c>
    </row>
    <row r="110" spans="1:13" s="189" customFormat="1" ht="14.1" customHeight="1" x14ac:dyDescent="0.2">
      <c r="A110" s="191" t="s">
        <v>203</v>
      </c>
      <c r="B110" s="193">
        <f>SQRT(C100^2+D100^2)</f>
        <v>0</v>
      </c>
      <c r="C110" s="191" t="s">
        <v>202</v>
      </c>
      <c r="D110" s="190" t="e">
        <f>B100-B99</f>
        <v>#VALUE!</v>
      </c>
      <c r="H110" s="191" t="s">
        <v>203</v>
      </c>
      <c r="I110" s="193">
        <f>SQRT(J100^2+K100^2)</f>
        <v>0</v>
      </c>
      <c r="J110" s="191" t="s">
        <v>202</v>
      </c>
      <c r="K110" s="190" t="e">
        <f>I100-I99</f>
        <v>#VALUE!</v>
      </c>
    </row>
    <row r="111" spans="1:13" s="189" customFormat="1" ht="14.1" customHeight="1" x14ac:dyDescent="0.2">
      <c r="A111" s="191" t="s">
        <v>201</v>
      </c>
      <c r="B111" s="193" t="e">
        <f>(B109+B110)/2</f>
        <v>#VALUE!</v>
      </c>
      <c r="C111" s="191" t="s">
        <v>200</v>
      </c>
      <c r="D111" s="190" t="e">
        <f>B116-B115</f>
        <v>#VALUE!</v>
      </c>
      <c r="H111" s="191" t="s">
        <v>201</v>
      </c>
      <c r="I111" s="193" t="e">
        <f>(I109+I110)/2</f>
        <v>#VALUE!</v>
      </c>
      <c r="J111" s="191" t="s">
        <v>200</v>
      </c>
      <c r="K111" s="190" t="e">
        <f>I116-I115</f>
        <v>#VALUE!</v>
      </c>
    </row>
    <row r="112" spans="1:13" s="189" customFormat="1" ht="14.1" customHeight="1" x14ac:dyDescent="0.2">
      <c r="A112" s="191" t="s">
        <v>199</v>
      </c>
      <c r="B112" s="193" t="e">
        <f>(1-SQRT(B111^7/(B111^7+25^7)))/2</f>
        <v>#VALUE!</v>
      </c>
      <c r="C112" s="191" t="s">
        <v>198</v>
      </c>
      <c r="D112" s="190" t="e">
        <f>2*SQRT(B115*B116)*SIN(RADIANS(D109/2))</f>
        <v>#VALUE!</v>
      </c>
      <c r="H112" s="191" t="s">
        <v>199</v>
      </c>
      <c r="I112" s="193" t="e">
        <f>(1-SQRT(I111^7/(I111^7+25^7)))/2</f>
        <v>#VALUE!</v>
      </c>
      <c r="J112" s="191" t="s">
        <v>198</v>
      </c>
      <c r="K112" s="190" t="e">
        <f>2*SQRT(I115*I116)*SIN(RADIANS(K109/2))</f>
        <v>#VALUE!</v>
      </c>
    </row>
    <row r="113" spans="1:13" s="189" customFormat="1" ht="14.1" customHeight="1" x14ac:dyDescent="0.2">
      <c r="A113" s="191" t="s">
        <v>197</v>
      </c>
      <c r="B113" s="193" t="e">
        <f>C99*(1+B112)</f>
        <v>#VALUE!</v>
      </c>
      <c r="C113" s="191" t="s">
        <v>196</v>
      </c>
      <c r="D113" s="190" t="e">
        <f>1+(0.015*(B108-50)^2)/SQRT(20+(B108-50)^2)</f>
        <v>#VALUE!</v>
      </c>
      <c r="H113" s="191" t="s">
        <v>197</v>
      </c>
      <c r="I113" s="193" t="e">
        <f>J99*(1+I112)</f>
        <v>#VALUE!</v>
      </c>
      <c r="J113" s="191" t="s">
        <v>196</v>
      </c>
      <c r="K113" s="190" t="e">
        <f>1+(0.015*(I108-50)^2)/SQRT(20+(I108-50)^2)</f>
        <v>#VALUE!</v>
      </c>
    </row>
    <row r="114" spans="1:13" s="189" customFormat="1" ht="14.1" customHeight="1" x14ac:dyDescent="0.2">
      <c r="A114" s="191" t="s">
        <v>195</v>
      </c>
      <c r="B114" s="193" t="e">
        <f>C100*(1+B112)</f>
        <v>#VALUE!</v>
      </c>
      <c r="C114" s="191" t="s">
        <v>194</v>
      </c>
      <c r="D114" s="190" t="e">
        <f>1+0.045*B117</f>
        <v>#VALUE!</v>
      </c>
      <c r="H114" s="191" t="s">
        <v>195</v>
      </c>
      <c r="I114" s="193" t="e">
        <f>J100*(1+I112)</f>
        <v>#VALUE!</v>
      </c>
      <c r="J114" s="191" t="s">
        <v>194</v>
      </c>
      <c r="K114" s="190" t="e">
        <f>1+0.045*I117</f>
        <v>#VALUE!</v>
      </c>
    </row>
    <row r="115" spans="1:13" s="189" customFormat="1" ht="14.1" customHeight="1" x14ac:dyDescent="0.2">
      <c r="A115" s="191" t="s">
        <v>193</v>
      </c>
      <c r="B115" s="193" t="e">
        <f>SQRT(B113^2+D99^2)</f>
        <v>#VALUE!</v>
      </c>
      <c r="C115" s="191" t="s">
        <v>192</v>
      </c>
      <c r="D115" s="190" t="e">
        <f>1+0.015*B117*D108</f>
        <v>#VALUE!</v>
      </c>
      <c r="H115" s="191" t="s">
        <v>193</v>
      </c>
      <c r="I115" s="193" t="e">
        <f>SQRT(I113^2+K99^2)</f>
        <v>#VALUE!</v>
      </c>
      <c r="J115" s="191" t="s">
        <v>192</v>
      </c>
      <c r="K115" s="190" t="e">
        <f>1+0.015*I117*K108</f>
        <v>#VALUE!</v>
      </c>
    </row>
    <row r="116" spans="1:13" s="189" customFormat="1" ht="14.1" customHeight="1" x14ac:dyDescent="0.2">
      <c r="A116" s="191" t="s">
        <v>191</v>
      </c>
      <c r="B116" s="193" t="e">
        <f>SQRT(B114^2+D100^2)</f>
        <v>#VALUE!</v>
      </c>
      <c r="C116" s="191" t="s">
        <v>190</v>
      </c>
      <c r="D116" s="190" t="e">
        <f>30*EXP(-1*((B120-275)/25)^2)</f>
        <v>#VALUE!</v>
      </c>
      <c r="H116" s="191" t="s">
        <v>191</v>
      </c>
      <c r="I116" s="193" t="e">
        <f>SQRT(I114^2+K100^2)</f>
        <v>#VALUE!</v>
      </c>
      <c r="J116" s="191" t="s">
        <v>190</v>
      </c>
      <c r="K116" s="190" t="e">
        <f>30*EXP(-1*((I120-275)/25)^2)</f>
        <v>#VALUE!</v>
      </c>
    </row>
    <row r="117" spans="1:13" s="189" customFormat="1" ht="14.1" customHeight="1" x14ac:dyDescent="0.2">
      <c r="A117" s="191" t="s">
        <v>189</v>
      </c>
      <c r="B117" s="193" t="e">
        <f>(B115+B116)/2</f>
        <v>#VALUE!</v>
      </c>
      <c r="C117" s="191" t="s">
        <v>188</v>
      </c>
      <c r="D117" s="190" t="e">
        <f>2*SQRT(B117^7/(B117^7+25^7))</f>
        <v>#VALUE!</v>
      </c>
      <c r="H117" s="191" t="s">
        <v>189</v>
      </c>
      <c r="I117" s="193" t="e">
        <f>(I115+I116)/2</f>
        <v>#VALUE!</v>
      </c>
      <c r="J117" s="191" t="s">
        <v>188</v>
      </c>
      <c r="K117" s="190" t="e">
        <f>2*SQRT(I117^7/(I117^7+25^7))</f>
        <v>#VALUE!</v>
      </c>
    </row>
    <row r="118" spans="1:13" s="189" customFormat="1" ht="14.1" customHeight="1" x14ac:dyDescent="0.2">
      <c r="A118" s="191" t="s">
        <v>187</v>
      </c>
      <c r="B118" s="193" t="e">
        <f>IF(DEGREES(ATAN2(B113,D99))&gt;=0,DEGREES(ATAN2(B113,D99)),DEGREES(ATAN2(B113,D99))+360)</f>
        <v>#VALUE!</v>
      </c>
      <c r="C118" s="191" t="s">
        <v>186</v>
      </c>
      <c r="D118" s="190" t="e">
        <f>-SIN(2*RADIANS(D116))*D117</f>
        <v>#VALUE!</v>
      </c>
      <c r="H118" s="191" t="s">
        <v>187</v>
      </c>
      <c r="I118" s="193" t="e">
        <f>IF(DEGREES(ATAN2(I113,K99))&gt;=0,DEGREES(ATAN2(I113,K99)),DEGREES(ATAN2(I113,K99))+360)</f>
        <v>#VALUE!</v>
      </c>
      <c r="J118" s="191" t="s">
        <v>186</v>
      </c>
      <c r="K118" s="190" t="e">
        <f>-SIN(2*RADIANS(K116))*K117</f>
        <v>#VALUE!</v>
      </c>
    </row>
    <row r="119" spans="1:13" s="189" customFormat="1" ht="14.1" customHeight="1" x14ac:dyDescent="0.2">
      <c r="A119" s="191" t="s">
        <v>185</v>
      </c>
      <c r="B119" s="193" t="e">
        <f>IF(DEGREES(ATAN2(B114,D100))&gt;=0,DEGREES(ATAN2(B114,D100)),DEGREES(ATAN2(B114,D100))+360)</f>
        <v>#VALUE!</v>
      </c>
      <c r="C119" s="191" t="s">
        <v>184</v>
      </c>
      <c r="D119" s="190">
        <v>1</v>
      </c>
      <c r="H119" s="191" t="s">
        <v>185</v>
      </c>
      <c r="I119" s="193" t="e">
        <f>IF(DEGREES(ATAN2(I114,K100))&gt;=0,DEGREES(ATAN2(I114,K100)),DEGREES(ATAN2(I114,K100))+360)</f>
        <v>#VALUE!</v>
      </c>
      <c r="J119" s="191" t="s">
        <v>184</v>
      </c>
      <c r="K119" s="190">
        <v>1</v>
      </c>
    </row>
    <row r="120" spans="1:13" s="189" customFormat="1" ht="14.1" customHeight="1" x14ac:dyDescent="0.2">
      <c r="A120" s="194" t="s">
        <v>183</v>
      </c>
      <c r="B120" s="193" t="e">
        <f>IF((B118-B119)&gt;180,(B118+B119+360)/2,(B118+B119)/2)</f>
        <v>#VALUE!</v>
      </c>
      <c r="C120" s="191" t="s">
        <v>182</v>
      </c>
      <c r="D120" s="190">
        <v>1</v>
      </c>
      <c r="H120" s="194" t="s">
        <v>183</v>
      </c>
      <c r="I120" s="193" t="e">
        <f>IF((I118-I119)&gt;180,(I118+I119+360)/2,(I118+I119)/2)</f>
        <v>#VALUE!</v>
      </c>
      <c r="J120" s="191" t="s">
        <v>182</v>
      </c>
      <c r="K120" s="190">
        <v>1</v>
      </c>
    </row>
    <row r="121" spans="1:13" s="189" customFormat="1" ht="14.1" customHeight="1" x14ac:dyDescent="0.2">
      <c r="A121" s="191"/>
      <c r="B121" s="192"/>
      <c r="C121" s="191" t="s">
        <v>181</v>
      </c>
      <c r="D121" s="190">
        <v>1</v>
      </c>
      <c r="H121" s="191"/>
      <c r="I121" s="192"/>
      <c r="J121" s="191" t="s">
        <v>181</v>
      </c>
      <c r="K121" s="190">
        <v>1</v>
      </c>
    </row>
    <row r="122" spans="1:13" ht="13.5" thickBot="1" x14ac:dyDescent="0.25"/>
    <row r="123" spans="1:13" ht="13.5" thickBot="1" x14ac:dyDescent="0.25">
      <c r="A123" s="151" t="s">
        <v>227</v>
      </c>
      <c r="B123" s="205" t="str">
        <f>Template!E59</f>
        <v/>
      </c>
      <c r="C123" s="205" t="str">
        <f>Template!F59</f>
        <v/>
      </c>
      <c r="D123" s="205" t="str">
        <f>Template!G59</f>
        <v/>
      </c>
      <c r="E123" s="207" t="e">
        <f>SQRT(C123^2+D123^2)</f>
        <v>#VALUE!</v>
      </c>
      <c r="F123" s="196" t="e">
        <f>IF(DEGREES(ATAN2(C123,D123))&lt;0,DEGREES(ATAN2(C123,D123))+360,IF(DEGREES(ATAN2(C123,D123))&gt;360,DEGREES(ATAN2(C123,D123))-360,DEGREES(ATAN2(C123,D123))))</f>
        <v>#VALUE!</v>
      </c>
      <c r="G123" s="185"/>
      <c r="H123" s="151" t="s">
        <v>227</v>
      </c>
      <c r="I123" s="205" t="str">
        <f>Template!H59</f>
        <v/>
      </c>
      <c r="J123" s="205" t="str">
        <f>Template!I59</f>
        <v/>
      </c>
      <c r="K123" s="205" t="str">
        <f>Template!J59</f>
        <v/>
      </c>
      <c r="L123" s="207" t="e">
        <f>SQRT(J123^2+K123^2)</f>
        <v>#VALUE!</v>
      </c>
      <c r="M123" s="196" t="e">
        <f>IF(DEGREES(ATAN2(J123,K123))&lt;0,DEGREES(ATAN2(J123,K123))+360,IF(DEGREES(ATAN2(J123,K123))&gt;360,DEGREES(ATAN2(J123,K123))-360,DEGREES(ATAN2(J123,K123))))</f>
        <v>#VALUE!</v>
      </c>
    </row>
    <row r="124" spans="1:13" ht="13.5" thickBot="1" x14ac:dyDescent="0.25">
      <c r="A124" s="151" t="s">
        <v>226</v>
      </c>
      <c r="B124" s="205">
        <f>Template!F81</f>
        <v>0</v>
      </c>
      <c r="C124" s="205">
        <f>Template!G81</f>
        <v>0</v>
      </c>
      <c r="D124" s="205">
        <f>Template!H81</f>
        <v>0</v>
      </c>
      <c r="E124" s="204">
        <f>SQRT(C124^2+D124^2)</f>
        <v>0</v>
      </c>
      <c r="F124" s="203" t="e">
        <f>IF(DEGREES(ATAN2(C124,D124))&lt;0,DEGREES(ATAN2(C124,D124))+360,IF(DEGREES(ATAN2(C124,D124))&gt;360,DEGREES(ATAN2(C124,D124))-360,DEGREES(ATAN2(C124,D124))))</f>
        <v>#DIV/0!</v>
      </c>
      <c r="G124" s="206"/>
      <c r="H124" s="151" t="s">
        <v>226</v>
      </c>
      <c r="I124" s="205">
        <f>Template!F82</f>
        <v>0</v>
      </c>
      <c r="J124" s="205">
        <f>Template!G82</f>
        <v>0</v>
      </c>
      <c r="K124" s="205">
        <f>Template!H82</f>
        <v>0</v>
      </c>
      <c r="L124" s="204">
        <f>SQRT(J124^2+K124^2)</f>
        <v>0</v>
      </c>
      <c r="M124" s="203" t="e">
        <f>IF(DEGREES(ATAN2(J124,K124))&lt;0,DEGREES(ATAN2(J124,K124))+360,IF(DEGREES(ATAN2(J124,K124))&gt;360,DEGREES(ATAN2(J124,K124))-360,DEGREES(ATAN2(J124,K124))))</f>
        <v>#DIV/0!</v>
      </c>
    </row>
    <row r="125" spans="1:13" ht="13.5" thickBot="1" x14ac:dyDescent="0.25"/>
    <row r="126" spans="1:13" x14ac:dyDescent="0.2">
      <c r="A126" s="197" t="s">
        <v>217</v>
      </c>
      <c r="B126" s="200" t="e">
        <f>B123-B124</f>
        <v>#VALUE!</v>
      </c>
      <c r="C126" s="197" t="s">
        <v>196</v>
      </c>
      <c r="D126" s="190" t="e">
        <f>IF(B123&lt;16,0.511,(0.040975*B123)/(1+(0.01765*B123)))</f>
        <v>#VALUE!</v>
      </c>
      <c r="E126" s="197" t="s">
        <v>216</v>
      </c>
      <c r="F126" s="202">
        <v>2</v>
      </c>
      <c r="G126" s="185"/>
      <c r="H126" s="197" t="s">
        <v>217</v>
      </c>
      <c r="I126" s="200" t="e">
        <f>I123-I124</f>
        <v>#VALUE!</v>
      </c>
      <c r="J126" s="197" t="s">
        <v>196</v>
      </c>
      <c r="K126" s="190" t="e">
        <f>IF(I123&lt;16,0.511,(0.040975*I123)/(1+(0.01765*I123)))</f>
        <v>#VALUE!</v>
      </c>
      <c r="L126" s="197" t="s">
        <v>216</v>
      </c>
      <c r="M126" s="202">
        <v>2</v>
      </c>
    </row>
    <row r="127" spans="1:13" ht="13.5" thickBot="1" x14ac:dyDescent="0.25">
      <c r="A127" s="197" t="s">
        <v>215</v>
      </c>
      <c r="B127" s="200" t="e">
        <f>C123-C124</f>
        <v>#VALUE!</v>
      </c>
      <c r="C127" s="197" t="s">
        <v>194</v>
      </c>
      <c r="D127" s="190" t="e">
        <f>0.0638*E123/(1+(0.0131*E123))+0.638</f>
        <v>#VALUE!</v>
      </c>
      <c r="E127" s="197" t="s">
        <v>214</v>
      </c>
      <c r="F127" s="201">
        <v>1</v>
      </c>
      <c r="G127" s="185"/>
      <c r="H127" s="197" t="s">
        <v>215</v>
      </c>
      <c r="I127" s="200" t="e">
        <f>J123-J124</f>
        <v>#VALUE!</v>
      </c>
      <c r="J127" s="197" t="s">
        <v>194</v>
      </c>
      <c r="K127" s="190" t="e">
        <f>0.0638*L123/(1+(0.0131*L123))+0.638</f>
        <v>#VALUE!</v>
      </c>
      <c r="L127" s="197" t="s">
        <v>214</v>
      </c>
      <c r="M127" s="201">
        <v>1</v>
      </c>
    </row>
    <row r="128" spans="1:13" ht="13.5" thickBot="1" x14ac:dyDescent="0.25">
      <c r="A128" s="197" t="s">
        <v>213</v>
      </c>
      <c r="B128" s="200" t="e">
        <f>D123-D124</f>
        <v>#VALUE!</v>
      </c>
      <c r="C128" s="197" t="s">
        <v>192</v>
      </c>
      <c r="D128" s="190" t="e">
        <f>D127*(D130*D129+1-D130)</f>
        <v>#VALUE!</v>
      </c>
      <c r="H128" s="197" t="s">
        <v>213</v>
      </c>
      <c r="I128" s="200" t="e">
        <f>K123-K124</f>
        <v>#VALUE!</v>
      </c>
      <c r="J128" s="197" t="s">
        <v>192</v>
      </c>
      <c r="K128" s="190" t="e">
        <f>K127*(K130*K129+1-K130)</f>
        <v>#VALUE!</v>
      </c>
    </row>
    <row r="129" spans="1:13" ht="14.1" customHeight="1" thickBot="1" x14ac:dyDescent="0.25">
      <c r="A129" s="197" t="s">
        <v>212</v>
      </c>
      <c r="B129" s="193" t="e">
        <f>E123-E124</f>
        <v>#VALUE!</v>
      </c>
      <c r="C129" s="197" t="s">
        <v>207</v>
      </c>
      <c r="D129" s="190" t="e">
        <f>IF(AND(F123&gt;=164,F123&lt;=345),0.56+ABS(0.2*(COS(RADIANS(F123+168)))),0.36+ABS(0.4*(COS(RADIANS(F123+35)))))</f>
        <v>#VALUE!</v>
      </c>
      <c r="E129" s="147" t="s">
        <v>211</v>
      </c>
      <c r="F129" s="198" t="e">
        <f>ROUND(SQRT((B126/(F126*D126))^2+(B129/(F127*D127))^2+(B130/D128)^2),2)</f>
        <v>#VALUE!</v>
      </c>
      <c r="G129" s="199"/>
      <c r="H129" s="197" t="s">
        <v>212</v>
      </c>
      <c r="I129" s="193" t="e">
        <f>L123-L124</f>
        <v>#VALUE!</v>
      </c>
      <c r="J129" s="197" t="s">
        <v>207</v>
      </c>
      <c r="K129" s="190" t="e">
        <f>IF(AND(M123&gt;=164,M123&lt;=345),0.56+ABS(0.2*(COS(RADIANS(M123+168)))),0.36+ABS(0.4*(COS(RADIANS(M123+35)))))</f>
        <v>#VALUE!</v>
      </c>
      <c r="L129" s="147" t="s">
        <v>211</v>
      </c>
      <c r="M129" s="198" t="e">
        <f>ROUND(SQRT((I126/(M126*K126))^2+(I129/(M127*K127))^2+(I130/K128)^2),2)</f>
        <v>#VALUE!</v>
      </c>
    </row>
    <row r="130" spans="1:13" ht="14.1" customHeight="1" x14ac:dyDescent="0.2">
      <c r="A130" s="197" t="s">
        <v>210</v>
      </c>
      <c r="B130" s="193" t="e">
        <f>SQRT(B127^2+B128^2-B129^2)</f>
        <v>#VALUE!</v>
      </c>
      <c r="C130" s="197" t="s">
        <v>209</v>
      </c>
      <c r="D130" s="190" t="e">
        <f>SQRT(E123^4/(E123^4+1900))</f>
        <v>#VALUE!</v>
      </c>
      <c r="H130" s="197" t="s">
        <v>210</v>
      </c>
      <c r="I130" s="193" t="e">
        <f>SQRT(I127^2+I128^2-I129^2)</f>
        <v>#VALUE!</v>
      </c>
      <c r="J130" s="197" t="s">
        <v>209</v>
      </c>
      <c r="K130" s="190" t="e">
        <f>SQRT(L123^4/(L123^4+1900))</f>
        <v>#VALUE!</v>
      </c>
    </row>
    <row r="131" spans="1:13" s="189" customFormat="1" ht="14.1" customHeight="1" thickBot="1" x14ac:dyDescent="0.25">
      <c r="A131" s="191"/>
      <c r="B131" s="192"/>
      <c r="C131" s="191"/>
      <c r="D131" s="192"/>
      <c r="H131" s="191"/>
      <c r="I131" s="192"/>
      <c r="J131" s="191"/>
      <c r="K131" s="192"/>
    </row>
    <row r="132" spans="1:13" s="189" customFormat="1" ht="14.1" customHeight="1" thickBot="1" x14ac:dyDescent="0.25">
      <c r="A132" s="191" t="s">
        <v>208</v>
      </c>
      <c r="B132" s="193" t="e">
        <f>(B123+B124)/2</f>
        <v>#VALUE!</v>
      </c>
      <c r="C132" s="191" t="s">
        <v>207</v>
      </c>
      <c r="D132" s="196" t="e">
        <f>1-0.17*(COS(RADIANS(B144-30)))+0.24*COS(RADIANS(2*B144))+0.32*COS(RADIANS(3*B144+6))-0.2*COS(RADIANS(4*B144-63))</f>
        <v>#VALUE!</v>
      </c>
      <c r="E132" s="191" t="s">
        <v>206</v>
      </c>
      <c r="F132" s="195" t="e">
        <f>ROUND(SQRT((D134/(D143*D137))^2+(D135/(D144*D138))^2+(D136/(D145*D139))^2+D142*(D135/(D144*D138))*(D136/(D145*D139))),2)</f>
        <v>#VALUE!</v>
      </c>
      <c r="H132" s="191" t="s">
        <v>208</v>
      </c>
      <c r="I132" s="193" t="e">
        <f>(I123+I124)/2</f>
        <v>#VALUE!</v>
      </c>
      <c r="J132" s="191" t="s">
        <v>207</v>
      </c>
      <c r="K132" s="196" t="e">
        <f>1-0.17*(COS(RADIANS(I144-30)))+0.24*COS(RADIANS(2*I144))+0.32*COS(RADIANS(3*I144+6))-0.2*COS(RADIANS(4*I144-63))</f>
        <v>#VALUE!</v>
      </c>
      <c r="L132" s="191" t="s">
        <v>206</v>
      </c>
      <c r="M132" s="195" t="e">
        <f>ROUND(SQRT((K134/(K143*K137))^2+(K135/(K144*K138))^2+(K136/(K145*K139))^2+K142*(K135/(K144*K138))*(K136/(K145*K139))),2)</f>
        <v>#VALUE!</v>
      </c>
    </row>
    <row r="133" spans="1:13" s="189" customFormat="1" ht="14.1" customHeight="1" x14ac:dyDescent="0.2">
      <c r="A133" s="191" t="s">
        <v>205</v>
      </c>
      <c r="B133" s="193" t="e">
        <f>SQRT(C123^2+D123^2)</f>
        <v>#VALUE!</v>
      </c>
      <c r="C133" s="191" t="s">
        <v>204</v>
      </c>
      <c r="D133" s="190" t="e">
        <f>IF((B143-B142)&lt;=180,B143-B142,IF(AND(B143-B142&gt;180,B143&lt;=B142),B143-B142+360,B143-B142-360))</f>
        <v>#VALUE!</v>
      </c>
      <c r="H133" s="191" t="s">
        <v>205</v>
      </c>
      <c r="I133" s="193" t="e">
        <f>SQRT(J123^2+K123^2)</f>
        <v>#VALUE!</v>
      </c>
      <c r="J133" s="191" t="s">
        <v>204</v>
      </c>
      <c r="K133" s="190" t="e">
        <f>IF((I143-I142)&lt;=180,I143-I142,IF(AND(I143-I142&gt;180,I143&lt;=I142),I143-I142+360,I143-I142-360))</f>
        <v>#VALUE!</v>
      </c>
    </row>
    <row r="134" spans="1:13" s="189" customFormat="1" ht="14.1" customHeight="1" x14ac:dyDescent="0.2">
      <c r="A134" s="191" t="s">
        <v>203</v>
      </c>
      <c r="B134" s="193">
        <f>SQRT(C124^2+D124^2)</f>
        <v>0</v>
      </c>
      <c r="C134" s="191" t="s">
        <v>202</v>
      </c>
      <c r="D134" s="190" t="e">
        <f>B124-B123</f>
        <v>#VALUE!</v>
      </c>
      <c r="H134" s="191" t="s">
        <v>203</v>
      </c>
      <c r="I134" s="193">
        <f>SQRT(J124^2+K124^2)</f>
        <v>0</v>
      </c>
      <c r="J134" s="191" t="s">
        <v>202</v>
      </c>
      <c r="K134" s="190" t="e">
        <f>I124-I123</f>
        <v>#VALUE!</v>
      </c>
    </row>
    <row r="135" spans="1:13" s="189" customFormat="1" ht="14.1" customHeight="1" x14ac:dyDescent="0.2">
      <c r="A135" s="191" t="s">
        <v>201</v>
      </c>
      <c r="B135" s="193" t="e">
        <f>(B133+B134)/2</f>
        <v>#VALUE!</v>
      </c>
      <c r="C135" s="191" t="s">
        <v>200</v>
      </c>
      <c r="D135" s="190" t="e">
        <f>B140-B139</f>
        <v>#VALUE!</v>
      </c>
      <c r="H135" s="191" t="s">
        <v>201</v>
      </c>
      <c r="I135" s="193" t="e">
        <f>(I133+I134)/2</f>
        <v>#VALUE!</v>
      </c>
      <c r="J135" s="191" t="s">
        <v>200</v>
      </c>
      <c r="K135" s="190" t="e">
        <f>I140-I139</f>
        <v>#VALUE!</v>
      </c>
    </row>
    <row r="136" spans="1:13" s="189" customFormat="1" ht="14.1" customHeight="1" x14ac:dyDescent="0.2">
      <c r="A136" s="191" t="s">
        <v>199</v>
      </c>
      <c r="B136" s="193" t="e">
        <f>(1-SQRT(B135^7/(B135^7+25^7)))/2</f>
        <v>#VALUE!</v>
      </c>
      <c r="C136" s="191" t="s">
        <v>198</v>
      </c>
      <c r="D136" s="190" t="e">
        <f>2*SQRT(B139*B140)*SIN(RADIANS(D133/2))</f>
        <v>#VALUE!</v>
      </c>
      <c r="H136" s="191" t="s">
        <v>199</v>
      </c>
      <c r="I136" s="193" t="e">
        <f>(1-SQRT(I135^7/(I135^7+25^7)))/2</f>
        <v>#VALUE!</v>
      </c>
      <c r="J136" s="191" t="s">
        <v>198</v>
      </c>
      <c r="K136" s="190" t="e">
        <f>2*SQRT(I139*I140)*SIN(RADIANS(K133/2))</f>
        <v>#VALUE!</v>
      </c>
    </row>
    <row r="137" spans="1:13" s="189" customFormat="1" ht="14.1" customHeight="1" x14ac:dyDescent="0.2">
      <c r="A137" s="191" t="s">
        <v>197</v>
      </c>
      <c r="B137" s="193" t="e">
        <f>C123*(1+B136)</f>
        <v>#VALUE!</v>
      </c>
      <c r="C137" s="191" t="s">
        <v>196</v>
      </c>
      <c r="D137" s="190" t="e">
        <f>1+(0.015*(B132-50)^2)/SQRT(20+(B132-50)^2)</f>
        <v>#VALUE!</v>
      </c>
      <c r="H137" s="191" t="s">
        <v>197</v>
      </c>
      <c r="I137" s="193" t="e">
        <f>J123*(1+I136)</f>
        <v>#VALUE!</v>
      </c>
      <c r="J137" s="191" t="s">
        <v>196</v>
      </c>
      <c r="K137" s="190" t="e">
        <f>1+(0.015*(I132-50)^2)/SQRT(20+(I132-50)^2)</f>
        <v>#VALUE!</v>
      </c>
    </row>
    <row r="138" spans="1:13" s="189" customFormat="1" ht="14.1" customHeight="1" x14ac:dyDescent="0.2">
      <c r="A138" s="191" t="s">
        <v>195</v>
      </c>
      <c r="B138" s="193" t="e">
        <f>C124*(1+B136)</f>
        <v>#VALUE!</v>
      </c>
      <c r="C138" s="191" t="s">
        <v>194</v>
      </c>
      <c r="D138" s="190" t="e">
        <f>1+0.045*B141</f>
        <v>#VALUE!</v>
      </c>
      <c r="H138" s="191" t="s">
        <v>195</v>
      </c>
      <c r="I138" s="193" t="e">
        <f>J124*(1+I136)</f>
        <v>#VALUE!</v>
      </c>
      <c r="J138" s="191" t="s">
        <v>194</v>
      </c>
      <c r="K138" s="190" t="e">
        <f>1+0.045*I141</f>
        <v>#VALUE!</v>
      </c>
    </row>
    <row r="139" spans="1:13" s="189" customFormat="1" ht="14.1" customHeight="1" x14ac:dyDescent="0.2">
      <c r="A139" s="191" t="s">
        <v>193</v>
      </c>
      <c r="B139" s="193" t="e">
        <f>SQRT(B137^2+D123^2)</f>
        <v>#VALUE!</v>
      </c>
      <c r="C139" s="191" t="s">
        <v>192</v>
      </c>
      <c r="D139" s="190" t="e">
        <f>1+0.015*B141*D132</f>
        <v>#VALUE!</v>
      </c>
      <c r="H139" s="191" t="s">
        <v>193</v>
      </c>
      <c r="I139" s="193" t="e">
        <f>SQRT(I137^2+K123^2)</f>
        <v>#VALUE!</v>
      </c>
      <c r="J139" s="191" t="s">
        <v>192</v>
      </c>
      <c r="K139" s="190" t="e">
        <f>1+0.015*I141*K132</f>
        <v>#VALUE!</v>
      </c>
    </row>
    <row r="140" spans="1:13" s="189" customFormat="1" ht="14.1" customHeight="1" x14ac:dyDescent="0.2">
      <c r="A140" s="191" t="s">
        <v>191</v>
      </c>
      <c r="B140" s="193" t="e">
        <f>SQRT(B138^2+D124^2)</f>
        <v>#VALUE!</v>
      </c>
      <c r="C140" s="191" t="s">
        <v>190</v>
      </c>
      <c r="D140" s="190" t="e">
        <f>30*EXP(-1*((B144-275)/25)^2)</f>
        <v>#VALUE!</v>
      </c>
      <c r="H140" s="191" t="s">
        <v>191</v>
      </c>
      <c r="I140" s="193" t="e">
        <f>SQRT(I138^2+K124^2)</f>
        <v>#VALUE!</v>
      </c>
      <c r="J140" s="191" t="s">
        <v>190</v>
      </c>
      <c r="K140" s="190" t="e">
        <f>30*EXP(-1*((I144-275)/25)^2)</f>
        <v>#VALUE!</v>
      </c>
    </row>
    <row r="141" spans="1:13" s="189" customFormat="1" ht="14.1" customHeight="1" x14ac:dyDescent="0.2">
      <c r="A141" s="191" t="s">
        <v>189</v>
      </c>
      <c r="B141" s="193" t="e">
        <f>(B139+B140)/2</f>
        <v>#VALUE!</v>
      </c>
      <c r="C141" s="191" t="s">
        <v>188</v>
      </c>
      <c r="D141" s="190" t="e">
        <f>2*SQRT(B141^7/(B141^7+25^7))</f>
        <v>#VALUE!</v>
      </c>
      <c r="H141" s="191" t="s">
        <v>189</v>
      </c>
      <c r="I141" s="193" t="e">
        <f>(I139+I140)/2</f>
        <v>#VALUE!</v>
      </c>
      <c r="J141" s="191" t="s">
        <v>188</v>
      </c>
      <c r="K141" s="190" t="e">
        <f>2*SQRT(I141^7/(I141^7+25^7))</f>
        <v>#VALUE!</v>
      </c>
    </row>
    <row r="142" spans="1:13" s="189" customFormat="1" ht="14.1" customHeight="1" x14ac:dyDescent="0.2">
      <c r="A142" s="191" t="s">
        <v>187</v>
      </c>
      <c r="B142" s="193" t="e">
        <f>IF(DEGREES(ATAN2(B137,D123))&gt;=0,DEGREES(ATAN2(B137,D123)),DEGREES(ATAN2(B137,D123))+360)</f>
        <v>#VALUE!</v>
      </c>
      <c r="C142" s="191" t="s">
        <v>186</v>
      </c>
      <c r="D142" s="190" t="e">
        <f>-SIN(2*RADIANS(D140))*D141</f>
        <v>#VALUE!</v>
      </c>
      <c r="H142" s="191" t="s">
        <v>187</v>
      </c>
      <c r="I142" s="193" t="e">
        <f>IF(DEGREES(ATAN2(I137,K123))&gt;=0,DEGREES(ATAN2(I137,K123)),DEGREES(ATAN2(I137,K123))+360)</f>
        <v>#VALUE!</v>
      </c>
      <c r="J142" s="191" t="s">
        <v>186</v>
      </c>
      <c r="K142" s="190" t="e">
        <f>-SIN(2*RADIANS(K140))*K141</f>
        <v>#VALUE!</v>
      </c>
    </row>
    <row r="143" spans="1:13" s="189" customFormat="1" ht="14.1" customHeight="1" x14ac:dyDescent="0.2">
      <c r="A143" s="191" t="s">
        <v>185</v>
      </c>
      <c r="B143" s="193" t="e">
        <f>IF(DEGREES(ATAN2(B138,D124))&gt;=0,DEGREES(ATAN2(B138,D124)),DEGREES(ATAN2(B138,D124))+360)</f>
        <v>#VALUE!</v>
      </c>
      <c r="C143" s="191" t="s">
        <v>184</v>
      </c>
      <c r="D143" s="190">
        <v>1</v>
      </c>
      <c r="H143" s="191" t="s">
        <v>185</v>
      </c>
      <c r="I143" s="193" t="e">
        <f>IF(DEGREES(ATAN2(I138,K124))&gt;=0,DEGREES(ATAN2(I138,K124)),DEGREES(ATAN2(I138,K124))+360)</f>
        <v>#VALUE!</v>
      </c>
      <c r="J143" s="191" t="s">
        <v>184</v>
      </c>
      <c r="K143" s="190">
        <v>1</v>
      </c>
    </row>
    <row r="144" spans="1:13" s="189" customFormat="1" ht="14.1" customHeight="1" x14ac:dyDescent="0.2">
      <c r="A144" s="194" t="s">
        <v>183</v>
      </c>
      <c r="B144" s="193" t="e">
        <f>IF((B142-B143)&gt;180,(B142+B143+360)/2,(B142+B143)/2)</f>
        <v>#VALUE!</v>
      </c>
      <c r="C144" s="191" t="s">
        <v>182</v>
      </c>
      <c r="D144" s="190">
        <v>1</v>
      </c>
      <c r="H144" s="194" t="s">
        <v>183</v>
      </c>
      <c r="I144" s="193" t="e">
        <f>IF((I142-I143)&gt;180,(I142+I143+360)/2,(I142+I143)/2)</f>
        <v>#VALUE!</v>
      </c>
      <c r="J144" s="191" t="s">
        <v>182</v>
      </c>
      <c r="K144" s="190">
        <v>1</v>
      </c>
    </row>
    <row r="145" spans="1:13" s="189" customFormat="1" ht="14.1" customHeight="1" x14ac:dyDescent="0.2">
      <c r="A145" s="191"/>
      <c r="B145" s="192"/>
      <c r="C145" s="191" t="s">
        <v>181</v>
      </c>
      <c r="D145" s="190">
        <v>1</v>
      </c>
      <c r="H145" s="191"/>
      <c r="I145" s="192"/>
      <c r="J145" s="191" t="s">
        <v>181</v>
      </c>
      <c r="K145" s="190">
        <v>1</v>
      </c>
    </row>
    <row r="146" spans="1:13" ht="13.5" thickBot="1" x14ac:dyDescent="0.25"/>
    <row r="147" spans="1:13" ht="13.5" thickBot="1" x14ac:dyDescent="0.25">
      <c r="A147" s="151" t="s">
        <v>225</v>
      </c>
      <c r="B147" s="205" t="str">
        <f>Template!E60</f>
        <v/>
      </c>
      <c r="C147" s="205" t="str">
        <f>Template!F60</f>
        <v/>
      </c>
      <c r="D147" s="205" t="str">
        <f>Template!G60</f>
        <v/>
      </c>
      <c r="E147" s="207" t="e">
        <f>SQRT(C147^2+D147^2)</f>
        <v>#VALUE!</v>
      </c>
      <c r="F147" s="196" t="e">
        <f>IF(DEGREES(ATAN2(C147,D147))&lt;0,DEGREES(ATAN2(C147,D147))+360,IF(DEGREES(ATAN2(C147,D147))&gt;360,DEGREES(ATAN2(C147,D147))-360,DEGREES(ATAN2(C147,D147))))</f>
        <v>#VALUE!</v>
      </c>
      <c r="G147" s="185"/>
      <c r="H147" s="151" t="s">
        <v>225</v>
      </c>
      <c r="I147" s="205" t="str">
        <f>Template!H60</f>
        <v/>
      </c>
      <c r="J147" s="205" t="str">
        <f>Template!I60</f>
        <v/>
      </c>
      <c r="K147" s="205" t="str">
        <f>Template!J60</f>
        <v/>
      </c>
      <c r="L147" s="207" t="e">
        <f>SQRT(J147^2+K147^2)</f>
        <v>#VALUE!</v>
      </c>
      <c r="M147" s="196" t="e">
        <f>IF(DEGREES(ATAN2(J147,K147))&lt;0,DEGREES(ATAN2(J147,K147))+360,IF(DEGREES(ATAN2(J147,K147))&gt;360,DEGREES(ATAN2(J147,K147))-360,DEGREES(ATAN2(J147,K147))))</f>
        <v>#VALUE!</v>
      </c>
    </row>
    <row r="148" spans="1:13" ht="13.5" thickBot="1" x14ac:dyDescent="0.25">
      <c r="A148" s="151" t="s">
        <v>224</v>
      </c>
      <c r="B148" s="205">
        <f>Template!F83</f>
        <v>0</v>
      </c>
      <c r="C148" s="205">
        <f>Template!G83</f>
        <v>0</v>
      </c>
      <c r="D148" s="205">
        <f>Template!H83</f>
        <v>0</v>
      </c>
      <c r="E148" s="204">
        <f>SQRT(C148^2+D148^2)</f>
        <v>0</v>
      </c>
      <c r="F148" s="203" t="e">
        <f>IF(DEGREES(ATAN2(C148,D148))&lt;0,DEGREES(ATAN2(C148,D148))+360,IF(DEGREES(ATAN2(C148,D148))&gt;360,DEGREES(ATAN2(C148,D148))-360,DEGREES(ATAN2(C148,D148))))</f>
        <v>#DIV/0!</v>
      </c>
      <c r="G148" s="206"/>
      <c r="H148" s="151" t="s">
        <v>224</v>
      </c>
      <c r="I148" s="205">
        <f>Template!F84</f>
        <v>0</v>
      </c>
      <c r="J148" s="205">
        <f>Template!G84</f>
        <v>0</v>
      </c>
      <c r="K148" s="205">
        <f>Template!H84</f>
        <v>0</v>
      </c>
      <c r="L148" s="204">
        <f>SQRT(J148^2+K148^2)</f>
        <v>0</v>
      </c>
      <c r="M148" s="203" t="e">
        <f>IF(DEGREES(ATAN2(J148,K148))&lt;0,DEGREES(ATAN2(J148,K148))+360,IF(DEGREES(ATAN2(J148,K148))&gt;360,DEGREES(ATAN2(J148,K148))-360,DEGREES(ATAN2(J148,K148))))</f>
        <v>#DIV/0!</v>
      </c>
    </row>
    <row r="149" spans="1:13" ht="13.5" thickBot="1" x14ac:dyDescent="0.25"/>
    <row r="150" spans="1:13" x14ac:dyDescent="0.2">
      <c r="A150" s="197" t="s">
        <v>217</v>
      </c>
      <c r="B150" s="200" t="e">
        <f>B147-B148</f>
        <v>#VALUE!</v>
      </c>
      <c r="C150" s="197" t="s">
        <v>196</v>
      </c>
      <c r="D150" s="190" t="e">
        <f>IF(B147&lt;16,0.511,(0.040975*B147)/(1+(0.01765*B147)))</f>
        <v>#VALUE!</v>
      </c>
      <c r="E150" s="197" t="s">
        <v>216</v>
      </c>
      <c r="F150" s="202">
        <v>2</v>
      </c>
      <c r="G150" s="185"/>
      <c r="H150" s="197" t="s">
        <v>217</v>
      </c>
      <c r="I150" s="200" t="e">
        <f>I147-I148</f>
        <v>#VALUE!</v>
      </c>
      <c r="J150" s="197" t="s">
        <v>196</v>
      </c>
      <c r="K150" s="190" t="e">
        <f>IF(I147&lt;16,0.511,(0.040975*I147)/(1+(0.01765*I147)))</f>
        <v>#VALUE!</v>
      </c>
      <c r="L150" s="197" t="s">
        <v>216</v>
      </c>
      <c r="M150" s="202">
        <v>2</v>
      </c>
    </row>
    <row r="151" spans="1:13" ht="13.5" thickBot="1" x14ac:dyDescent="0.25">
      <c r="A151" s="197" t="s">
        <v>215</v>
      </c>
      <c r="B151" s="200" t="e">
        <f>C147-C148</f>
        <v>#VALUE!</v>
      </c>
      <c r="C151" s="197" t="s">
        <v>194</v>
      </c>
      <c r="D151" s="190" t="e">
        <f>0.0638*E147/(1+(0.0131*E147))+0.638</f>
        <v>#VALUE!</v>
      </c>
      <c r="E151" s="197" t="s">
        <v>214</v>
      </c>
      <c r="F151" s="201">
        <v>1</v>
      </c>
      <c r="G151" s="185"/>
      <c r="H151" s="197" t="s">
        <v>215</v>
      </c>
      <c r="I151" s="200" t="e">
        <f>J147-J148</f>
        <v>#VALUE!</v>
      </c>
      <c r="J151" s="197" t="s">
        <v>194</v>
      </c>
      <c r="K151" s="190" t="e">
        <f>0.0638*L147/(1+(0.0131*L147))+0.638</f>
        <v>#VALUE!</v>
      </c>
      <c r="L151" s="197" t="s">
        <v>214</v>
      </c>
      <c r="M151" s="201">
        <v>1</v>
      </c>
    </row>
    <row r="152" spans="1:13" ht="13.5" thickBot="1" x14ac:dyDescent="0.25">
      <c r="A152" s="197" t="s">
        <v>213</v>
      </c>
      <c r="B152" s="200" t="e">
        <f>D147-D148</f>
        <v>#VALUE!</v>
      </c>
      <c r="C152" s="197" t="s">
        <v>192</v>
      </c>
      <c r="D152" s="190" t="e">
        <f>D151*(D154*D153+1-D154)</f>
        <v>#VALUE!</v>
      </c>
      <c r="H152" s="197" t="s">
        <v>213</v>
      </c>
      <c r="I152" s="200" t="e">
        <f>K147-K148</f>
        <v>#VALUE!</v>
      </c>
      <c r="J152" s="197" t="s">
        <v>192</v>
      </c>
      <c r="K152" s="190" t="e">
        <f>K151*(K154*K153+1-K154)</f>
        <v>#VALUE!</v>
      </c>
    </row>
    <row r="153" spans="1:13" ht="14.1" customHeight="1" thickBot="1" x14ac:dyDescent="0.25">
      <c r="A153" s="197" t="s">
        <v>212</v>
      </c>
      <c r="B153" s="193" t="e">
        <f>E147-E148</f>
        <v>#VALUE!</v>
      </c>
      <c r="C153" s="197" t="s">
        <v>207</v>
      </c>
      <c r="D153" s="190" t="e">
        <f>IF(AND(F147&gt;=164,F147&lt;=345),0.56+ABS(0.2*(COS(RADIANS(F147+168)))),0.36+ABS(0.4*(COS(RADIANS(F147+35)))))</f>
        <v>#VALUE!</v>
      </c>
      <c r="E153" s="147" t="s">
        <v>211</v>
      </c>
      <c r="F153" s="198" t="e">
        <f>ROUND(SQRT((B150/(F150*D150))^2+(B153/(F151*D151))^2+(B154/D152)^2),2)</f>
        <v>#VALUE!</v>
      </c>
      <c r="G153" s="199"/>
      <c r="H153" s="197" t="s">
        <v>212</v>
      </c>
      <c r="I153" s="193" t="e">
        <f>L147-L148</f>
        <v>#VALUE!</v>
      </c>
      <c r="J153" s="197" t="s">
        <v>207</v>
      </c>
      <c r="K153" s="190" t="e">
        <f>IF(AND(M147&gt;=164,M147&lt;=345),0.56+ABS(0.2*(COS(RADIANS(M147+168)))),0.36+ABS(0.4*(COS(RADIANS(M147+35)))))</f>
        <v>#VALUE!</v>
      </c>
      <c r="L153" s="147" t="s">
        <v>211</v>
      </c>
      <c r="M153" s="198" t="e">
        <f>ROUND(SQRT((I150/(M150*K150))^2+(I153/(M151*K151))^2+(I154/K152)^2),2)</f>
        <v>#VALUE!</v>
      </c>
    </row>
    <row r="154" spans="1:13" ht="14.1" customHeight="1" x14ac:dyDescent="0.2">
      <c r="A154" s="197" t="s">
        <v>210</v>
      </c>
      <c r="B154" s="193" t="e">
        <f>SQRT(B151^2+B152^2-B153^2)</f>
        <v>#VALUE!</v>
      </c>
      <c r="C154" s="197" t="s">
        <v>209</v>
      </c>
      <c r="D154" s="190" t="e">
        <f>SQRT(E147^4/(E147^4+1900))</f>
        <v>#VALUE!</v>
      </c>
      <c r="H154" s="197" t="s">
        <v>210</v>
      </c>
      <c r="I154" s="193" t="e">
        <f>SQRT(I151^2+I152^2-I153^2)</f>
        <v>#VALUE!</v>
      </c>
      <c r="J154" s="197" t="s">
        <v>209</v>
      </c>
      <c r="K154" s="190" t="e">
        <f>SQRT(L147^4/(L147^4+1900))</f>
        <v>#VALUE!</v>
      </c>
    </row>
    <row r="155" spans="1:13" s="189" customFormat="1" ht="14.1" customHeight="1" thickBot="1" x14ac:dyDescent="0.25">
      <c r="A155" s="191"/>
      <c r="B155" s="192"/>
      <c r="C155" s="191"/>
      <c r="D155" s="192"/>
      <c r="H155" s="191"/>
      <c r="I155" s="192"/>
      <c r="J155" s="191"/>
      <c r="K155" s="192"/>
    </row>
    <row r="156" spans="1:13" s="189" customFormat="1" ht="14.1" customHeight="1" thickBot="1" x14ac:dyDescent="0.25">
      <c r="A156" s="191" t="s">
        <v>208</v>
      </c>
      <c r="B156" s="193" t="e">
        <f>(B147+B148)/2</f>
        <v>#VALUE!</v>
      </c>
      <c r="C156" s="191" t="s">
        <v>207</v>
      </c>
      <c r="D156" s="196" t="e">
        <f>1-0.17*(COS(RADIANS(B168-30)))+0.24*COS(RADIANS(2*B168))+0.32*COS(RADIANS(3*B168+6))-0.2*COS(RADIANS(4*B168-63))</f>
        <v>#VALUE!</v>
      </c>
      <c r="E156" s="191" t="s">
        <v>206</v>
      </c>
      <c r="F156" s="195" t="e">
        <f>ROUND(SQRT((D158/(D167*D161))^2+(D159/(D168*D162))^2+(D160/(D169*D163))^2+D166*(D159/(D168*D162))*(D160/(D169*D163))),2)</f>
        <v>#VALUE!</v>
      </c>
      <c r="H156" s="191" t="s">
        <v>208</v>
      </c>
      <c r="I156" s="193" t="e">
        <f>(I147+I148)/2</f>
        <v>#VALUE!</v>
      </c>
      <c r="J156" s="191" t="s">
        <v>207</v>
      </c>
      <c r="K156" s="196" t="e">
        <f>1-0.17*(COS(RADIANS(I168-30)))+0.24*COS(RADIANS(2*I168))+0.32*COS(RADIANS(3*I168+6))-0.2*COS(RADIANS(4*I168-63))</f>
        <v>#VALUE!</v>
      </c>
      <c r="L156" s="191" t="s">
        <v>206</v>
      </c>
      <c r="M156" s="195" t="e">
        <f>ROUND(SQRT((K158/(K167*K161))^2+(K159/(K168*K162))^2+(K160/(K169*K163))^2+K166*(K159/(K168*K162))*(K160/(K169*K163))),2)</f>
        <v>#VALUE!</v>
      </c>
    </row>
    <row r="157" spans="1:13" s="189" customFormat="1" ht="14.1" customHeight="1" x14ac:dyDescent="0.2">
      <c r="A157" s="191" t="s">
        <v>205</v>
      </c>
      <c r="B157" s="193" t="e">
        <f>SQRT(C147^2+D147^2)</f>
        <v>#VALUE!</v>
      </c>
      <c r="C157" s="191" t="s">
        <v>204</v>
      </c>
      <c r="D157" s="190" t="e">
        <f>IF((B167-B166)&lt;=180,B167-B166,IF(AND(B167-B166&gt;180,B167&lt;=B166),B167-B166+360,B167-B166-360))</f>
        <v>#VALUE!</v>
      </c>
      <c r="H157" s="191" t="s">
        <v>205</v>
      </c>
      <c r="I157" s="193" t="e">
        <f>SQRT(J147^2+K147^2)</f>
        <v>#VALUE!</v>
      </c>
      <c r="J157" s="191" t="s">
        <v>204</v>
      </c>
      <c r="K157" s="190" t="e">
        <f>IF((I167-I166)&lt;=180,I167-I166,IF(AND(I167-I166&gt;180,I167&lt;=I166),I167-I166+360,I167-I166-360))</f>
        <v>#VALUE!</v>
      </c>
    </row>
    <row r="158" spans="1:13" s="189" customFormat="1" ht="14.1" customHeight="1" x14ac:dyDescent="0.2">
      <c r="A158" s="191" t="s">
        <v>203</v>
      </c>
      <c r="B158" s="193">
        <f>SQRT(C148^2+D148^2)</f>
        <v>0</v>
      </c>
      <c r="C158" s="191" t="s">
        <v>202</v>
      </c>
      <c r="D158" s="190" t="e">
        <f>B148-B147</f>
        <v>#VALUE!</v>
      </c>
      <c r="H158" s="191" t="s">
        <v>203</v>
      </c>
      <c r="I158" s="193">
        <f>SQRT(J148^2+K148^2)</f>
        <v>0</v>
      </c>
      <c r="J158" s="191" t="s">
        <v>202</v>
      </c>
      <c r="K158" s="190" t="e">
        <f>I148-I147</f>
        <v>#VALUE!</v>
      </c>
    </row>
    <row r="159" spans="1:13" s="189" customFormat="1" ht="14.1" customHeight="1" x14ac:dyDescent="0.2">
      <c r="A159" s="191" t="s">
        <v>201</v>
      </c>
      <c r="B159" s="193" t="e">
        <f>(B157+B158)/2</f>
        <v>#VALUE!</v>
      </c>
      <c r="C159" s="191" t="s">
        <v>200</v>
      </c>
      <c r="D159" s="190" t="e">
        <f>B164-B163</f>
        <v>#VALUE!</v>
      </c>
      <c r="H159" s="191" t="s">
        <v>201</v>
      </c>
      <c r="I159" s="193" t="e">
        <f>(I157+I158)/2</f>
        <v>#VALUE!</v>
      </c>
      <c r="J159" s="191" t="s">
        <v>200</v>
      </c>
      <c r="K159" s="190" t="e">
        <f>I164-I163</f>
        <v>#VALUE!</v>
      </c>
    </row>
    <row r="160" spans="1:13" s="189" customFormat="1" ht="14.1" customHeight="1" x14ac:dyDescent="0.2">
      <c r="A160" s="191" t="s">
        <v>199</v>
      </c>
      <c r="B160" s="193" t="e">
        <f>(1-SQRT(B159^7/(B159^7+25^7)))/2</f>
        <v>#VALUE!</v>
      </c>
      <c r="C160" s="191" t="s">
        <v>198</v>
      </c>
      <c r="D160" s="190" t="e">
        <f>2*SQRT(B163*B164)*SIN(RADIANS(D157/2))</f>
        <v>#VALUE!</v>
      </c>
      <c r="H160" s="191" t="s">
        <v>199</v>
      </c>
      <c r="I160" s="193" t="e">
        <f>(1-SQRT(I159^7/(I159^7+25^7)))/2</f>
        <v>#VALUE!</v>
      </c>
      <c r="J160" s="191" t="s">
        <v>198</v>
      </c>
      <c r="K160" s="190" t="e">
        <f>2*SQRT(I163*I164)*SIN(RADIANS(K157/2))</f>
        <v>#VALUE!</v>
      </c>
    </row>
    <row r="161" spans="1:13" s="189" customFormat="1" ht="14.1" customHeight="1" x14ac:dyDescent="0.2">
      <c r="A161" s="191" t="s">
        <v>197</v>
      </c>
      <c r="B161" s="193" t="e">
        <f>C147*(1+B160)</f>
        <v>#VALUE!</v>
      </c>
      <c r="C161" s="191" t="s">
        <v>196</v>
      </c>
      <c r="D161" s="190" t="e">
        <f>1+(0.015*(B156-50)^2)/SQRT(20+(B156-50)^2)</f>
        <v>#VALUE!</v>
      </c>
      <c r="H161" s="191" t="s">
        <v>197</v>
      </c>
      <c r="I161" s="193" t="e">
        <f>J147*(1+I160)</f>
        <v>#VALUE!</v>
      </c>
      <c r="J161" s="191" t="s">
        <v>196</v>
      </c>
      <c r="K161" s="190" t="e">
        <f>1+(0.015*(I156-50)^2)/SQRT(20+(I156-50)^2)</f>
        <v>#VALUE!</v>
      </c>
    </row>
    <row r="162" spans="1:13" s="189" customFormat="1" ht="14.1" customHeight="1" x14ac:dyDescent="0.2">
      <c r="A162" s="191" t="s">
        <v>195</v>
      </c>
      <c r="B162" s="193" t="e">
        <f>C148*(1+B160)</f>
        <v>#VALUE!</v>
      </c>
      <c r="C162" s="191" t="s">
        <v>194</v>
      </c>
      <c r="D162" s="190" t="e">
        <f>1+0.045*B165</f>
        <v>#VALUE!</v>
      </c>
      <c r="H162" s="191" t="s">
        <v>195</v>
      </c>
      <c r="I162" s="193" t="e">
        <f>J148*(1+I160)</f>
        <v>#VALUE!</v>
      </c>
      <c r="J162" s="191" t="s">
        <v>194</v>
      </c>
      <c r="K162" s="190" t="e">
        <f>1+0.045*I165</f>
        <v>#VALUE!</v>
      </c>
    </row>
    <row r="163" spans="1:13" s="189" customFormat="1" ht="14.1" customHeight="1" x14ac:dyDescent="0.2">
      <c r="A163" s="191" t="s">
        <v>193</v>
      </c>
      <c r="B163" s="193" t="e">
        <f>SQRT(B161^2+D147^2)</f>
        <v>#VALUE!</v>
      </c>
      <c r="C163" s="191" t="s">
        <v>192</v>
      </c>
      <c r="D163" s="190" t="e">
        <f>1+0.015*B165*D156</f>
        <v>#VALUE!</v>
      </c>
      <c r="H163" s="191" t="s">
        <v>193</v>
      </c>
      <c r="I163" s="193" t="e">
        <f>SQRT(I161^2+K147^2)</f>
        <v>#VALUE!</v>
      </c>
      <c r="J163" s="191" t="s">
        <v>192</v>
      </c>
      <c r="K163" s="190" t="e">
        <f>1+0.015*I165*K156</f>
        <v>#VALUE!</v>
      </c>
    </row>
    <row r="164" spans="1:13" s="189" customFormat="1" ht="14.1" customHeight="1" x14ac:dyDescent="0.2">
      <c r="A164" s="191" t="s">
        <v>191</v>
      </c>
      <c r="B164" s="193" t="e">
        <f>SQRT(B162^2+D148^2)</f>
        <v>#VALUE!</v>
      </c>
      <c r="C164" s="191" t="s">
        <v>190</v>
      </c>
      <c r="D164" s="190" t="e">
        <f>30*EXP(-1*((B168-275)/25)^2)</f>
        <v>#VALUE!</v>
      </c>
      <c r="H164" s="191" t="s">
        <v>191</v>
      </c>
      <c r="I164" s="193" t="e">
        <f>SQRT(I162^2+K148^2)</f>
        <v>#VALUE!</v>
      </c>
      <c r="J164" s="191" t="s">
        <v>190</v>
      </c>
      <c r="K164" s="190" t="e">
        <f>30*EXP(-1*((I168-275)/25)^2)</f>
        <v>#VALUE!</v>
      </c>
    </row>
    <row r="165" spans="1:13" s="189" customFormat="1" ht="14.1" customHeight="1" x14ac:dyDescent="0.2">
      <c r="A165" s="191" t="s">
        <v>189</v>
      </c>
      <c r="B165" s="193" t="e">
        <f>(B163+B164)/2</f>
        <v>#VALUE!</v>
      </c>
      <c r="C165" s="191" t="s">
        <v>188</v>
      </c>
      <c r="D165" s="190" t="e">
        <f>2*SQRT(B165^7/(B165^7+25^7))</f>
        <v>#VALUE!</v>
      </c>
      <c r="H165" s="191" t="s">
        <v>189</v>
      </c>
      <c r="I165" s="193" t="e">
        <f>(I163+I164)/2</f>
        <v>#VALUE!</v>
      </c>
      <c r="J165" s="191" t="s">
        <v>188</v>
      </c>
      <c r="K165" s="190" t="e">
        <f>2*SQRT(I165^7/(I165^7+25^7))</f>
        <v>#VALUE!</v>
      </c>
    </row>
    <row r="166" spans="1:13" s="189" customFormat="1" ht="14.1" customHeight="1" x14ac:dyDescent="0.2">
      <c r="A166" s="191" t="s">
        <v>187</v>
      </c>
      <c r="B166" s="193" t="e">
        <f>IF(DEGREES(ATAN2(B161,D147))&gt;=0,DEGREES(ATAN2(B161,D147)),DEGREES(ATAN2(B161,D147))+360)</f>
        <v>#VALUE!</v>
      </c>
      <c r="C166" s="191" t="s">
        <v>186</v>
      </c>
      <c r="D166" s="190" t="e">
        <f>-SIN(2*RADIANS(D164))*D165</f>
        <v>#VALUE!</v>
      </c>
      <c r="H166" s="191" t="s">
        <v>187</v>
      </c>
      <c r="I166" s="193" t="e">
        <f>IF(DEGREES(ATAN2(I161,K147))&gt;=0,DEGREES(ATAN2(I161,K147)),DEGREES(ATAN2(I161,K147))+360)</f>
        <v>#VALUE!</v>
      </c>
      <c r="J166" s="191" t="s">
        <v>186</v>
      </c>
      <c r="K166" s="190" t="e">
        <f>-SIN(2*RADIANS(K164))*K165</f>
        <v>#VALUE!</v>
      </c>
    </row>
    <row r="167" spans="1:13" s="189" customFormat="1" ht="14.1" customHeight="1" x14ac:dyDescent="0.2">
      <c r="A167" s="191" t="s">
        <v>185</v>
      </c>
      <c r="B167" s="193" t="e">
        <f>IF(DEGREES(ATAN2(B162,D148))&gt;=0,DEGREES(ATAN2(B162,D148)),DEGREES(ATAN2(B162,D148))+360)</f>
        <v>#VALUE!</v>
      </c>
      <c r="C167" s="191" t="s">
        <v>184</v>
      </c>
      <c r="D167" s="190">
        <v>1</v>
      </c>
      <c r="H167" s="191" t="s">
        <v>185</v>
      </c>
      <c r="I167" s="193" t="e">
        <f>IF(DEGREES(ATAN2(I162,K148))&gt;=0,DEGREES(ATAN2(I162,K148)),DEGREES(ATAN2(I162,K148))+360)</f>
        <v>#VALUE!</v>
      </c>
      <c r="J167" s="191" t="s">
        <v>184</v>
      </c>
      <c r="K167" s="190">
        <v>1</v>
      </c>
    </row>
    <row r="168" spans="1:13" s="189" customFormat="1" ht="14.1" customHeight="1" x14ac:dyDescent="0.2">
      <c r="A168" s="194" t="s">
        <v>183</v>
      </c>
      <c r="B168" s="193" t="e">
        <f>IF((B166-B167)&gt;180,(B166+B167+360)/2,(B166+B167)/2)</f>
        <v>#VALUE!</v>
      </c>
      <c r="C168" s="191" t="s">
        <v>182</v>
      </c>
      <c r="D168" s="190">
        <v>1</v>
      </c>
      <c r="H168" s="194" t="s">
        <v>183</v>
      </c>
      <c r="I168" s="193" t="e">
        <f>IF((I166-I167)&gt;180,(I166+I167+360)/2,(I166+I167)/2)</f>
        <v>#VALUE!</v>
      </c>
      <c r="J168" s="191" t="s">
        <v>182</v>
      </c>
      <c r="K168" s="190">
        <v>1</v>
      </c>
    </row>
    <row r="169" spans="1:13" s="189" customFormat="1" ht="14.1" customHeight="1" x14ac:dyDescent="0.2">
      <c r="A169" s="191"/>
      <c r="B169" s="192"/>
      <c r="C169" s="191" t="s">
        <v>181</v>
      </c>
      <c r="D169" s="190">
        <v>1</v>
      </c>
      <c r="H169" s="191"/>
      <c r="I169" s="192"/>
      <c r="J169" s="191" t="s">
        <v>181</v>
      </c>
      <c r="K169" s="190">
        <v>1</v>
      </c>
    </row>
    <row r="170" spans="1:13" ht="14.1" customHeight="1" thickBot="1" x14ac:dyDescent="0.25"/>
    <row r="171" spans="1:13" ht="14.1" customHeight="1" thickBot="1" x14ac:dyDescent="0.25">
      <c r="A171" s="151" t="s">
        <v>223</v>
      </c>
      <c r="B171" s="205" t="str">
        <f>Template!E61</f>
        <v/>
      </c>
      <c r="C171" s="205" t="str">
        <f>Template!F61</f>
        <v/>
      </c>
      <c r="D171" s="205" t="str">
        <f>Template!G61</f>
        <v/>
      </c>
      <c r="E171" s="207" t="e">
        <f>SQRT(C171^2+D171^2)</f>
        <v>#VALUE!</v>
      </c>
      <c r="F171" s="196" t="e">
        <f>IF(DEGREES(ATAN2(C171,D171))&lt;0,DEGREES(ATAN2(C171,D171))+360,IF(DEGREES(ATAN2(C171,D171))&gt;360,DEGREES(ATAN2(C171,D171))-360,DEGREES(ATAN2(C171,D171))))</f>
        <v>#VALUE!</v>
      </c>
      <c r="G171" s="185"/>
      <c r="H171" s="151" t="s">
        <v>223</v>
      </c>
      <c r="I171" s="205" t="str">
        <f>Template!H61</f>
        <v/>
      </c>
      <c r="J171" s="205" t="str">
        <f>Template!I61</f>
        <v/>
      </c>
      <c r="K171" s="205" t="str">
        <f>Template!J61</f>
        <v/>
      </c>
      <c r="L171" s="207" t="e">
        <f>SQRT(J171^2+K171^2)</f>
        <v>#VALUE!</v>
      </c>
      <c r="M171" s="196" t="e">
        <f>IF(DEGREES(ATAN2(J171,K171))&lt;0,DEGREES(ATAN2(J171,K171))+360,IF(DEGREES(ATAN2(J171,K171))&gt;360,DEGREES(ATAN2(J171,K171))-360,DEGREES(ATAN2(J171,K171))))</f>
        <v>#VALUE!</v>
      </c>
    </row>
    <row r="172" spans="1:13" ht="14.1" customHeight="1" thickBot="1" x14ac:dyDescent="0.25">
      <c r="A172" s="151" t="s">
        <v>222</v>
      </c>
      <c r="B172" s="205">
        <f>Template!F85</f>
        <v>0</v>
      </c>
      <c r="C172" s="205">
        <f>Template!G85</f>
        <v>0</v>
      </c>
      <c r="D172" s="205">
        <f>Template!H85</f>
        <v>0</v>
      </c>
      <c r="E172" s="204">
        <f>SQRT(C172^2+D172^2)</f>
        <v>0</v>
      </c>
      <c r="F172" s="203" t="e">
        <f>IF(DEGREES(ATAN2(C172,D172))&lt;0,DEGREES(ATAN2(C172,D172))+360,IF(DEGREES(ATAN2(C172,D172))&gt;360,DEGREES(ATAN2(C172,D172))-360,DEGREES(ATAN2(C172,D172))))</f>
        <v>#DIV/0!</v>
      </c>
      <c r="G172" s="206"/>
      <c r="H172" s="151" t="s">
        <v>222</v>
      </c>
      <c r="I172" s="205">
        <f>Template!F86</f>
        <v>0</v>
      </c>
      <c r="J172" s="205">
        <f>Template!G86</f>
        <v>0</v>
      </c>
      <c r="K172" s="205">
        <f>Template!H86</f>
        <v>0</v>
      </c>
      <c r="L172" s="204">
        <f>SQRT(J172^2+K172^2)</f>
        <v>0</v>
      </c>
      <c r="M172" s="203" t="e">
        <f>IF(DEGREES(ATAN2(J172,K172))&lt;0,DEGREES(ATAN2(J172,K172))+360,IF(DEGREES(ATAN2(J172,K172))&gt;360,DEGREES(ATAN2(J172,K172))-360,DEGREES(ATAN2(J172,K172))))</f>
        <v>#DIV/0!</v>
      </c>
    </row>
    <row r="173" spans="1:13" ht="14.1" customHeight="1" thickBot="1" x14ac:dyDescent="0.25"/>
    <row r="174" spans="1:13" x14ac:dyDescent="0.2">
      <c r="A174" s="197" t="s">
        <v>217</v>
      </c>
      <c r="B174" s="200" t="e">
        <f>B171-B172</f>
        <v>#VALUE!</v>
      </c>
      <c r="C174" s="197" t="s">
        <v>196</v>
      </c>
      <c r="D174" s="190" t="e">
        <f>IF(B171&lt;16,0.511,(0.040975*B171)/(1+(0.01765*B171)))</f>
        <v>#VALUE!</v>
      </c>
      <c r="E174" s="197" t="s">
        <v>216</v>
      </c>
      <c r="F174" s="202">
        <v>2</v>
      </c>
      <c r="G174" s="185"/>
      <c r="H174" s="197" t="s">
        <v>217</v>
      </c>
      <c r="I174" s="200" t="e">
        <f>I171-I172</f>
        <v>#VALUE!</v>
      </c>
      <c r="J174" s="197" t="s">
        <v>196</v>
      </c>
      <c r="K174" s="190" t="e">
        <f>IF(I171&lt;16,0.511,(0.040975*I171)/(1+(0.01765*I171)))</f>
        <v>#VALUE!</v>
      </c>
      <c r="L174" s="197" t="s">
        <v>216</v>
      </c>
      <c r="M174" s="202">
        <v>2</v>
      </c>
    </row>
    <row r="175" spans="1:13" ht="13.5" thickBot="1" x14ac:dyDescent="0.25">
      <c r="A175" s="197" t="s">
        <v>215</v>
      </c>
      <c r="B175" s="200" t="e">
        <f>C171-C172</f>
        <v>#VALUE!</v>
      </c>
      <c r="C175" s="197" t="s">
        <v>194</v>
      </c>
      <c r="D175" s="190" t="e">
        <f>0.0638*E171/(1+(0.0131*E171))+0.638</f>
        <v>#VALUE!</v>
      </c>
      <c r="E175" s="197" t="s">
        <v>214</v>
      </c>
      <c r="F175" s="201">
        <v>1</v>
      </c>
      <c r="G175" s="185"/>
      <c r="H175" s="197" t="s">
        <v>215</v>
      </c>
      <c r="I175" s="200" t="e">
        <f>J171-J172</f>
        <v>#VALUE!</v>
      </c>
      <c r="J175" s="197" t="s">
        <v>194</v>
      </c>
      <c r="K175" s="190" t="e">
        <f>0.0638*L171/(1+(0.0131*L171))+0.638</f>
        <v>#VALUE!</v>
      </c>
      <c r="L175" s="197" t="s">
        <v>214</v>
      </c>
      <c r="M175" s="201">
        <v>1</v>
      </c>
    </row>
    <row r="176" spans="1:13" ht="13.5" thickBot="1" x14ac:dyDescent="0.25">
      <c r="A176" s="197" t="s">
        <v>213</v>
      </c>
      <c r="B176" s="200" t="e">
        <f>D171-D172</f>
        <v>#VALUE!</v>
      </c>
      <c r="C176" s="197" t="s">
        <v>192</v>
      </c>
      <c r="D176" s="190" t="e">
        <f>D175*(D178*D177+1-D178)</f>
        <v>#VALUE!</v>
      </c>
      <c r="H176" s="197" t="s">
        <v>213</v>
      </c>
      <c r="I176" s="200" t="e">
        <f>K171-K172</f>
        <v>#VALUE!</v>
      </c>
      <c r="J176" s="197" t="s">
        <v>192</v>
      </c>
      <c r="K176" s="190" t="e">
        <f>K175*(K178*K177+1-K178)</f>
        <v>#VALUE!</v>
      </c>
    </row>
    <row r="177" spans="1:13" ht="14.1" customHeight="1" thickBot="1" x14ac:dyDescent="0.25">
      <c r="A177" s="197" t="s">
        <v>212</v>
      </c>
      <c r="B177" s="193" t="e">
        <f>E171-E172</f>
        <v>#VALUE!</v>
      </c>
      <c r="C177" s="197" t="s">
        <v>207</v>
      </c>
      <c r="D177" s="190" t="e">
        <f>IF(AND(F171&gt;=164,F171&lt;=345),0.56+ABS(0.2*(COS(RADIANS(F171+168)))),0.36+ABS(0.4*(COS(RADIANS(F171+35)))))</f>
        <v>#VALUE!</v>
      </c>
      <c r="E177" s="147" t="s">
        <v>211</v>
      </c>
      <c r="F177" s="198" t="e">
        <f>ROUND(SQRT((B174/(F174*D174))^2+(B177/(F175*D175))^2+(B178/D176)^2),2)</f>
        <v>#VALUE!</v>
      </c>
      <c r="G177" s="199"/>
      <c r="H177" s="197" t="s">
        <v>212</v>
      </c>
      <c r="I177" s="193" t="e">
        <f>L171-L172</f>
        <v>#VALUE!</v>
      </c>
      <c r="J177" s="197" t="s">
        <v>207</v>
      </c>
      <c r="K177" s="190" t="e">
        <f>IF(AND(M171&gt;=164,M171&lt;=345),0.56+ABS(0.2*(COS(RADIANS(M171+168)))),0.36+ABS(0.4*(COS(RADIANS(M171+35)))))</f>
        <v>#VALUE!</v>
      </c>
      <c r="L177" s="147" t="s">
        <v>211</v>
      </c>
      <c r="M177" s="198" t="e">
        <f>ROUND(SQRT((I174/(M174*K174))^2+(I177/(M175*K175))^2+(I178/K176)^2),2)</f>
        <v>#VALUE!</v>
      </c>
    </row>
    <row r="178" spans="1:13" ht="14.1" customHeight="1" x14ac:dyDescent="0.2">
      <c r="A178" s="197" t="s">
        <v>210</v>
      </c>
      <c r="B178" s="193" t="e">
        <f>SQRT(B175^2+B176^2-B177^2)</f>
        <v>#VALUE!</v>
      </c>
      <c r="C178" s="197" t="s">
        <v>209</v>
      </c>
      <c r="D178" s="190" t="e">
        <f>SQRT(E171^4/(E171^4+1900))</f>
        <v>#VALUE!</v>
      </c>
      <c r="H178" s="197" t="s">
        <v>210</v>
      </c>
      <c r="I178" s="193" t="e">
        <f>SQRT(I175^2+I176^2-I177^2)</f>
        <v>#VALUE!</v>
      </c>
      <c r="J178" s="197" t="s">
        <v>209</v>
      </c>
      <c r="K178" s="190" t="e">
        <f>SQRT(L171^4/(L171^4+1900))</f>
        <v>#VALUE!</v>
      </c>
    </row>
    <row r="179" spans="1:13" ht="14.1" customHeight="1" thickBot="1" x14ac:dyDescent="0.25">
      <c r="A179" s="191"/>
      <c r="B179" s="192"/>
      <c r="C179" s="191"/>
      <c r="D179" s="192"/>
      <c r="E179" s="189"/>
      <c r="F179" s="189"/>
      <c r="H179" s="191"/>
      <c r="I179" s="192"/>
      <c r="J179" s="191"/>
      <c r="K179" s="192"/>
      <c r="L179" s="189"/>
      <c r="M179" s="189"/>
    </row>
    <row r="180" spans="1:13" ht="14.1" customHeight="1" thickBot="1" x14ac:dyDescent="0.25">
      <c r="A180" s="191" t="s">
        <v>208</v>
      </c>
      <c r="B180" s="193" t="e">
        <f>(B171+B172)/2</f>
        <v>#VALUE!</v>
      </c>
      <c r="C180" s="191" t="s">
        <v>207</v>
      </c>
      <c r="D180" s="196" t="e">
        <f>1-0.17*(COS(RADIANS(B192-30)))+0.24*COS(RADIANS(2*B192))+0.32*COS(RADIANS(3*B192+6))-0.2*COS(RADIANS(4*B192-63))</f>
        <v>#VALUE!</v>
      </c>
      <c r="E180" s="191" t="s">
        <v>206</v>
      </c>
      <c r="F180" s="195" t="e">
        <f>ROUND(SQRT((D182/(D191*D185))^2+(D183/(D192*D186))^2+(D184/(D193*D187))^2+D190*(D183/(D192*D186))*(D184/(D193*D187))),2)</f>
        <v>#VALUE!</v>
      </c>
      <c r="H180" s="191" t="s">
        <v>208</v>
      </c>
      <c r="I180" s="193" t="e">
        <f>(I171+I172)/2</f>
        <v>#VALUE!</v>
      </c>
      <c r="J180" s="191" t="s">
        <v>207</v>
      </c>
      <c r="K180" s="196" t="e">
        <f>1-0.17*(COS(RADIANS(I192-30)))+0.24*COS(RADIANS(2*I192))+0.32*COS(RADIANS(3*I192+6))-0.2*COS(RADIANS(4*I192-63))</f>
        <v>#VALUE!</v>
      </c>
      <c r="L180" s="191" t="s">
        <v>206</v>
      </c>
      <c r="M180" s="195" t="e">
        <f>ROUND(SQRT((K182/(K191*K185))^2+(K183/(K192*K186))^2+(K184/(K193*K187))^2+K190*(K183/(K192*K186))*(K184/(K193*K187))),2)</f>
        <v>#VALUE!</v>
      </c>
    </row>
    <row r="181" spans="1:13" ht="14.1" customHeight="1" x14ac:dyDescent="0.2">
      <c r="A181" s="191" t="s">
        <v>205</v>
      </c>
      <c r="B181" s="193" t="e">
        <f>SQRT(C171^2+D171^2)</f>
        <v>#VALUE!</v>
      </c>
      <c r="C181" s="191" t="s">
        <v>204</v>
      </c>
      <c r="D181" s="190" t="e">
        <f>IF((B191-B190)&lt;=180,B191-B190,IF(AND(B191-B190&gt;180,B191&lt;=B190),B191-B190+360,B191-B190-360))</f>
        <v>#VALUE!</v>
      </c>
      <c r="E181" s="189"/>
      <c r="F181" s="189"/>
      <c r="H181" s="191" t="s">
        <v>205</v>
      </c>
      <c r="I181" s="193" t="e">
        <f>SQRT(J171^2+K171^2)</f>
        <v>#VALUE!</v>
      </c>
      <c r="J181" s="191" t="s">
        <v>204</v>
      </c>
      <c r="K181" s="190" t="e">
        <f>IF((I191-I190)&lt;=180,I191-I190,IF(AND(I191-I190&gt;180,I191&lt;=I190),I191-I190+360,I191-I190-360))</f>
        <v>#VALUE!</v>
      </c>
      <c r="L181" s="189"/>
      <c r="M181" s="189"/>
    </row>
    <row r="182" spans="1:13" ht="14.1" customHeight="1" x14ac:dyDescent="0.2">
      <c r="A182" s="191" t="s">
        <v>203</v>
      </c>
      <c r="B182" s="193">
        <f>SQRT(C172^2+D172^2)</f>
        <v>0</v>
      </c>
      <c r="C182" s="191" t="s">
        <v>202</v>
      </c>
      <c r="D182" s="190" t="e">
        <f>B172-B171</f>
        <v>#VALUE!</v>
      </c>
      <c r="E182" s="189"/>
      <c r="F182" s="189"/>
      <c r="H182" s="191" t="s">
        <v>203</v>
      </c>
      <c r="I182" s="193">
        <f>SQRT(J172^2+K172^2)</f>
        <v>0</v>
      </c>
      <c r="J182" s="191" t="s">
        <v>202</v>
      </c>
      <c r="K182" s="190" t="e">
        <f>I172-I171</f>
        <v>#VALUE!</v>
      </c>
      <c r="L182" s="189"/>
      <c r="M182" s="189"/>
    </row>
    <row r="183" spans="1:13" ht="14.1" customHeight="1" x14ac:dyDescent="0.2">
      <c r="A183" s="191" t="s">
        <v>201</v>
      </c>
      <c r="B183" s="193" t="e">
        <f>(B181+B182)/2</f>
        <v>#VALUE!</v>
      </c>
      <c r="C183" s="191" t="s">
        <v>200</v>
      </c>
      <c r="D183" s="190" t="e">
        <f>B188-B187</f>
        <v>#VALUE!</v>
      </c>
      <c r="E183" s="189"/>
      <c r="F183" s="189"/>
      <c r="H183" s="191" t="s">
        <v>201</v>
      </c>
      <c r="I183" s="193" t="e">
        <f>(I181+I182)/2</f>
        <v>#VALUE!</v>
      </c>
      <c r="J183" s="191" t="s">
        <v>200</v>
      </c>
      <c r="K183" s="190" t="e">
        <f>I188-I187</f>
        <v>#VALUE!</v>
      </c>
      <c r="L183" s="189"/>
      <c r="M183" s="189"/>
    </row>
    <row r="184" spans="1:13" ht="14.1" customHeight="1" x14ac:dyDescent="0.2">
      <c r="A184" s="191" t="s">
        <v>199</v>
      </c>
      <c r="B184" s="193" t="e">
        <f>(1-SQRT(B183^7/(B183^7+25^7)))/2</f>
        <v>#VALUE!</v>
      </c>
      <c r="C184" s="191" t="s">
        <v>198</v>
      </c>
      <c r="D184" s="190" t="e">
        <f>2*SQRT(B187*B188)*SIN(RADIANS(D181/2))</f>
        <v>#VALUE!</v>
      </c>
      <c r="E184" s="189"/>
      <c r="F184" s="189"/>
      <c r="H184" s="191" t="s">
        <v>199</v>
      </c>
      <c r="I184" s="193" t="e">
        <f>(1-SQRT(I183^7/(I183^7+25^7)))/2</f>
        <v>#VALUE!</v>
      </c>
      <c r="J184" s="191" t="s">
        <v>198</v>
      </c>
      <c r="K184" s="190" t="e">
        <f>2*SQRT(I187*I188)*SIN(RADIANS(K181/2))</f>
        <v>#VALUE!</v>
      </c>
      <c r="L184" s="189"/>
      <c r="M184" s="189"/>
    </row>
    <row r="185" spans="1:13" ht="14.1" customHeight="1" x14ac:dyDescent="0.2">
      <c r="A185" s="191" t="s">
        <v>197</v>
      </c>
      <c r="B185" s="193" t="e">
        <f>C171*(1+B184)</f>
        <v>#VALUE!</v>
      </c>
      <c r="C185" s="191" t="s">
        <v>196</v>
      </c>
      <c r="D185" s="190" t="e">
        <f>1+(0.015*(B180-50)^2)/SQRT(20+(B180-50)^2)</f>
        <v>#VALUE!</v>
      </c>
      <c r="E185" s="189"/>
      <c r="F185" s="189"/>
      <c r="H185" s="191" t="s">
        <v>197</v>
      </c>
      <c r="I185" s="193" t="e">
        <f>J171*(1+I184)</f>
        <v>#VALUE!</v>
      </c>
      <c r="J185" s="191" t="s">
        <v>196</v>
      </c>
      <c r="K185" s="190" t="e">
        <f>1+(0.015*(I180-50)^2)/SQRT(20+(I180-50)^2)</f>
        <v>#VALUE!</v>
      </c>
      <c r="L185" s="189"/>
      <c r="M185" s="189"/>
    </row>
    <row r="186" spans="1:13" ht="14.1" customHeight="1" x14ac:dyDescent="0.2">
      <c r="A186" s="191" t="s">
        <v>195</v>
      </c>
      <c r="B186" s="193" t="e">
        <f>C172*(1+B184)</f>
        <v>#VALUE!</v>
      </c>
      <c r="C186" s="191" t="s">
        <v>194</v>
      </c>
      <c r="D186" s="190" t="e">
        <f>1+0.045*B189</f>
        <v>#VALUE!</v>
      </c>
      <c r="E186" s="189"/>
      <c r="F186" s="189"/>
      <c r="H186" s="191" t="s">
        <v>195</v>
      </c>
      <c r="I186" s="193" t="e">
        <f>J172*(1+I184)</f>
        <v>#VALUE!</v>
      </c>
      <c r="J186" s="191" t="s">
        <v>194</v>
      </c>
      <c r="K186" s="190" t="e">
        <f>1+0.045*I189</f>
        <v>#VALUE!</v>
      </c>
      <c r="L186" s="189"/>
      <c r="M186" s="189"/>
    </row>
    <row r="187" spans="1:13" ht="14.1" customHeight="1" x14ac:dyDescent="0.2">
      <c r="A187" s="191" t="s">
        <v>193</v>
      </c>
      <c r="B187" s="193" t="e">
        <f>SQRT(B185^2+D171^2)</f>
        <v>#VALUE!</v>
      </c>
      <c r="C187" s="191" t="s">
        <v>192</v>
      </c>
      <c r="D187" s="190" t="e">
        <f>1+0.015*B189*D180</f>
        <v>#VALUE!</v>
      </c>
      <c r="E187" s="189"/>
      <c r="F187" s="189"/>
      <c r="H187" s="191" t="s">
        <v>193</v>
      </c>
      <c r="I187" s="193" t="e">
        <f>SQRT(I185^2+K171^2)</f>
        <v>#VALUE!</v>
      </c>
      <c r="J187" s="191" t="s">
        <v>192</v>
      </c>
      <c r="K187" s="190" t="e">
        <f>1+0.015*I189*K180</f>
        <v>#VALUE!</v>
      </c>
      <c r="L187" s="189"/>
      <c r="M187" s="189"/>
    </row>
    <row r="188" spans="1:13" ht="14.1" customHeight="1" x14ac:dyDescent="0.2">
      <c r="A188" s="191" t="s">
        <v>191</v>
      </c>
      <c r="B188" s="193" t="e">
        <f>SQRT(B186^2+D172^2)</f>
        <v>#VALUE!</v>
      </c>
      <c r="C188" s="191" t="s">
        <v>190</v>
      </c>
      <c r="D188" s="190" t="e">
        <f>30*EXP(-1*((B192-275)/25)^2)</f>
        <v>#VALUE!</v>
      </c>
      <c r="E188" s="189"/>
      <c r="F188" s="189"/>
      <c r="H188" s="191" t="s">
        <v>191</v>
      </c>
      <c r="I188" s="193" t="e">
        <f>SQRT(I186^2+K172^2)</f>
        <v>#VALUE!</v>
      </c>
      <c r="J188" s="191" t="s">
        <v>190</v>
      </c>
      <c r="K188" s="190" t="e">
        <f>30*EXP(-1*((I192-275)/25)^2)</f>
        <v>#VALUE!</v>
      </c>
      <c r="L188" s="189"/>
      <c r="M188" s="189"/>
    </row>
    <row r="189" spans="1:13" ht="14.1" customHeight="1" x14ac:dyDescent="0.2">
      <c r="A189" s="191" t="s">
        <v>189</v>
      </c>
      <c r="B189" s="193" t="e">
        <f>(B187+B188)/2</f>
        <v>#VALUE!</v>
      </c>
      <c r="C189" s="191" t="s">
        <v>188</v>
      </c>
      <c r="D189" s="190" t="e">
        <f>2*SQRT(B189^7/(B189^7+25^7))</f>
        <v>#VALUE!</v>
      </c>
      <c r="E189" s="189"/>
      <c r="F189" s="189"/>
      <c r="H189" s="191" t="s">
        <v>189</v>
      </c>
      <c r="I189" s="193" t="e">
        <f>(I187+I188)/2</f>
        <v>#VALUE!</v>
      </c>
      <c r="J189" s="191" t="s">
        <v>188</v>
      </c>
      <c r="K189" s="190" t="e">
        <f>2*SQRT(I189^7/(I189^7+25^7))</f>
        <v>#VALUE!</v>
      </c>
      <c r="L189" s="189"/>
      <c r="M189" s="189"/>
    </row>
    <row r="190" spans="1:13" ht="14.1" customHeight="1" x14ac:dyDescent="0.2">
      <c r="A190" s="191" t="s">
        <v>187</v>
      </c>
      <c r="B190" s="193" t="e">
        <f>IF(DEGREES(ATAN2(B185,D171))&gt;=0,DEGREES(ATAN2(B185,D171)),DEGREES(ATAN2(B185,D171))+360)</f>
        <v>#VALUE!</v>
      </c>
      <c r="C190" s="191" t="s">
        <v>186</v>
      </c>
      <c r="D190" s="190" t="e">
        <f>-SIN(2*RADIANS(D188))*D189</f>
        <v>#VALUE!</v>
      </c>
      <c r="E190" s="189"/>
      <c r="F190" s="189"/>
      <c r="H190" s="191" t="s">
        <v>187</v>
      </c>
      <c r="I190" s="193" t="e">
        <f>IF(DEGREES(ATAN2(I185,K171))&gt;=0,DEGREES(ATAN2(I185,K171)),DEGREES(ATAN2(I185,K171))+360)</f>
        <v>#VALUE!</v>
      </c>
      <c r="J190" s="191" t="s">
        <v>186</v>
      </c>
      <c r="K190" s="190" t="e">
        <f>-SIN(2*RADIANS(K188))*K189</f>
        <v>#VALUE!</v>
      </c>
      <c r="L190" s="189"/>
      <c r="M190" s="189"/>
    </row>
    <row r="191" spans="1:13" ht="14.1" customHeight="1" x14ac:dyDescent="0.2">
      <c r="A191" s="191" t="s">
        <v>185</v>
      </c>
      <c r="B191" s="193" t="e">
        <f>IF(DEGREES(ATAN2(B186,D172))&gt;=0,DEGREES(ATAN2(B186,D172)),DEGREES(ATAN2(B186,D172))+360)</f>
        <v>#VALUE!</v>
      </c>
      <c r="C191" s="191" t="s">
        <v>184</v>
      </c>
      <c r="D191" s="190">
        <v>1</v>
      </c>
      <c r="E191" s="189"/>
      <c r="F191" s="189"/>
      <c r="H191" s="191" t="s">
        <v>185</v>
      </c>
      <c r="I191" s="193" t="e">
        <f>IF(DEGREES(ATAN2(I186,K172))&gt;=0,DEGREES(ATAN2(I186,K172)),DEGREES(ATAN2(I186,K172))+360)</f>
        <v>#VALUE!</v>
      </c>
      <c r="J191" s="191" t="s">
        <v>184</v>
      </c>
      <c r="K191" s="190">
        <v>1</v>
      </c>
      <c r="L191" s="189"/>
      <c r="M191" s="189"/>
    </row>
    <row r="192" spans="1:13" ht="14.1" customHeight="1" x14ac:dyDescent="0.2">
      <c r="A192" s="194" t="s">
        <v>183</v>
      </c>
      <c r="B192" s="193" t="e">
        <f>IF((B190-B191)&gt;180,(B190+B191+360)/2,(B190+B191)/2)</f>
        <v>#VALUE!</v>
      </c>
      <c r="C192" s="191" t="s">
        <v>182</v>
      </c>
      <c r="D192" s="190">
        <v>1</v>
      </c>
      <c r="E192" s="189"/>
      <c r="F192" s="189"/>
      <c r="H192" s="194" t="s">
        <v>183</v>
      </c>
      <c r="I192" s="193" t="e">
        <f>IF((I190-I191)&gt;180,(I190+I191+360)/2,(I190+I191)/2)</f>
        <v>#VALUE!</v>
      </c>
      <c r="J192" s="191" t="s">
        <v>182</v>
      </c>
      <c r="K192" s="190">
        <v>1</v>
      </c>
      <c r="L192" s="189"/>
      <c r="M192" s="189"/>
    </row>
    <row r="193" spans="1:13" ht="14.1" customHeight="1" x14ac:dyDescent="0.2">
      <c r="A193" s="191"/>
      <c r="B193" s="192"/>
      <c r="C193" s="191" t="s">
        <v>181</v>
      </c>
      <c r="D193" s="190">
        <v>1</v>
      </c>
      <c r="E193" s="189"/>
      <c r="F193" s="189"/>
      <c r="H193" s="191"/>
      <c r="I193" s="192"/>
      <c r="J193" s="191" t="s">
        <v>181</v>
      </c>
      <c r="K193" s="190">
        <v>1</v>
      </c>
      <c r="L193" s="189"/>
      <c r="M193" s="189"/>
    </row>
    <row r="194" spans="1:13" ht="14.1" customHeight="1" x14ac:dyDescent="0.2">
      <c r="A194" s="191"/>
      <c r="B194" s="192"/>
      <c r="C194" s="191"/>
      <c r="D194" s="192"/>
      <c r="E194" s="189"/>
      <c r="F194" s="189"/>
      <c r="H194" s="191"/>
      <c r="I194" s="192"/>
      <c r="J194" s="191"/>
      <c r="K194" s="192"/>
      <c r="L194" s="189"/>
      <c r="M194" s="189"/>
    </row>
    <row r="195" spans="1:13" ht="14.1" customHeight="1" thickBot="1" x14ac:dyDescent="0.25"/>
    <row r="196" spans="1:13" ht="14.1" customHeight="1" thickBot="1" x14ac:dyDescent="0.25">
      <c r="A196" s="151" t="s">
        <v>221</v>
      </c>
      <c r="B196" s="205" t="str">
        <f>Template!E62</f>
        <v/>
      </c>
      <c r="C196" s="205" t="str">
        <f>Template!F62</f>
        <v/>
      </c>
      <c r="D196" s="205" t="str">
        <f>Template!G62</f>
        <v/>
      </c>
      <c r="E196" s="207" t="e">
        <f>SQRT(C196^2+D196^2)</f>
        <v>#VALUE!</v>
      </c>
      <c r="F196" s="196" t="e">
        <f>IF(DEGREES(ATAN2(C196,D196))&lt;0,DEGREES(ATAN2(C196,D196))+360,IF(DEGREES(ATAN2(C196,D196))&gt;360,DEGREES(ATAN2(C196,D196))-360,DEGREES(ATAN2(C196,D196))))</f>
        <v>#VALUE!</v>
      </c>
      <c r="G196" s="185"/>
      <c r="H196" s="151" t="s">
        <v>221</v>
      </c>
      <c r="I196" s="205" t="str">
        <f>Template!H62</f>
        <v/>
      </c>
      <c r="J196" s="205" t="str">
        <f>Template!I62</f>
        <v/>
      </c>
      <c r="K196" s="205" t="str">
        <f>Template!J62</f>
        <v/>
      </c>
      <c r="L196" s="207" t="e">
        <f>SQRT(J196^2+K196^2)</f>
        <v>#VALUE!</v>
      </c>
      <c r="M196" s="196" t="e">
        <f>IF(DEGREES(ATAN2(J196,K196))&lt;0,DEGREES(ATAN2(J196,K196))+360,IF(DEGREES(ATAN2(J196,K196))&gt;360,DEGREES(ATAN2(J196,K196))-360,DEGREES(ATAN2(J196,K196))))</f>
        <v>#VALUE!</v>
      </c>
    </row>
    <row r="197" spans="1:13" ht="14.1" customHeight="1" thickBot="1" x14ac:dyDescent="0.25">
      <c r="A197" s="151" t="s">
        <v>220</v>
      </c>
      <c r="B197" s="205">
        <f>Template!F87</f>
        <v>0</v>
      </c>
      <c r="C197" s="205">
        <f>Template!G87</f>
        <v>0</v>
      </c>
      <c r="D197" s="205">
        <f>Template!H87</f>
        <v>0</v>
      </c>
      <c r="E197" s="204">
        <f>SQRT(C197^2+D197^2)</f>
        <v>0</v>
      </c>
      <c r="F197" s="203" t="e">
        <f>IF(DEGREES(ATAN2(C197,D197))&lt;0,DEGREES(ATAN2(C197,D197))+360,IF(DEGREES(ATAN2(C197,D197))&gt;360,DEGREES(ATAN2(C197,D197))-360,DEGREES(ATAN2(C197,D197))))</f>
        <v>#DIV/0!</v>
      </c>
      <c r="G197" s="206"/>
      <c r="H197" s="151" t="s">
        <v>220</v>
      </c>
      <c r="I197" s="205">
        <f>Template!F88</f>
        <v>0</v>
      </c>
      <c r="J197" s="205">
        <f>Template!G88</f>
        <v>0</v>
      </c>
      <c r="K197" s="205">
        <f>Template!H88</f>
        <v>0</v>
      </c>
      <c r="L197" s="204">
        <f>SQRT(J197^2+K197^2)</f>
        <v>0</v>
      </c>
      <c r="M197" s="203" t="e">
        <f>IF(DEGREES(ATAN2(J197,K197))&lt;0,DEGREES(ATAN2(J197,K197))+360,IF(DEGREES(ATAN2(J197,K197))&gt;360,DEGREES(ATAN2(J197,K197))-360,DEGREES(ATAN2(J197,K197))))</f>
        <v>#DIV/0!</v>
      </c>
    </row>
    <row r="198" spans="1:13" ht="14.1" customHeight="1" thickBot="1" x14ac:dyDescent="0.25"/>
    <row r="199" spans="1:13" x14ac:dyDescent="0.2">
      <c r="A199" s="197" t="s">
        <v>217</v>
      </c>
      <c r="B199" s="200" t="e">
        <f>B196-B197</f>
        <v>#VALUE!</v>
      </c>
      <c r="C199" s="197" t="s">
        <v>196</v>
      </c>
      <c r="D199" s="190" t="e">
        <f>IF(B196&lt;16,0.511,(0.040975*B196)/(1+(0.01765*B196)))</f>
        <v>#VALUE!</v>
      </c>
      <c r="E199" s="197" t="s">
        <v>216</v>
      </c>
      <c r="F199" s="202">
        <v>2</v>
      </c>
      <c r="G199" s="185"/>
      <c r="H199" s="197" t="s">
        <v>217</v>
      </c>
      <c r="I199" s="200" t="e">
        <f>I196-I197</f>
        <v>#VALUE!</v>
      </c>
      <c r="J199" s="197" t="s">
        <v>196</v>
      </c>
      <c r="K199" s="190" t="e">
        <f>IF(I196&lt;16,0.511,(0.040975*I196)/(1+(0.01765*I196)))</f>
        <v>#VALUE!</v>
      </c>
      <c r="L199" s="197" t="s">
        <v>216</v>
      </c>
      <c r="M199" s="202">
        <v>2</v>
      </c>
    </row>
    <row r="200" spans="1:13" ht="13.5" thickBot="1" x14ac:dyDescent="0.25">
      <c r="A200" s="197" t="s">
        <v>215</v>
      </c>
      <c r="B200" s="200" t="e">
        <f>C196-C197</f>
        <v>#VALUE!</v>
      </c>
      <c r="C200" s="197" t="s">
        <v>194</v>
      </c>
      <c r="D200" s="190" t="e">
        <f>0.0638*E196/(1+(0.0131*E196))+0.638</f>
        <v>#VALUE!</v>
      </c>
      <c r="E200" s="197" t="s">
        <v>214</v>
      </c>
      <c r="F200" s="201">
        <v>1</v>
      </c>
      <c r="G200" s="185"/>
      <c r="H200" s="197" t="s">
        <v>215</v>
      </c>
      <c r="I200" s="200" t="e">
        <f>J196-J197</f>
        <v>#VALUE!</v>
      </c>
      <c r="J200" s="197" t="s">
        <v>194</v>
      </c>
      <c r="K200" s="190" t="e">
        <f>0.0638*L196/(1+(0.0131*L196))+0.638</f>
        <v>#VALUE!</v>
      </c>
      <c r="L200" s="197" t="s">
        <v>214</v>
      </c>
      <c r="M200" s="201">
        <v>1</v>
      </c>
    </row>
    <row r="201" spans="1:13" ht="13.5" thickBot="1" x14ac:dyDescent="0.25">
      <c r="A201" s="197" t="s">
        <v>213</v>
      </c>
      <c r="B201" s="200" t="e">
        <f>D196-D197</f>
        <v>#VALUE!</v>
      </c>
      <c r="C201" s="197" t="s">
        <v>192</v>
      </c>
      <c r="D201" s="190" t="e">
        <f>D200*(D203*D202+1-D203)</f>
        <v>#VALUE!</v>
      </c>
      <c r="H201" s="197" t="s">
        <v>213</v>
      </c>
      <c r="I201" s="200" t="e">
        <f>K196-K197</f>
        <v>#VALUE!</v>
      </c>
      <c r="J201" s="197" t="s">
        <v>192</v>
      </c>
      <c r="K201" s="190" t="e">
        <f>K200*(K203*K202+1-K203)</f>
        <v>#VALUE!</v>
      </c>
    </row>
    <row r="202" spans="1:13" ht="14.1" customHeight="1" thickBot="1" x14ac:dyDescent="0.25">
      <c r="A202" s="197" t="s">
        <v>212</v>
      </c>
      <c r="B202" s="193" t="e">
        <f>E196-E197</f>
        <v>#VALUE!</v>
      </c>
      <c r="C202" s="197" t="s">
        <v>207</v>
      </c>
      <c r="D202" s="190" t="e">
        <f>IF(AND(F196&gt;=164,F196&lt;=345),0.56+ABS(0.2*(COS(RADIANS(F196+168)))),0.36+ABS(0.4*(COS(RADIANS(F196+35)))))</f>
        <v>#VALUE!</v>
      </c>
      <c r="E202" s="147" t="s">
        <v>211</v>
      </c>
      <c r="F202" s="198" t="e">
        <f>ROUND(SQRT((B199/(F199*D199))^2+(B202/(F200*D200))^2+(B203/D201)^2),2)</f>
        <v>#VALUE!</v>
      </c>
      <c r="G202" s="199"/>
      <c r="H202" s="197" t="s">
        <v>212</v>
      </c>
      <c r="I202" s="193" t="e">
        <f>L196-L197</f>
        <v>#VALUE!</v>
      </c>
      <c r="J202" s="197" t="s">
        <v>207</v>
      </c>
      <c r="K202" s="190" t="e">
        <f>IF(AND(M196&gt;=164,M196&lt;=345),0.56+ABS(0.2*(COS(RADIANS(M196+168)))),0.36+ABS(0.4*(COS(RADIANS(M196+35)))))</f>
        <v>#VALUE!</v>
      </c>
      <c r="L202" s="147" t="s">
        <v>211</v>
      </c>
      <c r="M202" s="198" t="e">
        <f>ROUND(SQRT((I199/(M199*K199))^2+(I202/(M200*K200))^2+(I203/K201)^2),2)</f>
        <v>#VALUE!</v>
      </c>
    </row>
    <row r="203" spans="1:13" ht="14.1" customHeight="1" x14ac:dyDescent="0.2">
      <c r="A203" s="197" t="s">
        <v>210</v>
      </c>
      <c r="B203" s="193" t="e">
        <f>SQRT(B200^2+B201^2-B202^2)</f>
        <v>#VALUE!</v>
      </c>
      <c r="C203" s="197" t="s">
        <v>209</v>
      </c>
      <c r="D203" s="190" t="e">
        <f>SQRT(E196^4/(E196^4+1900))</f>
        <v>#VALUE!</v>
      </c>
      <c r="H203" s="197" t="s">
        <v>210</v>
      </c>
      <c r="I203" s="193" t="e">
        <f>SQRT(I200^2+I201^2-I202^2)</f>
        <v>#VALUE!</v>
      </c>
      <c r="J203" s="197" t="s">
        <v>209</v>
      </c>
      <c r="K203" s="190" t="e">
        <f>SQRT(L196^4/(L196^4+1900))</f>
        <v>#VALUE!</v>
      </c>
    </row>
    <row r="204" spans="1:13" ht="14.1" customHeight="1" thickBot="1" x14ac:dyDescent="0.25">
      <c r="A204" s="191"/>
      <c r="B204" s="192"/>
      <c r="C204" s="191"/>
      <c r="D204" s="192"/>
      <c r="E204" s="189"/>
      <c r="F204" s="189"/>
      <c r="H204" s="191"/>
      <c r="I204" s="192"/>
      <c r="J204" s="191"/>
      <c r="K204" s="192"/>
      <c r="L204" s="189"/>
      <c r="M204" s="189"/>
    </row>
    <row r="205" spans="1:13" ht="14.1" customHeight="1" thickBot="1" x14ac:dyDescent="0.25">
      <c r="A205" s="191" t="s">
        <v>208</v>
      </c>
      <c r="B205" s="193" t="e">
        <f>(B196+B197)/2</f>
        <v>#VALUE!</v>
      </c>
      <c r="C205" s="191" t="s">
        <v>207</v>
      </c>
      <c r="D205" s="196" t="e">
        <f>1-0.17*(COS(RADIANS(B217-30)))+0.24*COS(RADIANS(2*B217))+0.32*COS(RADIANS(3*B217+6))-0.2*COS(RADIANS(4*B217-63))</f>
        <v>#VALUE!</v>
      </c>
      <c r="E205" s="191" t="s">
        <v>206</v>
      </c>
      <c r="F205" s="195" t="e">
        <f>ROUND(SQRT((D207/(D216*D210))^2+(D208/(D217*D211))^2+(D209/(D218*D212))^2+D215*(D208/(D217*D211))*(D209/(D218*D212))),2)</f>
        <v>#VALUE!</v>
      </c>
      <c r="H205" s="191" t="s">
        <v>208</v>
      </c>
      <c r="I205" s="193" t="e">
        <f>(I196+I197)/2</f>
        <v>#VALUE!</v>
      </c>
      <c r="J205" s="191" t="s">
        <v>207</v>
      </c>
      <c r="K205" s="196" t="e">
        <f>1-0.17*(COS(RADIANS(I217-30)))+0.24*COS(RADIANS(2*I217))+0.32*COS(RADIANS(3*I217+6))-0.2*COS(RADIANS(4*I217-63))</f>
        <v>#VALUE!</v>
      </c>
      <c r="L205" s="191" t="s">
        <v>206</v>
      </c>
      <c r="M205" s="195" t="e">
        <f>ROUND(SQRT((K207/(K216*K210))^2+(K208/(K217*K211))^2+(K209/(K218*K212))^2+K215*(K208/(K217*K211))*(K209/(K218*K212))),2)</f>
        <v>#VALUE!</v>
      </c>
    </row>
    <row r="206" spans="1:13" ht="14.1" customHeight="1" x14ac:dyDescent="0.2">
      <c r="A206" s="191" t="s">
        <v>205</v>
      </c>
      <c r="B206" s="193" t="e">
        <f>SQRT(C196^2+D196^2)</f>
        <v>#VALUE!</v>
      </c>
      <c r="C206" s="191" t="s">
        <v>204</v>
      </c>
      <c r="D206" s="190" t="e">
        <f>IF((B216-B215)&lt;=180,B216-B215,IF(AND(B216-B215&gt;180,B216&lt;=B215),B216-B215+360,B216-B215-360))</f>
        <v>#VALUE!</v>
      </c>
      <c r="E206" s="189"/>
      <c r="F206" s="189"/>
      <c r="H206" s="191" t="s">
        <v>205</v>
      </c>
      <c r="I206" s="193" t="e">
        <f>SQRT(J196^2+K196^2)</f>
        <v>#VALUE!</v>
      </c>
      <c r="J206" s="191" t="s">
        <v>204</v>
      </c>
      <c r="K206" s="190" t="e">
        <f>IF((I216-I215)&lt;=180,I216-I215,IF(AND(I216-I215&gt;180,I216&lt;=I215),I216-I215+360,I216-I215-360))</f>
        <v>#VALUE!</v>
      </c>
      <c r="L206" s="189"/>
      <c r="M206" s="189"/>
    </row>
    <row r="207" spans="1:13" ht="14.1" customHeight="1" x14ac:dyDescent="0.2">
      <c r="A207" s="191" t="s">
        <v>203</v>
      </c>
      <c r="B207" s="193">
        <f>SQRT(C197^2+D197^2)</f>
        <v>0</v>
      </c>
      <c r="C207" s="191" t="s">
        <v>202</v>
      </c>
      <c r="D207" s="190" t="e">
        <f>B197-B196</f>
        <v>#VALUE!</v>
      </c>
      <c r="E207" s="189"/>
      <c r="F207" s="189"/>
      <c r="H207" s="191" t="s">
        <v>203</v>
      </c>
      <c r="I207" s="193">
        <f>SQRT(J197^2+K197^2)</f>
        <v>0</v>
      </c>
      <c r="J207" s="191" t="s">
        <v>202</v>
      </c>
      <c r="K207" s="190" t="e">
        <f>I197-I196</f>
        <v>#VALUE!</v>
      </c>
      <c r="L207" s="189"/>
      <c r="M207" s="189"/>
    </row>
    <row r="208" spans="1:13" ht="14.1" customHeight="1" x14ac:dyDescent="0.2">
      <c r="A208" s="191" t="s">
        <v>201</v>
      </c>
      <c r="B208" s="193" t="e">
        <f>(B206+B207)/2</f>
        <v>#VALUE!</v>
      </c>
      <c r="C208" s="191" t="s">
        <v>200</v>
      </c>
      <c r="D208" s="190" t="e">
        <f>B213-B212</f>
        <v>#VALUE!</v>
      </c>
      <c r="E208" s="189"/>
      <c r="F208" s="189"/>
      <c r="H208" s="191" t="s">
        <v>201</v>
      </c>
      <c r="I208" s="193" t="e">
        <f>(I206+I207)/2</f>
        <v>#VALUE!</v>
      </c>
      <c r="J208" s="191" t="s">
        <v>200</v>
      </c>
      <c r="K208" s="190" t="e">
        <f>I213-I212</f>
        <v>#VALUE!</v>
      </c>
      <c r="L208" s="189"/>
      <c r="M208" s="189"/>
    </row>
    <row r="209" spans="1:13" ht="14.1" customHeight="1" x14ac:dyDescent="0.2">
      <c r="A209" s="191" t="s">
        <v>199</v>
      </c>
      <c r="B209" s="193" t="e">
        <f>(1-SQRT(B208^7/(B208^7+25^7)))/2</f>
        <v>#VALUE!</v>
      </c>
      <c r="C209" s="191" t="s">
        <v>198</v>
      </c>
      <c r="D209" s="190" t="e">
        <f>2*SQRT(B212*B213)*SIN(RADIANS(D206/2))</f>
        <v>#VALUE!</v>
      </c>
      <c r="E209" s="189"/>
      <c r="F209" s="189"/>
      <c r="H209" s="191" t="s">
        <v>199</v>
      </c>
      <c r="I209" s="193" t="e">
        <f>(1-SQRT(I208^7/(I208^7+25^7)))/2</f>
        <v>#VALUE!</v>
      </c>
      <c r="J209" s="191" t="s">
        <v>198</v>
      </c>
      <c r="K209" s="190" t="e">
        <f>2*SQRT(I212*I213)*SIN(RADIANS(K206/2))</f>
        <v>#VALUE!</v>
      </c>
      <c r="L209" s="189"/>
      <c r="M209" s="189"/>
    </row>
    <row r="210" spans="1:13" ht="14.1" customHeight="1" x14ac:dyDescent="0.2">
      <c r="A210" s="191" t="s">
        <v>197</v>
      </c>
      <c r="B210" s="193" t="e">
        <f>C196*(1+B209)</f>
        <v>#VALUE!</v>
      </c>
      <c r="C210" s="191" t="s">
        <v>196</v>
      </c>
      <c r="D210" s="190" t="e">
        <f>1+(0.015*(B205-50)^2)/SQRT(20+(B205-50)^2)</f>
        <v>#VALUE!</v>
      </c>
      <c r="E210" s="189"/>
      <c r="F210" s="189"/>
      <c r="H210" s="191" t="s">
        <v>197</v>
      </c>
      <c r="I210" s="193" t="e">
        <f>J196*(1+I209)</f>
        <v>#VALUE!</v>
      </c>
      <c r="J210" s="191" t="s">
        <v>196</v>
      </c>
      <c r="K210" s="190" t="e">
        <f>1+(0.015*(I205-50)^2)/SQRT(20+(I205-50)^2)</f>
        <v>#VALUE!</v>
      </c>
      <c r="L210" s="189"/>
      <c r="M210" s="189"/>
    </row>
    <row r="211" spans="1:13" ht="14.1" customHeight="1" x14ac:dyDescent="0.2">
      <c r="A211" s="191" t="s">
        <v>195</v>
      </c>
      <c r="B211" s="193" t="e">
        <f>C197*(1+B209)</f>
        <v>#VALUE!</v>
      </c>
      <c r="C211" s="191" t="s">
        <v>194</v>
      </c>
      <c r="D211" s="190" t="e">
        <f>1+0.045*B214</f>
        <v>#VALUE!</v>
      </c>
      <c r="E211" s="189"/>
      <c r="F211" s="189"/>
      <c r="H211" s="191" t="s">
        <v>195</v>
      </c>
      <c r="I211" s="193" t="e">
        <f>J197*(1+I209)</f>
        <v>#VALUE!</v>
      </c>
      <c r="J211" s="191" t="s">
        <v>194</v>
      </c>
      <c r="K211" s="190" t="e">
        <f>1+0.045*I214</f>
        <v>#VALUE!</v>
      </c>
      <c r="L211" s="189"/>
      <c r="M211" s="189"/>
    </row>
    <row r="212" spans="1:13" ht="14.1" customHeight="1" x14ac:dyDescent="0.2">
      <c r="A212" s="191" t="s">
        <v>193</v>
      </c>
      <c r="B212" s="193" t="e">
        <f>SQRT(B210^2+D196^2)</f>
        <v>#VALUE!</v>
      </c>
      <c r="C212" s="191" t="s">
        <v>192</v>
      </c>
      <c r="D212" s="190" t="e">
        <f>1+0.015*B214*D205</f>
        <v>#VALUE!</v>
      </c>
      <c r="E212" s="189"/>
      <c r="F212" s="189"/>
      <c r="H212" s="191" t="s">
        <v>193</v>
      </c>
      <c r="I212" s="193" t="e">
        <f>SQRT(I210^2+K196^2)</f>
        <v>#VALUE!</v>
      </c>
      <c r="J212" s="191" t="s">
        <v>192</v>
      </c>
      <c r="K212" s="190" t="e">
        <f>1+0.015*I214*K205</f>
        <v>#VALUE!</v>
      </c>
      <c r="L212" s="189"/>
      <c r="M212" s="189"/>
    </row>
    <row r="213" spans="1:13" ht="14.1" customHeight="1" x14ac:dyDescent="0.2">
      <c r="A213" s="191" t="s">
        <v>191</v>
      </c>
      <c r="B213" s="193" t="e">
        <f>SQRT(B211^2+D197^2)</f>
        <v>#VALUE!</v>
      </c>
      <c r="C213" s="191" t="s">
        <v>190</v>
      </c>
      <c r="D213" s="190" t="e">
        <f>30*EXP(-1*((B217-275)/25)^2)</f>
        <v>#VALUE!</v>
      </c>
      <c r="E213" s="189"/>
      <c r="F213" s="189"/>
      <c r="H213" s="191" t="s">
        <v>191</v>
      </c>
      <c r="I213" s="193" t="e">
        <f>SQRT(I211^2+K197^2)</f>
        <v>#VALUE!</v>
      </c>
      <c r="J213" s="191" t="s">
        <v>190</v>
      </c>
      <c r="K213" s="190" t="e">
        <f>30*EXP(-1*((I217-275)/25)^2)</f>
        <v>#VALUE!</v>
      </c>
      <c r="L213" s="189"/>
      <c r="M213" s="189"/>
    </row>
    <row r="214" spans="1:13" ht="14.1" customHeight="1" x14ac:dyDescent="0.2">
      <c r="A214" s="191" t="s">
        <v>189</v>
      </c>
      <c r="B214" s="193" t="e">
        <f>(B212+B213)/2</f>
        <v>#VALUE!</v>
      </c>
      <c r="C214" s="191" t="s">
        <v>188</v>
      </c>
      <c r="D214" s="190" t="e">
        <f>2*SQRT(B214^7/(B214^7+25^7))</f>
        <v>#VALUE!</v>
      </c>
      <c r="E214" s="189"/>
      <c r="F214" s="189"/>
      <c r="H214" s="191" t="s">
        <v>189</v>
      </c>
      <c r="I214" s="193" t="e">
        <f>(I212+I213)/2</f>
        <v>#VALUE!</v>
      </c>
      <c r="J214" s="191" t="s">
        <v>188</v>
      </c>
      <c r="K214" s="190" t="e">
        <f>2*SQRT(I214^7/(I214^7+25^7))</f>
        <v>#VALUE!</v>
      </c>
      <c r="L214" s="189"/>
      <c r="M214" s="189"/>
    </row>
    <row r="215" spans="1:13" ht="14.1" customHeight="1" x14ac:dyDescent="0.2">
      <c r="A215" s="191" t="s">
        <v>187</v>
      </c>
      <c r="B215" s="193" t="e">
        <f>IF(DEGREES(ATAN2(B210,D196))&gt;=0,DEGREES(ATAN2(B210,D196)),DEGREES(ATAN2(B210,D196))+360)</f>
        <v>#VALUE!</v>
      </c>
      <c r="C215" s="191" t="s">
        <v>186</v>
      </c>
      <c r="D215" s="190" t="e">
        <f>-SIN(2*RADIANS(D213))*D214</f>
        <v>#VALUE!</v>
      </c>
      <c r="E215" s="189"/>
      <c r="F215" s="189"/>
      <c r="H215" s="191" t="s">
        <v>187</v>
      </c>
      <c r="I215" s="193" t="e">
        <f>IF(DEGREES(ATAN2(I210,K196))&gt;=0,DEGREES(ATAN2(I210,K196)),DEGREES(ATAN2(I210,K196))+360)</f>
        <v>#VALUE!</v>
      </c>
      <c r="J215" s="191" t="s">
        <v>186</v>
      </c>
      <c r="K215" s="190" t="e">
        <f>-SIN(2*RADIANS(K213))*K214</f>
        <v>#VALUE!</v>
      </c>
      <c r="L215" s="189"/>
      <c r="M215" s="189"/>
    </row>
    <row r="216" spans="1:13" ht="14.1" customHeight="1" x14ac:dyDescent="0.2">
      <c r="A216" s="191" t="s">
        <v>185</v>
      </c>
      <c r="B216" s="193" t="e">
        <f>IF(DEGREES(ATAN2(B211,D197))&gt;=0,DEGREES(ATAN2(B211,D197)),DEGREES(ATAN2(B211,D197))+360)</f>
        <v>#VALUE!</v>
      </c>
      <c r="C216" s="191" t="s">
        <v>184</v>
      </c>
      <c r="D216" s="190">
        <v>1</v>
      </c>
      <c r="E216" s="189"/>
      <c r="F216" s="189"/>
      <c r="H216" s="191" t="s">
        <v>185</v>
      </c>
      <c r="I216" s="193" t="e">
        <f>IF(DEGREES(ATAN2(I211,K197))&gt;=0,DEGREES(ATAN2(I211,K197)),DEGREES(ATAN2(I211,K197))+360)</f>
        <v>#VALUE!</v>
      </c>
      <c r="J216" s="191" t="s">
        <v>184</v>
      </c>
      <c r="K216" s="190">
        <v>1</v>
      </c>
      <c r="L216" s="189"/>
      <c r="M216" s="189"/>
    </row>
    <row r="217" spans="1:13" ht="14.1" customHeight="1" x14ac:dyDescent="0.2">
      <c r="A217" s="194" t="s">
        <v>183</v>
      </c>
      <c r="B217" s="193" t="e">
        <f>IF((B215-B216)&gt;180,(B215+B216+360)/2,(B215+B216)/2)</f>
        <v>#VALUE!</v>
      </c>
      <c r="C217" s="191" t="s">
        <v>182</v>
      </c>
      <c r="D217" s="190">
        <v>1</v>
      </c>
      <c r="E217" s="189"/>
      <c r="F217" s="189"/>
      <c r="H217" s="194" t="s">
        <v>183</v>
      </c>
      <c r="I217" s="193" t="e">
        <f>IF((I215-I216)&gt;180,(I215+I216+360)/2,(I215+I216)/2)</f>
        <v>#VALUE!</v>
      </c>
      <c r="J217" s="191" t="s">
        <v>182</v>
      </c>
      <c r="K217" s="190">
        <v>1</v>
      </c>
      <c r="L217" s="189"/>
      <c r="M217" s="189"/>
    </row>
    <row r="218" spans="1:13" ht="14.1" customHeight="1" x14ac:dyDescent="0.2">
      <c r="A218" s="191"/>
      <c r="B218" s="192"/>
      <c r="C218" s="191" t="s">
        <v>181</v>
      </c>
      <c r="D218" s="190">
        <v>1</v>
      </c>
      <c r="E218" s="189"/>
      <c r="F218" s="189"/>
      <c r="H218" s="191"/>
      <c r="I218" s="192"/>
      <c r="J218" s="191" t="s">
        <v>181</v>
      </c>
      <c r="K218" s="190">
        <v>1</v>
      </c>
      <c r="L218" s="189"/>
      <c r="M218" s="189"/>
    </row>
    <row r="219" spans="1:13" ht="14.1" customHeight="1" thickBot="1" x14ac:dyDescent="0.25"/>
    <row r="220" spans="1:13" ht="14.1" customHeight="1" thickBot="1" x14ac:dyDescent="0.25">
      <c r="A220" s="151" t="s">
        <v>219</v>
      </c>
      <c r="B220" s="205" t="str">
        <f>Template!E63</f>
        <v/>
      </c>
      <c r="C220" s="205" t="str">
        <f>Template!F63</f>
        <v/>
      </c>
      <c r="D220" s="205" t="str">
        <f>Template!G63</f>
        <v/>
      </c>
      <c r="E220" s="207" t="e">
        <f>SQRT(C220^2+D220^2)</f>
        <v>#VALUE!</v>
      </c>
      <c r="F220" s="196" t="e">
        <f>IF(DEGREES(ATAN2(C220,D220))&lt;0,DEGREES(ATAN2(C220,D220))+360,IF(DEGREES(ATAN2(C220,D220))&gt;360,DEGREES(ATAN2(C220,D220))-360,DEGREES(ATAN2(C220,D220))))</f>
        <v>#VALUE!</v>
      </c>
      <c r="G220" s="185"/>
      <c r="H220" s="151" t="s">
        <v>219</v>
      </c>
      <c r="I220" s="205" t="str">
        <f>Template!H63</f>
        <v/>
      </c>
      <c r="J220" s="205" t="str">
        <f>Template!I63</f>
        <v/>
      </c>
      <c r="K220" s="205" t="str">
        <f>Template!J63</f>
        <v/>
      </c>
      <c r="L220" s="207" t="e">
        <f>SQRT(J220^2+K220^2)</f>
        <v>#VALUE!</v>
      </c>
      <c r="M220" s="196" t="e">
        <f>IF(DEGREES(ATAN2(J220,K220))&lt;0,DEGREES(ATAN2(J220,K220))+360,IF(DEGREES(ATAN2(J220,K220))&gt;360,DEGREES(ATAN2(J220,K220))-360,DEGREES(ATAN2(J220,K220))))</f>
        <v>#VALUE!</v>
      </c>
    </row>
    <row r="221" spans="1:13" ht="14.1" customHeight="1" thickBot="1" x14ac:dyDescent="0.25">
      <c r="A221" s="151" t="s">
        <v>218</v>
      </c>
      <c r="B221" s="205">
        <f>Template!F89</f>
        <v>0</v>
      </c>
      <c r="C221" s="205">
        <f>Template!G89</f>
        <v>0</v>
      </c>
      <c r="D221" s="205">
        <f>Template!H89</f>
        <v>0</v>
      </c>
      <c r="E221" s="204">
        <f>SQRT(C221^2+D221^2)</f>
        <v>0</v>
      </c>
      <c r="F221" s="203" t="e">
        <f>IF(DEGREES(ATAN2(C221,D221))&lt;0,DEGREES(ATAN2(C221,D221))+360,IF(DEGREES(ATAN2(C221,D221))&gt;360,DEGREES(ATAN2(C221,D221))-360,DEGREES(ATAN2(C221,D221))))</f>
        <v>#DIV/0!</v>
      </c>
      <c r="G221" s="206"/>
      <c r="H221" s="151" t="s">
        <v>218</v>
      </c>
      <c r="I221" s="205">
        <f>Template!F90</f>
        <v>0</v>
      </c>
      <c r="J221" s="205">
        <f>Template!G90</f>
        <v>0</v>
      </c>
      <c r="K221" s="205">
        <f>Template!H90</f>
        <v>0</v>
      </c>
      <c r="L221" s="204">
        <f>SQRT(J221^2+K221^2)</f>
        <v>0</v>
      </c>
      <c r="M221" s="203" t="e">
        <f>IF(DEGREES(ATAN2(J221,K221))&lt;0,DEGREES(ATAN2(J221,K221))+360,IF(DEGREES(ATAN2(J221,K221))&gt;360,DEGREES(ATAN2(J221,K221))-360,DEGREES(ATAN2(J221,K221))))</f>
        <v>#DIV/0!</v>
      </c>
    </row>
    <row r="222" spans="1:13" ht="14.1" customHeight="1" thickBot="1" x14ac:dyDescent="0.25"/>
    <row r="223" spans="1:13" x14ac:dyDescent="0.2">
      <c r="A223" s="197" t="s">
        <v>217</v>
      </c>
      <c r="B223" s="200" t="e">
        <f>B220-B221</f>
        <v>#VALUE!</v>
      </c>
      <c r="C223" s="197" t="s">
        <v>196</v>
      </c>
      <c r="D223" s="190" t="e">
        <f>IF(B220&lt;16,0.511,(0.040975*B220)/(1+(0.01765*B220)))</f>
        <v>#VALUE!</v>
      </c>
      <c r="E223" s="197" t="s">
        <v>216</v>
      </c>
      <c r="F223" s="202">
        <v>2</v>
      </c>
      <c r="G223" s="185"/>
      <c r="H223" s="197" t="s">
        <v>217</v>
      </c>
      <c r="I223" s="200" t="e">
        <f>I220-I221</f>
        <v>#VALUE!</v>
      </c>
      <c r="J223" s="197" t="s">
        <v>196</v>
      </c>
      <c r="K223" s="190" t="e">
        <f>IF(I220&lt;16,0.511,(0.040975*I220)/(1+(0.01765*I220)))</f>
        <v>#VALUE!</v>
      </c>
      <c r="L223" s="197" t="s">
        <v>216</v>
      </c>
      <c r="M223" s="202">
        <v>2</v>
      </c>
    </row>
    <row r="224" spans="1:13" ht="13.5" thickBot="1" x14ac:dyDescent="0.25">
      <c r="A224" s="197" t="s">
        <v>215</v>
      </c>
      <c r="B224" s="200" t="e">
        <f>C220-C221</f>
        <v>#VALUE!</v>
      </c>
      <c r="C224" s="197" t="s">
        <v>194</v>
      </c>
      <c r="D224" s="190" t="e">
        <f>0.0638*E220/(1+(0.0131*E220))+0.638</f>
        <v>#VALUE!</v>
      </c>
      <c r="E224" s="197" t="s">
        <v>214</v>
      </c>
      <c r="F224" s="201">
        <v>1</v>
      </c>
      <c r="G224" s="185"/>
      <c r="H224" s="197" t="s">
        <v>215</v>
      </c>
      <c r="I224" s="200" t="e">
        <f>J220-J221</f>
        <v>#VALUE!</v>
      </c>
      <c r="J224" s="197" t="s">
        <v>194</v>
      </c>
      <c r="K224" s="190" t="e">
        <f>0.0638*L220/(1+(0.0131*L220))+0.638</f>
        <v>#VALUE!</v>
      </c>
      <c r="L224" s="197" t="s">
        <v>214</v>
      </c>
      <c r="M224" s="201">
        <v>1</v>
      </c>
    </row>
    <row r="225" spans="1:13" ht="13.5" thickBot="1" x14ac:dyDescent="0.25">
      <c r="A225" s="197" t="s">
        <v>213</v>
      </c>
      <c r="B225" s="200" t="e">
        <f>D220-D221</f>
        <v>#VALUE!</v>
      </c>
      <c r="C225" s="197" t="s">
        <v>192</v>
      </c>
      <c r="D225" s="190" t="e">
        <f>D224*(D227*D226+1-D227)</f>
        <v>#VALUE!</v>
      </c>
      <c r="H225" s="197" t="s">
        <v>213</v>
      </c>
      <c r="I225" s="200" t="e">
        <f>K220-K221</f>
        <v>#VALUE!</v>
      </c>
      <c r="J225" s="197" t="s">
        <v>192</v>
      </c>
      <c r="K225" s="190" t="e">
        <f>K224*(K227*K226+1-K227)</f>
        <v>#VALUE!</v>
      </c>
    </row>
    <row r="226" spans="1:13" ht="14.1" customHeight="1" thickBot="1" x14ac:dyDescent="0.25">
      <c r="A226" s="197" t="s">
        <v>212</v>
      </c>
      <c r="B226" s="193" t="e">
        <f>E220-E221</f>
        <v>#VALUE!</v>
      </c>
      <c r="C226" s="197" t="s">
        <v>207</v>
      </c>
      <c r="D226" s="190" t="e">
        <f>IF(AND(F220&gt;=164,F220&lt;=345),0.56+ABS(0.2*(COS(RADIANS(F220+168)))),0.36+ABS(0.4*(COS(RADIANS(F220+35)))))</f>
        <v>#VALUE!</v>
      </c>
      <c r="E226" s="147" t="s">
        <v>211</v>
      </c>
      <c r="F226" s="198" t="e">
        <f>ROUND(SQRT((B223/(F223*D223))^2+(B226/(F224*D224))^2+(B227/D225)^2),2)</f>
        <v>#VALUE!</v>
      </c>
      <c r="G226" s="199"/>
      <c r="H226" s="197" t="s">
        <v>212</v>
      </c>
      <c r="I226" s="193" t="e">
        <f>L220-L221</f>
        <v>#VALUE!</v>
      </c>
      <c r="J226" s="197" t="s">
        <v>207</v>
      </c>
      <c r="K226" s="190" t="e">
        <f>IF(AND(M220&gt;=164,M220&lt;=345),0.56+ABS(0.2*(COS(RADIANS(M220+168)))),0.36+ABS(0.4*(COS(RADIANS(M220+35)))))</f>
        <v>#VALUE!</v>
      </c>
      <c r="L226" s="147" t="s">
        <v>211</v>
      </c>
      <c r="M226" s="198" t="e">
        <f>ROUND(SQRT((I223/(M223*K223))^2+(I226/(M224*K224))^2+(I227/K225)^2),2)</f>
        <v>#VALUE!</v>
      </c>
    </row>
    <row r="227" spans="1:13" ht="14.1" customHeight="1" x14ac:dyDescent="0.2">
      <c r="A227" s="197" t="s">
        <v>210</v>
      </c>
      <c r="B227" s="193" t="e">
        <f>SQRT(B224^2+B225^2-B226^2)</f>
        <v>#VALUE!</v>
      </c>
      <c r="C227" s="197" t="s">
        <v>209</v>
      </c>
      <c r="D227" s="190" t="e">
        <f>SQRT(E220^4/(E220^4+1900))</f>
        <v>#VALUE!</v>
      </c>
      <c r="H227" s="197" t="s">
        <v>210</v>
      </c>
      <c r="I227" s="193" t="e">
        <f>SQRT(I224^2+I225^2-I226^2)</f>
        <v>#VALUE!</v>
      </c>
      <c r="J227" s="197" t="s">
        <v>209</v>
      </c>
      <c r="K227" s="190" t="e">
        <f>SQRT(L220^4/(L220^4+1900))</f>
        <v>#VALUE!</v>
      </c>
    </row>
    <row r="228" spans="1:13" ht="14.1" customHeight="1" thickBot="1" x14ac:dyDescent="0.25">
      <c r="A228" s="191"/>
      <c r="B228" s="192"/>
      <c r="C228" s="191"/>
      <c r="D228" s="192"/>
      <c r="E228" s="189"/>
      <c r="F228" s="189"/>
      <c r="H228" s="191"/>
      <c r="I228" s="192"/>
      <c r="J228" s="191"/>
      <c r="K228" s="192"/>
      <c r="L228" s="189"/>
      <c r="M228" s="189"/>
    </row>
    <row r="229" spans="1:13" ht="14.1" customHeight="1" thickBot="1" x14ac:dyDescent="0.25">
      <c r="A229" s="191" t="s">
        <v>208</v>
      </c>
      <c r="B229" s="193" t="e">
        <f>(B220+B221)/2</f>
        <v>#VALUE!</v>
      </c>
      <c r="C229" s="191" t="s">
        <v>207</v>
      </c>
      <c r="D229" s="196" t="e">
        <f>1-0.17*(COS(RADIANS(B241-30)))+0.24*COS(RADIANS(2*B241))+0.32*COS(RADIANS(3*B241+6))-0.2*COS(RADIANS(4*B241-63))</f>
        <v>#VALUE!</v>
      </c>
      <c r="E229" s="191" t="s">
        <v>206</v>
      </c>
      <c r="F229" s="195" t="e">
        <f>ROUND(SQRT((D231/(D240*D234))^2+(D232/(D241*D235))^2+(D233/(D242*D236))^2+D239*(D232/(D241*D235))*(D233/(D242*D236))),2)</f>
        <v>#VALUE!</v>
      </c>
      <c r="H229" s="191" t="s">
        <v>208</v>
      </c>
      <c r="I229" s="193" t="e">
        <f>(I220+I221)/2</f>
        <v>#VALUE!</v>
      </c>
      <c r="J229" s="191" t="s">
        <v>207</v>
      </c>
      <c r="K229" s="196" t="e">
        <f>1-0.17*(COS(RADIANS(I241-30)))+0.24*COS(RADIANS(2*I241))+0.32*COS(RADIANS(3*I241+6))-0.2*COS(RADIANS(4*I241-63))</f>
        <v>#VALUE!</v>
      </c>
      <c r="L229" s="191" t="s">
        <v>206</v>
      </c>
      <c r="M229" s="195" t="e">
        <f>ROUND(SQRT((K231/(K240*K234))^2+(K232/(K241*K235))^2+(K233/(K242*K236))^2+K239*(K232/(K241*K235))*(K233/(K242*K236))),2)</f>
        <v>#VALUE!</v>
      </c>
    </row>
    <row r="230" spans="1:13" ht="14.1" customHeight="1" x14ac:dyDescent="0.2">
      <c r="A230" s="191" t="s">
        <v>205</v>
      </c>
      <c r="B230" s="193" t="e">
        <f>SQRT(C220^2+D220^2)</f>
        <v>#VALUE!</v>
      </c>
      <c r="C230" s="191" t="s">
        <v>204</v>
      </c>
      <c r="D230" s="190" t="e">
        <f>IF((B240-B239)&lt;=180,B240-B239,IF(AND(B240-B239&gt;180,B240&lt;=B239),B240-B239+360,B240-B239-360))</f>
        <v>#VALUE!</v>
      </c>
      <c r="E230" s="189"/>
      <c r="F230" s="189"/>
      <c r="H230" s="191" t="s">
        <v>205</v>
      </c>
      <c r="I230" s="193" t="e">
        <f>SQRT(J220^2+K220^2)</f>
        <v>#VALUE!</v>
      </c>
      <c r="J230" s="191" t="s">
        <v>204</v>
      </c>
      <c r="K230" s="190" t="e">
        <f>IF((I240-I239)&lt;=180,I240-I239,IF(AND(I240-I239&gt;180,I240&lt;=I239),I240-I239+360,I240-I239-360))</f>
        <v>#VALUE!</v>
      </c>
      <c r="L230" s="189"/>
      <c r="M230" s="189"/>
    </row>
    <row r="231" spans="1:13" ht="14.1" customHeight="1" x14ac:dyDescent="0.2">
      <c r="A231" s="191" t="s">
        <v>203</v>
      </c>
      <c r="B231" s="193">
        <f>SQRT(C221^2+D221^2)</f>
        <v>0</v>
      </c>
      <c r="C231" s="191" t="s">
        <v>202</v>
      </c>
      <c r="D231" s="190" t="e">
        <f>B221-B220</f>
        <v>#VALUE!</v>
      </c>
      <c r="E231" s="189"/>
      <c r="F231" s="189"/>
      <c r="H231" s="191" t="s">
        <v>203</v>
      </c>
      <c r="I231" s="193">
        <f>SQRT(J221^2+K221^2)</f>
        <v>0</v>
      </c>
      <c r="J231" s="191" t="s">
        <v>202</v>
      </c>
      <c r="K231" s="190" t="e">
        <f>I221-I220</f>
        <v>#VALUE!</v>
      </c>
      <c r="L231" s="189"/>
      <c r="M231" s="189"/>
    </row>
    <row r="232" spans="1:13" ht="14.1" customHeight="1" x14ac:dyDescent="0.2">
      <c r="A232" s="191" t="s">
        <v>201</v>
      </c>
      <c r="B232" s="193" t="e">
        <f>(B230+B231)/2</f>
        <v>#VALUE!</v>
      </c>
      <c r="C232" s="191" t="s">
        <v>200</v>
      </c>
      <c r="D232" s="190" t="e">
        <f>B237-B236</f>
        <v>#VALUE!</v>
      </c>
      <c r="E232" s="189"/>
      <c r="F232" s="189"/>
      <c r="H232" s="191" t="s">
        <v>201</v>
      </c>
      <c r="I232" s="193" t="e">
        <f>(I230+I231)/2</f>
        <v>#VALUE!</v>
      </c>
      <c r="J232" s="191" t="s">
        <v>200</v>
      </c>
      <c r="K232" s="190" t="e">
        <f>I237-I236</f>
        <v>#VALUE!</v>
      </c>
      <c r="L232" s="189"/>
      <c r="M232" s="189"/>
    </row>
    <row r="233" spans="1:13" ht="14.1" customHeight="1" x14ac:dyDescent="0.2">
      <c r="A233" s="191" t="s">
        <v>199</v>
      </c>
      <c r="B233" s="193" t="e">
        <f>(1-SQRT(B232^7/(B232^7+25^7)))/2</f>
        <v>#VALUE!</v>
      </c>
      <c r="C233" s="191" t="s">
        <v>198</v>
      </c>
      <c r="D233" s="190" t="e">
        <f>2*SQRT(B236*B237)*SIN(RADIANS(D230/2))</f>
        <v>#VALUE!</v>
      </c>
      <c r="E233" s="189"/>
      <c r="F233" s="189"/>
      <c r="H233" s="191" t="s">
        <v>199</v>
      </c>
      <c r="I233" s="193" t="e">
        <f>(1-SQRT(I232^7/(I232^7+25^7)))/2</f>
        <v>#VALUE!</v>
      </c>
      <c r="J233" s="191" t="s">
        <v>198</v>
      </c>
      <c r="K233" s="190" t="e">
        <f>2*SQRT(I236*I237)*SIN(RADIANS(K230/2))</f>
        <v>#VALUE!</v>
      </c>
      <c r="L233" s="189"/>
      <c r="M233" s="189"/>
    </row>
    <row r="234" spans="1:13" ht="14.1" customHeight="1" x14ac:dyDescent="0.2">
      <c r="A234" s="191" t="s">
        <v>197</v>
      </c>
      <c r="B234" s="193" t="e">
        <f>C220*(1+B233)</f>
        <v>#VALUE!</v>
      </c>
      <c r="C234" s="191" t="s">
        <v>196</v>
      </c>
      <c r="D234" s="190" t="e">
        <f>1+(0.015*(B229-50)^2)/SQRT(20+(B229-50)^2)</f>
        <v>#VALUE!</v>
      </c>
      <c r="E234" s="189"/>
      <c r="F234" s="189"/>
      <c r="H234" s="191" t="s">
        <v>197</v>
      </c>
      <c r="I234" s="193" t="e">
        <f>J220*(1+I233)</f>
        <v>#VALUE!</v>
      </c>
      <c r="J234" s="191" t="s">
        <v>196</v>
      </c>
      <c r="K234" s="190" t="e">
        <f>1+(0.015*(I229-50)^2)/SQRT(20+(I229-50)^2)</f>
        <v>#VALUE!</v>
      </c>
      <c r="L234" s="189"/>
      <c r="M234" s="189"/>
    </row>
    <row r="235" spans="1:13" ht="14.1" customHeight="1" x14ac:dyDescent="0.2">
      <c r="A235" s="191" t="s">
        <v>195</v>
      </c>
      <c r="B235" s="193" t="e">
        <f>C221*(1+B233)</f>
        <v>#VALUE!</v>
      </c>
      <c r="C235" s="191" t="s">
        <v>194</v>
      </c>
      <c r="D235" s="190" t="e">
        <f>1+0.045*B238</f>
        <v>#VALUE!</v>
      </c>
      <c r="E235" s="189"/>
      <c r="F235" s="189"/>
      <c r="H235" s="191" t="s">
        <v>195</v>
      </c>
      <c r="I235" s="193" t="e">
        <f>J221*(1+I233)</f>
        <v>#VALUE!</v>
      </c>
      <c r="J235" s="191" t="s">
        <v>194</v>
      </c>
      <c r="K235" s="190" t="e">
        <f>1+0.045*I238</f>
        <v>#VALUE!</v>
      </c>
      <c r="L235" s="189"/>
      <c r="M235" s="189"/>
    </row>
    <row r="236" spans="1:13" ht="14.1" customHeight="1" x14ac:dyDescent="0.2">
      <c r="A236" s="191" t="s">
        <v>193</v>
      </c>
      <c r="B236" s="193" t="e">
        <f>SQRT(B234^2+D220^2)</f>
        <v>#VALUE!</v>
      </c>
      <c r="C236" s="191" t="s">
        <v>192</v>
      </c>
      <c r="D236" s="190" t="e">
        <f>1+0.015*B238*D229</f>
        <v>#VALUE!</v>
      </c>
      <c r="E236" s="189"/>
      <c r="F236" s="189"/>
      <c r="H236" s="191" t="s">
        <v>193</v>
      </c>
      <c r="I236" s="193" t="e">
        <f>SQRT(I234^2+K220^2)</f>
        <v>#VALUE!</v>
      </c>
      <c r="J236" s="191" t="s">
        <v>192</v>
      </c>
      <c r="K236" s="190" t="e">
        <f>1+0.015*I238*K229</f>
        <v>#VALUE!</v>
      </c>
      <c r="L236" s="189"/>
      <c r="M236" s="189"/>
    </row>
    <row r="237" spans="1:13" ht="14.1" customHeight="1" x14ac:dyDescent="0.2">
      <c r="A237" s="191" t="s">
        <v>191</v>
      </c>
      <c r="B237" s="193" t="e">
        <f>SQRT(B235^2+D221^2)</f>
        <v>#VALUE!</v>
      </c>
      <c r="C237" s="191" t="s">
        <v>190</v>
      </c>
      <c r="D237" s="190" t="e">
        <f>30*EXP(-1*((B241-275)/25)^2)</f>
        <v>#VALUE!</v>
      </c>
      <c r="E237" s="189"/>
      <c r="F237" s="189"/>
      <c r="H237" s="191" t="s">
        <v>191</v>
      </c>
      <c r="I237" s="193" t="e">
        <f>SQRT(I235^2+K221^2)</f>
        <v>#VALUE!</v>
      </c>
      <c r="J237" s="191" t="s">
        <v>190</v>
      </c>
      <c r="K237" s="190" t="e">
        <f>30*EXP(-1*((I241-275)/25)^2)</f>
        <v>#VALUE!</v>
      </c>
      <c r="L237" s="189"/>
      <c r="M237" s="189"/>
    </row>
    <row r="238" spans="1:13" ht="14.1" customHeight="1" x14ac:dyDescent="0.2">
      <c r="A238" s="191" t="s">
        <v>189</v>
      </c>
      <c r="B238" s="193" t="e">
        <f>(B236+B237)/2</f>
        <v>#VALUE!</v>
      </c>
      <c r="C238" s="191" t="s">
        <v>188</v>
      </c>
      <c r="D238" s="190" t="e">
        <f>2*SQRT(B238^7/(B238^7+25^7))</f>
        <v>#VALUE!</v>
      </c>
      <c r="E238" s="189"/>
      <c r="F238" s="189"/>
      <c r="H238" s="191" t="s">
        <v>189</v>
      </c>
      <c r="I238" s="193" t="e">
        <f>(I236+I237)/2</f>
        <v>#VALUE!</v>
      </c>
      <c r="J238" s="191" t="s">
        <v>188</v>
      </c>
      <c r="K238" s="190" t="e">
        <f>2*SQRT(I238^7/(I238^7+25^7))</f>
        <v>#VALUE!</v>
      </c>
      <c r="L238" s="189"/>
      <c r="M238" s="189"/>
    </row>
    <row r="239" spans="1:13" ht="14.1" customHeight="1" x14ac:dyDescent="0.2">
      <c r="A239" s="191" t="s">
        <v>187</v>
      </c>
      <c r="B239" s="193" t="e">
        <f>IF(DEGREES(ATAN2(B234,D220))&gt;=0,DEGREES(ATAN2(B234,D220)),DEGREES(ATAN2(B234,D220))+360)</f>
        <v>#VALUE!</v>
      </c>
      <c r="C239" s="191" t="s">
        <v>186</v>
      </c>
      <c r="D239" s="190" t="e">
        <f>-SIN(2*RADIANS(D237))*D238</f>
        <v>#VALUE!</v>
      </c>
      <c r="E239" s="189"/>
      <c r="F239" s="189"/>
      <c r="H239" s="191" t="s">
        <v>187</v>
      </c>
      <c r="I239" s="193" t="e">
        <f>IF(DEGREES(ATAN2(I234,K220))&gt;=0,DEGREES(ATAN2(I234,K220)),DEGREES(ATAN2(I234,K220))+360)</f>
        <v>#VALUE!</v>
      </c>
      <c r="J239" s="191" t="s">
        <v>186</v>
      </c>
      <c r="K239" s="190" t="e">
        <f>-SIN(2*RADIANS(K237))*K238</f>
        <v>#VALUE!</v>
      </c>
      <c r="L239" s="189"/>
      <c r="M239" s="189"/>
    </row>
    <row r="240" spans="1:13" ht="14.1" customHeight="1" x14ac:dyDescent="0.2">
      <c r="A240" s="191" t="s">
        <v>185</v>
      </c>
      <c r="B240" s="193" t="e">
        <f>IF(DEGREES(ATAN2(B235,D221))&gt;=0,DEGREES(ATAN2(B235,D221)),DEGREES(ATAN2(B235,D221))+360)</f>
        <v>#VALUE!</v>
      </c>
      <c r="C240" s="191" t="s">
        <v>184</v>
      </c>
      <c r="D240" s="190">
        <v>1</v>
      </c>
      <c r="E240" s="189"/>
      <c r="F240" s="189"/>
      <c r="H240" s="191" t="s">
        <v>185</v>
      </c>
      <c r="I240" s="193" t="e">
        <f>IF(DEGREES(ATAN2(I235,K221))&gt;=0,DEGREES(ATAN2(I235,K221)),DEGREES(ATAN2(I235,K221))+360)</f>
        <v>#VALUE!</v>
      </c>
      <c r="J240" s="191" t="s">
        <v>184</v>
      </c>
      <c r="K240" s="190">
        <v>1</v>
      </c>
      <c r="L240" s="189"/>
      <c r="M240" s="189"/>
    </row>
    <row r="241" spans="1:13" ht="14.1" customHeight="1" x14ac:dyDescent="0.2">
      <c r="A241" s="194" t="s">
        <v>183</v>
      </c>
      <c r="B241" s="193" t="e">
        <f>IF((B239-B240)&gt;180,(B239+B240+360)/2,(B239+B240)/2)</f>
        <v>#VALUE!</v>
      </c>
      <c r="C241" s="191" t="s">
        <v>182</v>
      </c>
      <c r="D241" s="190">
        <v>1</v>
      </c>
      <c r="E241" s="189"/>
      <c r="F241" s="189"/>
      <c r="H241" s="194" t="s">
        <v>183</v>
      </c>
      <c r="I241" s="193" t="e">
        <f>IF((I239-I240)&gt;180,(I239+I240+360)/2,(I239+I240)/2)</f>
        <v>#VALUE!</v>
      </c>
      <c r="J241" s="191" t="s">
        <v>182</v>
      </c>
      <c r="K241" s="190">
        <v>1</v>
      </c>
      <c r="L241" s="189"/>
      <c r="M241" s="189"/>
    </row>
    <row r="242" spans="1:13" ht="14.1" customHeight="1" x14ac:dyDescent="0.2">
      <c r="A242" s="191"/>
      <c r="B242" s="192"/>
      <c r="C242" s="191" t="s">
        <v>181</v>
      </c>
      <c r="D242" s="190">
        <v>1</v>
      </c>
      <c r="E242" s="189"/>
      <c r="F242" s="189"/>
      <c r="H242" s="191"/>
      <c r="I242" s="192"/>
      <c r="J242" s="191" t="s">
        <v>181</v>
      </c>
      <c r="K242" s="190">
        <v>1</v>
      </c>
      <c r="L242" s="189"/>
      <c r="M242" s="189"/>
    </row>
    <row r="243" spans="1:13" ht="14.1" customHeight="1" x14ac:dyDescent="0.2"/>
    <row r="244" spans="1:13" ht="14.1" customHeight="1" x14ac:dyDescent="0.2"/>
    <row r="245" spans="1:13" ht="14.1" customHeight="1" x14ac:dyDescent="0.2">
      <c r="G245" s="151"/>
    </row>
    <row r="246" spans="1:13" ht="14.1" customHeight="1" x14ac:dyDescent="0.2">
      <c r="G246" s="151"/>
    </row>
    <row r="247" spans="1:13" ht="14.1" customHeight="1" x14ac:dyDescent="0.2">
      <c r="G247" s="151"/>
    </row>
    <row r="248" spans="1:13" ht="14.1" customHeight="1" x14ac:dyDescent="0.2">
      <c r="G248" s="151"/>
    </row>
    <row r="249" spans="1:13" ht="14.1" customHeight="1" x14ac:dyDescent="0.2">
      <c r="G249" s="151"/>
    </row>
    <row r="250" spans="1:13" ht="14.1" customHeight="1" x14ac:dyDescent="0.2">
      <c r="G250" s="151"/>
    </row>
    <row r="251" spans="1:13" ht="14.1" customHeight="1" x14ac:dyDescent="0.2">
      <c r="G251" s="151"/>
    </row>
    <row r="252" spans="1:13" ht="14.1" customHeight="1" x14ac:dyDescent="0.2">
      <c r="G252" s="151"/>
    </row>
    <row r="253" spans="1:13" ht="14.1" customHeight="1" x14ac:dyDescent="0.2">
      <c r="G253" s="151"/>
    </row>
    <row r="254" spans="1:13" ht="14.1" customHeight="1" x14ac:dyDescent="0.2">
      <c r="G254" s="151"/>
    </row>
    <row r="255" spans="1:13" ht="14.1" customHeight="1" x14ac:dyDescent="0.2">
      <c r="G255" s="151"/>
    </row>
    <row r="256" spans="1:13" ht="14.1" customHeight="1" x14ac:dyDescent="0.2">
      <c r="G256" s="151"/>
    </row>
    <row r="257" spans="7:7" ht="14.1" customHeight="1" x14ac:dyDescent="0.2">
      <c r="G257" s="151"/>
    </row>
    <row r="258" spans="7:7" ht="14.1" customHeight="1" x14ac:dyDescent="0.2">
      <c r="G258" s="151"/>
    </row>
    <row r="259" spans="7:7" ht="14.1" customHeight="1" x14ac:dyDescent="0.2">
      <c r="G259" s="151"/>
    </row>
    <row r="260" spans="7:7" ht="14.1" customHeight="1" x14ac:dyDescent="0.2">
      <c r="G260" s="151"/>
    </row>
    <row r="261" spans="7:7" ht="14.1" customHeight="1" x14ac:dyDescent="0.2">
      <c r="G261" s="151"/>
    </row>
    <row r="262" spans="7:7" ht="14.1" customHeight="1" x14ac:dyDescent="0.2">
      <c r="G262" s="151"/>
    </row>
    <row r="263" spans="7:7" ht="14.1" customHeight="1" x14ac:dyDescent="0.2">
      <c r="G263" s="151"/>
    </row>
    <row r="264" spans="7:7" ht="14.1" customHeight="1" x14ac:dyDescent="0.2">
      <c r="G264" s="151"/>
    </row>
    <row r="265" spans="7:7" ht="14.1" customHeight="1" x14ac:dyDescent="0.2">
      <c r="G265" s="151"/>
    </row>
    <row r="266" spans="7:7" ht="14.1" customHeight="1" x14ac:dyDescent="0.2">
      <c r="G266" s="151"/>
    </row>
    <row r="267" spans="7:7" ht="14.1" customHeight="1" x14ac:dyDescent="0.2">
      <c r="G267" s="151"/>
    </row>
    <row r="268" spans="7:7" ht="14.1" customHeight="1" x14ac:dyDescent="0.2">
      <c r="G268" s="151"/>
    </row>
    <row r="269" spans="7:7" ht="14.1" customHeight="1" x14ac:dyDescent="0.2">
      <c r="G269" s="151"/>
    </row>
    <row r="270" spans="7:7" ht="14.1" customHeight="1" x14ac:dyDescent="0.2">
      <c r="G270" s="151"/>
    </row>
    <row r="271" spans="7:7" ht="14.1" customHeight="1" x14ac:dyDescent="0.2">
      <c r="G271" s="151"/>
    </row>
    <row r="272" spans="7:7" ht="14.1" customHeight="1" x14ac:dyDescent="0.2">
      <c r="G272" s="151"/>
    </row>
    <row r="273" spans="7:7" ht="14.1" customHeight="1" x14ac:dyDescent="0.2">
      <c r="G273" s="151"/>
    </row>
    <row r="274" spans="7:7" ht="14.1" customHeight="1" x14ac:dyDescent="0.2">
      <c r="G274" s="151"/>
    </row>
    <row r="275" spans="7:7" ht="14.1" customHeight="1" x14ac:dyDescent="0.2">
      <c r="G275" s="151"/>
    </row>
  </sheetData>
  <phoneticPr fontId="44" type="noConversion"/>
  <pageMargins left="0.75" right="0.75" top="1" bottom="1" header="0.5" footer="0.5"/>
  <pageSetup scale="94" orientation="portrait" horizontalDpi="4294967292" verticalDpi="4294967292" r:id="rId1"/>
  <rowBreaks count="4" manualBreakCount="4">
    <brk id="49" max="16383" man="1"/>
    <brk id="97" max="16383" man="1" pt="1"/>
    <brk id="145" max="16383" man="1" pt="1"/>
    <brk id="243" max="16383" man="1"/>
  </rowBreaks>
  <colBreaks count="1" manualBreakCount="1">
    <brk id="13" max="1048575" man="1" pt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Layout" topLeftCell="A43" workbookViewId="0">
      <selection activeCell="A70" sqref="A70"/>
    </sheetView>
  </sheetViews>
  <sheetFormatPr defaultColWidth="11" defaultRowHeight="12.75" x14ac:dyDescent="0.2"/>
  <cols>
    <col min="1" max="1" width="11" style="151"/>
    <col min="2" max="2" width="11" style="155"/>
    <col min="3" max="16384" width="11" style="151"/>
  </cols>
  <sheetData>
    <row r="1" spans="1:8" ht="13.5" thickBot="1" x14ac:dyDescent="0.25">
      <c r="A1" s="177" t="s">
        <v>180</v>
      </c>
      <c r="G1" s="177"/>
    </row>
    <row r="2" spans="1:8" x14ac:dyDescent="0.2">
      <c r="A2" s="188"/>
      <c r="B2" s="168" t="s">
        <v>179</v>
      </c>
      <c r="C2" s="187" t="s">
        <v>178</v>
      </c>
      <c r="D2" s="187" t="s">
        <v>177</v>
      </c>
      <c r="E2" s="187" t="s">
        <v>176</v>
      </c>
      <c r="F2" s="186" t="s">
        <v>175</v>
      </c>
      <c r="G2" s="156"/>
      <c r="H2" s="156"/>
    </row>
    <row r="3" spans="1:8" x14ac:dyDescent="0.2">
      <c r="A3" s="175" t="s">
        <v>158</v>
      </c>
      <c r="B3" s="157">
        <f>Template!N54</f>
        <v>63</v>
      </c>
      <c r="C3" s="156">
        <f>IF(Template!I72="","",IF(Template!I72&gt;2,Template!I72,Template!N71))</f>
        <v>71</v>
      </c>
      <c r="D3" s="156">
        <f t="shared" ref="D3:D12" si="0">IFERROR(-(B3-C3),"")</f>
        <v>8</v>
      </c>
      <c r="E3" s="156">
        <f t="shared" ref="E3:E12" si="1">IFERROR(SQRT(D3^2),"")</f>
        <v>8</v>
      </c>
      <c r="F3" s="184">
        <f t="shared" ref="F3:F12" si="2">IFERROR(VLOOKUP(E3,$A$16:$B$23,2,TRUE),"")</f>
        <v>2</v>
      </c>
      <c r="G3" s="185"/>
      <c r="H3" s="156"/>
    </row>
    <row r="4" spans="1:8" x14ac:dyDescent="0.2">
      <c r="A4" s="175" t="s">
        <v>174</v>
      </c>
      <c r="B4" s="157">
        <f>Template!N55</f>
        <v>54</v>
      </c>
      <c r="C4" s="156">
        <f>IF(Template!I74="","",IF(Template!I74&gt;2,Template!I74,Template!N73))</f>
        <v>62</v>
      </c>
      <c r="D4" s="156">
        <f t="shared" si="0"/>
        <v>8</v>
      </c>
      <c r="E4" s="156">
        <f t="shared" si="1"/>
        <v>8</v>
      </c>
      <c r="F4" s="184">
        <f t="shared" si="2"/>
        <v>2</v>
      </c>
      <c r="G4" s="185"/>
      <c r="H4" s="156"/>
    </row>
    <row r="5" spans="1:8" x14ac:dyDescent="0.2">
      <c r="A5" s="175" t="s">
        <v>173</v>
      </c>
      <c r="B5" s="157">
        <f>Template!N56</f>
        <v>65</v>
      </c>
      <c r="C5" s="156">
        <f>IF(Template!I76="","",IF(Template!I76&gt;2,Template!I76,Template!N75))</f>
        <v>60</v>
      </c>
      <c r="D5" s="156">
        <f t="shared" si="0"/>
        <v>-5</v>
      </c>
      <c r="E5" s="156">
        <f t="shared" si="1"/>
        <v>5</v>
      </c>
      <c r="F5" s="184">
        <f t="shared" si="2"/>
        <v>3.5</v>
      </c>
      <c r="G5" s="185"/>
      <c r="H5" s="156"/>
    </row>
    <row r="6" spans="1:8" x14ac:dyDescent="0.2">
      <c r="A6" s="175" t="s">
        <v>172</v>
      </c>
      <c r="B6" s="157" t="str">
        <f>Template!N57</f>
        <v/>
      </c>
      <c r="C6" s="156" t="str">
        <f>IF(Template!I78="","",IF(Template!I78&gt;2,Template!I78,Template!N77))</f>
        <v/>
      </c>
      <c r="D6" s="156" t="str">
        <f t="shared" si="0"/>
        <v/>
      </c>
      <c r="E6" s="156" t="str">
        <f t="shared" si="1"/>
        <v/>
      </c>
      <c r="F6" s="184" t="str">
        <f t="shared" si="2"/>
        <v/>
      </c>
      <c r="G6" s="185"/>
      <c r="H6" s="156"/>
    </row>
    <row r="7" spans="1:8" x14ac:dyDescent="0.2">
      <c r="A7" s="175" t="s">
        <v>171</v>
      </c>
      <c r="B7" s="157" t="str">
        <f>Template!N58</f>
        <v/>
      </c>
      <c r="C7" s="156" t="str">
        <f>IF(Template!I80="","",IF(Template!I80&gt;2,Template!I80,Template!N79))</f>
        <v/>
      </c>
      <c r="D7" s="156" t="str">
        <f t="shared" si="0"/>
        <v/>
      </c>
      <c r="E7" s="156" t="str">
        <f t="shared" si="1"/>
        <v/>
      </c>
      <c r="F7" s="184" t="str">
        <f t="shared" si="2"/>
        <v/>
      </c>
      <c r="G7" s="185"/>
      <c r="H7" s="156"/>
    </row>
    <row r="8" spans="1:8" x14ac:dyDescent="0.2">
      <c r="A8" s="175" t="s">
        <v>170</v>
      </c>
      <c r="B8" s="157" t="str">
        <f>Template!N59</f>
        <v/>
      </c>
      <c r="C8" s="156" t="str">
        <f>IF(Template!I82="","",IF(Template!I82&gt;2,Template!I82,Template!N81))</f>
        <v/>
      </c>
      <c r="D8" s="156" t="str">
        <f t="shared" si="0"/>
        <v/>
      </c>
      <c r="E8" s="156" t="str">
        <f t="shared" si="1"/>
        <v/>
      </c>
      <c r="F8" s="184" t="str">
        <f t="shared" si="2"/>
        <v/>
      </c>
      <c r="G8" s="185"/>
      <c r="H8" s="156"/>
    </row>
    <row r="9" spans="1:8" x14ac:dyDescent="0.2">
      <c r="A9" s="175" t="s">
        <v>169</v>
      </c>
      <c r="B9" s="157" t="str">
        <f>Template!N60</f>
        <v/>
      </c>
      <c r="C9" s="156" t="str">
        <f>IF(Template!I84="","",IF(Template!I84&gt;2,Template!I84,Template!N83))</f>
        <v/>
      </c>
      <c r="D9" s="156" t="str">
        <f t="shared" si="0"/>
        <v/>
      </c>
      <c r="E9" s="156" t="str">
        <f t="shared" si="1"/>
        <v/>
      </c>
      <c r="F9" s="184" t="str">
        <f t="shared" si="2"/>
        <v/>
      </c>
      <c r="G9" s="185"/>
      <c r="H9" s="156"/>
    </row>
    <row r="10" spans="1:8" x14ac:dyDescent="0.2">
      <c r="A10" s="175" t="s">
        <v>168</v>
      </c>
      <c r="B10" s="157" t="str">
        <f>Template!N61</f>
        <v/>
      </c>
      <c r="C10" s="156" t="str">
        <f>IF(Template!I86="","",IF(Template!I86&gt;2,Template!I86,Template!N85))</f>
        <v/>
      </c>
      <c r="D10" s="156" t="str">
        <f t="shared" si="0"/>
        <v/>
      </c>
      <c r="E10" s="156" t="str">
        <f t="shared" si="1"/>
        <v/>
      </c>
      <c r="F10" s="184" t="str">
        <f t="shared" si="2"/>
        <v/>
      </c>
      <c r="G10" s="185"/>
      <c r="H10" s="156"/>
    </row>
    <row r="11" spans="1:8" x14ac:dyDescent="0.2">
      <c r="A11" s="175" t="s">
        <v>167</v>
      </c>
      <c r="B11" s="157" t="str">
        <f>Template!N62</f>
        <v/>
      </c>
      <c r="C11" s="156" t="str">
        <f>IF(Template!I88="","",IF(Template!I88&gt;2,Template!I88,Template!N87))</f>
        <v/>
      </c>
      <c r="D11" s="156" t="str">
        <f t="shared" si="0"/>
        <v/>
      </c>
      <c r="E11" s="156" t="str">
        <f t="shared" si="1"/>
        <v/>
      </c>
      <c r="F11" s="184" t="str">
        <f t="shared" si="2"/>
        <v/>
      </c>
      <c r="G11" s="185"/>
      <c r="H11" s="156"/>
    </row>
    <row r="12" spans="1:8" x14ac:dyDescent="0.2">
      <c r="A12" s="175" t="s">
        <v>166</v>
      </c>
      <c r="B12" s="157" t="str">
        <f>Template!N63</f>
        <v/>
      </c>
      <c r="C12" s="156" t="str">
        <f>IF(Template!I90="","",IF(Template!I90&gt;2,Template!I90,Template!N89))</f>
        <v/>
      </c>
      <c r="D12" s="156" t="str">
        <f t="shared" si="0"/>
        <v/>
      </c>
      <c r="E12" s="156" t="str">
        <f t="shared" si="1"/>
        <v/>
      </c>
      <c r="F12" s="184" t="str">
        <f t="shared" si="2"/>
        <v/>
      </c>
      <c r="G12" s="185"/>
      <c r="H12" s="156"/>
    </row>
    <row r="13" spans="1:8" x14ac:dyDescent="0.2">
      <c r="A13" s="175"/>
      <c r="B13" s="157"/>
      <c r="C13" s="156"/>
      <c r="D13" s="156"/>
      <c r="E13" s="156"/>
      <c r="F13" s="184">
        <f>IFERROR(AVERAGE(F3:F12),5)</f>
        <v>2.5</v>
      </c>
      <c r="G13" s="185"/>
      <c r="H13" s="156"/>
    </row>
    <row r="14" spans="1:8" x14ac:dyDescent="0.2">
      <c r="A14" s="175"/>
      <c r="B14" s="157"/>
      <c r="C14" s="156"/>
      <c r="D14" s="156"/>
      <c r="E14" s="156"/>
      <c r="F14" s="184"/>
      <c r="G14" s="185"/>
      <c r="H14" s="156"/>
    </row>
    <row r="15" spans="1:8" x14ac:dyDescent="0.2">
      <c r="A15" s="534" t="s">
        <v>165</v>
      </c>
      <c r="B15" s="535"/>
      <c r="C15" s="536" t="s">
        <v>164</v>
      </c>
      <c r="D15" s="536"/>
      <c r="E15" s="156"/>
      <c r="F15" s="184"/>
      <c r="G15" s="185"/>
      <c r="H15" s="156"/>
    </row>
    <row r="16" spans="1:8" x14ac:dyDescent="0.2">
      <c r="A16" s="166">
        <v>0</v>
      </c>
      <c r="B16" s="155">
        <v>5</v>
      </c>
      <c r="C16" s="183">
        <v>0</v>
      </c>
      <c r="D16" s="155">
        <v>5</v>
      </c>
      <c r="E16" s="156"/>
      <c r="F16" s="184"/>
      <c r="G16" s="185"/>
      <c r="H16" s="156"/>
    </row>
    <row r="17" spans="1:8" x14ac:dyDescent="0.2">
      <c r="A17" s="166">
        <v>1</v>
      </c>
      <c r="B17" s="155">
        <v>5</v>
      </c>
      <c r="C17" s="183">
        <v>1</v>
      </c>
      <c r="D17" s="155">
        <v>5</v>
      </c>
      <c r="E17" s="156"/>
      <c r="F17" s="182"/>
      <c r="G17" s="185"/>
      <c r="H17" s="156"/>
    </row>
    <row r="18" spans="1:8" x14ac:dyDescent="0.2">
      <c r="A18" s="166">
        <v>4</v>
      </c>
      <c r="B18" s="155">
        <v>4</v>
      </c>
      <c r="C18" s="183">
        <v>4</v>
      </c>
      <c r="D18" s="155">
        <v>4</v>
      </c>
      <c r="E18" s="156"/>
      <c r="F18" s="184"/>
      <c r="G18" s="185"/>
      <c r="H18" s="156"/>
    </row>
    <row r="19" spans="1:8" x14ac:dyDescent="0.2">
      <c r="A19" s="166">
        <v>5</v>
      </c>
      <c r="B19" s="155">
        <v>3.5</v>
      </c>
      <c r="C19" s="183">
        <v>5</v>
      </c>
      <c r="D19" s="155">
        <v>3.5</v>
      </c>
      <c r="E19" s="156"/>
      <c r="F19" s="184"/>
      <c r="G19" s="185"/>
      <c r="H19" s="156"/>
    </row>
    <row r="20" spans="1:8" x14ac:dyDescent="0.2">
      <c r="A20" s="166">
        <v>6</v>
      </c>
      <c r="B20" s="155">
        <v>3.25</v>
      </c>
      <c r="C20" s="183">
        <v>6</v>
      </c>
      <c r="D20" s="155">
        <v>3.25</v>
      </c>
      <c r="E20" s="156"/>
      <c r="F20" s="184"/>
      <c r="G20" s="156"/>
      <c r="H20" s="156"/>
    </row>
    <row r="21" spans="1:8" x14ac:dyDescent="0.2">
      <c r="A21" s="166">
        <v>7</v>
      </c>
      <c r="B21" s="155">
        <v>3</v>
      </c>
      <c r="C21" s="183">
        <v>7</v>
      </c>
      <c r="D21" s="155">
        <v>3</v>
      </c>
      <c r="E21" s="156"/>
      <c r="F21" s="184"/>
      <c r="G21" s="156"/>
      <c r="H21" s="156"/>
    </row>
    <row r="22" spans="1:8" x14ac:dyDescent="0.2">
      <c r="A22" s="166">
        <v>8</v>
      </c>
      <c r="B22" s="155">
        <v>2</v>
      </c>
      <c r="C22" s="183">
        <v>8</v>
      </c>
      <c r="D22" s="155">
        <v>2</v>
      </c>
      <c r="E22" s="156"/>
      <c r="F22" s="182"/>
      <c r="G22" s="156"/>
      <c r="H22" s="156"/>
    </row>
    <row r="23" spans="1:8" ht="13.5" thickBot="1" x14ac:dyDescent="0.25">
      <c r="A23" s="163">
        <v>9</v>
      </c>
      <c r="B23" s="162">
        <v>1</v>
      </c>
      <c r="C23" s="181">
        <v>9</v>
      </c>
      <c r="D23" s="162">
        <v>1</v>
      </c>
      <c r="E23" s="180"/>
      <c r="F23" s="179"/>
      <c r="G23" s="156"/>
      <c r="H23" s="156"/>
    </row>
    <row r="24" spans="1:8" x14ac:dyDescent="0.2">
      <c r="A24" s="178"/>
      <c r="B24" s="157"/>
      <c r="C24" s="178"/>
      <c r="D24" s="156"/>
      <c r="E24" s="156"/>
      <c r="F24" s="156"/>
      <c r="G24" s="156"/>
      <c r="H24" s="156"/>
    </row>
    <row r="25" spans="1:8" x14ac:dyDescent="0.2">
      <c r="A25" s="178"/>
      <c r="B25" s="157"/>
      <c r="C25" s="178"/>
      <c r="D25" s="156"/>
      <c r="E25" s="156"/>
      <c r="F25" s="156"/>
      <c r="G25" s="156"/>
      <c r="H25" s="156"/>
    </row>
    <row r="26" spans="1:8" x14ac:dyDescent="0.2">
      <c r="A26" s="178"/>
      <c r="B26" s="157"/>
      <c r="C26" s="178"/>
      <c r="D26" s="156"/>
      <c r="E26" s="156"/>
      <c r="F26" s="156"/>
      <c r="G26" s="156"/>
      <c r="H26" s="156"/>
    </row>
    <row r="27" spans="1:8" x14ac:dyDescent="0.2">
      <c r="A27" s="178"/>
      <c r="B27" s="157"/>
      <c r="C27" s="178"/>
      <c r="D27" s="156"/>
      <c r="E27" s="156"/>
      <c r="F27" s="156"/>
      <c r="G27" s="156"/>
      <c r="H27" s="156"/>
    </row>
    <row r="28" spans="1:8" x14ac:dyDescent="0.2">
      <c r="A28" s="178"/>
      <c r="B28" s="157"/>
      <c r="C28" s="178"/>
      <c r="D28" s="156"/>
      <c r="E28" s="156"/>
      <c r="F28" s="156"/>
      <c r="G28" s="156"/>
      <c r="H28" s="156"/>
    </row>
    <row r="29" spans="1:8" x14ac:dyDescent="0.2">
      <c r="A29" s="178"/>
      <c r="B29" s="157"/>
      <c r="C29" s="178"/>
      <c r="D29" s="156"/>
      <c r="E29" s="156"/>
      <c r="F29" s="156"/>
      <c r="G29" s="156"/>
      <c r="H29" s="156"/>
    </row>
    <row r="30" spans="1:8" x14ac:dyDescent="0.2">
      <c r="A30" s="178"/>
      <c r="B30" s="157"/>
      <c r="C30" s="178"/>
      <c r="D30" s="156"/>
      <c r="E30" s="156"/>
      <c r="F30" s="156"/>
      <c r="G30" s="156"/>
      <c r="H30" s="156"/>
    </row>
    <row r="31" spans="1:8" x14ac:dyDescent="0.2">
      <c r="A31" s="178"/>
      <c r="B31" s="157"/>
      <c r="C31" s="178"/>
      <c r="D31" s="156"/>
      <c r="E31" s="156"/>
      <c r="F31" s="156"/>
      <c r="G31" s="156"/>
      <c r="H31" s="156"/>
    </row>
    <row r="32" spans="1:8" x14ac:dyDescent="0.2">
      <c r="A32" s="178"/>
      <c r="B32" s="157"/>
      <c r="C32" s="178"/>
      <c r="D32" s="156"/>
      <c r="E32" s="156"/>
      <c r="F32" s="156"/>
      <c r="G32" s="156"/>
      <c r="H32" s="156"/>
    </row>
    <row r="33" spans="1:8" x14ac:dyDescent="0.2">
      <c r="A33" s="178"/>
      <c r="B33" s="157"/>
      <c r="C33" s="178"/>
      <c r="D33" s="156"/>
      <c r="E33" s="156"/>
      <c r="F33" s="156"/>
      <c r="G33" s="156"/>
      <c r="H33" s="156"/>
    </row>
    <row r="34" spans="1:8" x14ac:dyDescent="0.2">
      <c r="A34" s="178"/>
      <c r="B34" s="157"/>
      <c r="C34" s="156"/>
      <c r="D34" s="156"/>
      <c r="E34" s="156"/>
      <c r="F34" s="156"/>
      <c r="G34" s="156"/>
    </row>
    <row r="35" spans="1:8" x14ac:dyDescent="0.2">
      <c r="A35" s="178"/>
      <c r="B35" s="157"/>
      <c r="C35" s="156"/>
      <c r="D35" s="156"/>
      <c r="E35" s="156"/>
      <c r="F35" s="156"/>
      <c r="G35" s="156"/>
    </row>
    <row r="36" spans="1:8" ht="13.5" thickBot="1" x14ac:dyDescent="0.25">
      <c r="A36" s="151" t="s">
        <v>163</v>
      </c>
      <c r="C36" s="177" t="s">
        <v>162</v>
      </c>
      <c r="D36" s="155"/>
    </row>
    <row r="37" spans="1:8" ht="13.5" thickBot="1" x14ac:dyDescent="0.25">
      <c r="A37" s="176">
        <f>Template!A111*0.25+Template!C111*0.2+Template!E111*0.05+Template!G111*0.25+Template!I111*0.25</f>
        <v>3.86</v>
      </c>
      <c r="C37" s="169"/>
      <c r="D37" s="168" t="s">
        <v>161</v>
      </c>
      <c r="E37" s="168" t="s">
        <v>160</v>
      </c>
      <c r="F37" s="167" t="s">
        <v>159</v>
      </c>
    </row>
    <row r="38" spans="1:8" x14ac:dyDescent="0.2">
      <c r="C38" s="175" t="s">
        <v>158</v>
      </c>
      <c r="D38" s="159">
        <f>Template!J71</f>
        <v>1.03</v>
      </c>
      <c r="E38" s="174">
        <f>IF(Template!$J71="","",IF(Template!$D71="Solid",VLOOKUP(Template!$J71,$C$60:$D$66,2,TRUE),""))</f>
        <v>4.5</v>
      </c>
      <c r="F38" s="173" t="str">
        <f>IF(D38="","",IF(Template!$D71="Tint",VLOOKUP(D38,$E$60:$F$68,2,TRUE),""))</f>
        <v/>
      </c>
    </row>
    <row r="39" spans="1:8" x14ac:dyDescent="0.2">
      <c r="C39" s="175" t="s">
        <v>158</v>
      </c>
      <c r="D39" s="159">
        <f>Template!J72</f>
        <v>3.36</v>
      </c>
      <c r="E39" s="174" t="str">
        <f>IF(Template!$J72="","",IF(Template!$D72="Solid",VLOOKUP(Template!$J72,$C$60:$D$66,2,TRUE),""))</f>
        <v/>
      </c>
      <c r="F39" s="173">
        <f>IF(D39="","",IF(Template!$D72="Tint",VLOOKUP(D39,$E$60:$F$68,2,TRUE),""))</f>
        <v>3</v>
      </c>
    </row>
    <row r="40" spans="1:8" x14ac:dyDescent="0.2">
      <c r="C40" s="175" t="s">
        <v>157</v>
      </c>
      <c r="D40" s="159">
        <f>Template!J73</f>
        <v>1.4</v>
      </c>
      <c r="E40" s="174">
        <f>IF(Template!$J73="","",IF(Template!$D73="Solid",VLOOKUP(Template!$J73,$C$60:$D$66,2,TRUE),""))</f>
        <v>4.5</v>
      </c>
      <c r="F40" s="173" t="str">
        <f>IF(D40="","",IF(Template!$D73="Tint",VLOOKUP(D40,$E$60:$F$68,2,TRUE),""))</f>
        <v/>
      </c>
    </row>
    <row r="41" spans="1:8" x14ac:dyDescent="0.2">
      <c r="C41" s="175" t="s">
        <v>157</v>
      </c>
      <c r="D41" s="159">
        <f>Template!J74</f>
        <v>2.5299999999999998</v>
      </c>
      <c r="E41" s="174" t="str">
        <f>IF(Template!$J74="","",IF(Template!$D74="Solid",VLOOKUP(Template!$J74,$C$60:$D$66,2,TRUE),""))</f>
        <v/>
      </c>
      <c r="F41" s="173">
        <f>IF(D41="","",IF(Template!$D74="Tint",VLOOKUP(D41,$E$60:$F$68,2,TRUE),""))</f>
        <v>3</v>
      </c>
    </row>
    <row r="42" spans="1:8" x14ac:dyDescent="0.2">
      <c r="C42" s="175" t="s">
        <v>156</v>
      </c>
      <c r="D42" s="159">
        <f>Template!J75</f>
        <v>0.83</v>
      </c>
      <c r="E42" s="174">
        <f>IF(Template!$J75="","",IF(Template!$D75="Solid",VLOOKUP(Template!$J75,$C$60:$D$66,2,TRUE),""))</f>
        <v>4.5</v>
      </c>
      <c r="F42" s="173" t="str">
        <f>IF(D42="","",IF(Template!$D75="Tint",VLOOKUP(D42,$E$60:$F$68,2,TRUE),""))</f>
        <v/>
      </c>
    </row>
    <row r="43" spans="1:8" x14ac:dyDescent="0.2">
      <c r="C43" s="175" t="s">
        <v>156</v>
      </c>
      <c r="D43" s="159">
        <f>Template!J76</f>
        <v>1.57</v>
      </c>
      <c r="E43" s="174" t="str">
        <f>IF(Template!$J76="","",IF(Template!$D76="Solid",VLOOKUP(Template!$J76,$C$60:$D$66,2,TRUE),""))</f>
        <v/>
      </c>
      <c r="F43" s="173">
        <f>IF(D43="","",IF(Template!$D76="Tint",VLOOKUP(D43,$E$60:$F$68,2,TRUE),""))</f>
        <v>4</v>
      </c>
    </row>
    <row r="44" spans="1:8" x14ac:dyDescent="0.2">
      <c r="C44" s="175" t="s">
        <v>155</v>
      </c>
      <c r="D44" s="159" t="str">
        <f>Template!J77</f>
        <v/>
      </c>
      <c r="E44" s="174" t="str">
        <f>IF(Template!$J77="","",IF(Template!$D77="Solid",VLOOKUP(Template!$J77,$C$60:$D$66,2,TRUE),""))</f>
        <v/>
      </c>
      <c r="F44" s="173" t="str">
        <f>IF(D44="","",IF(Template!$D77="Tint",VLOOKUP(D44,$E$60:$F$68,2,TRUE),""))</f>
        <v/>
      </c>
    </row>
    <row r="45" spans="1:8" x14ac:dyDescent="0.2">
      <c r="C45" s="175" t="s">
        <v>155</v>
      </c>
      <c r="D45" s="159" t="str">
        <f>Template!J78</f>
        <v/>
      </c>
      <c r="E45" s="174" t="str">
        <f>IF(Template!$J78="","",IF(Template!$D78="Solid",VLOOKUP(Template!$J78,$C$60:$D$66,2,TRUE),""))</f>
        <v/>
      </c>
      <c r="F45" s="173" t="str">
        <f>IF(D45="","",IF(Template!$D78="Tint",VLOOKUP(D45,$E$60:$F$68,2,TRUE),""))</f>
        <v/>
      </c>
    </row>
    <row r="46" spans="1:8" x14ac:dyDescent="0.2">
      <c r="C46" s="175" t="s">
        <v>154</v>
      </c>
      <c r="D46" s="159" t="str">
        <f>Template!J79</f>
        <v/>
      </c>
      <c r="E46" s="174" t="str">
        <f>IF(Template!$J79="","",IF(Template!$D79="Solid",VLOOKUP(Template!$J79,$C$60:$D$66,2,TRUE),""))</f>
        <v/>
      </c>
      <c r="F46" s="173" t="str">
        <f>IF(D46="","",IF(Template!$D79="Tint",VLOOKUP(D46,$E$60:$F$68,2,TRUE),""))</f>
        <v/>
      </c>
    </row>
    <row r="47" spans="1:8" x14ac:dyDescent="0.2">
      <c r="C47" s="175" t="s">
        <v>154</v>
      </c>
      <c r="D47" s="159" t="str">
        <f>Template!J80</f>
        <v/>
      </c>
      <c r="E47" s="174" t="str">
        <f>IF(Template!$J80="","",IF(Template!$D80="Solid",VLOOKUP(Template!$J80,$C$60:$D$66,2,TRUE),""))</f>
        <v/>
      </c>
      <c r="F47" s="173" t="str">
        <f>IF(D47="","",IF(Template!$D80="Tint",VLOOKUP(D47,$E$60:$F$68,2,TRUE),""))</f>
        <v/>
      </c>
    </row>
    <row r="48" spans="1:8" x14ac:dyDescent="0.2">
      <c r="C48" s="175" t="s">
        <v>153</v>
      </c>
      <c r="D48" s="159" t="str">
        <f>Template!J81</f>
        <v/>
      </c>
      <c r="E48" s="174" t="str">
        <f>IF(Template!$J81="","",IF(Template!$D81="Solid",VLOOKUP(Template!$J81,$C$60:$D$66,2,TRUE),""))</f>
        <v/>
      </c>
      <c r="F48" s="173" t="str">
        <f>IF(D48="","",IF(Template!$D81="Tint",VLOOKUP(D48,$E$60:$F$68,2,TRUE),""))</f>
        <v/>
      </c>
    </row>
    <row r="49" spans="3:6" x14ac:dyDescent="0.2">
      <c r="C49" s="175" t="s">
        <v>153</v>
      </c>
      <c r="D49" s="159" t="str">
        <f>Template!J82</f>
        <v/>
      </c>
      <c r="E49" s="174" t="str">
        <f>IF(Template!$J82="","",IF(Template!$D82="Solid",VLOOKUP(Template!$J82,$C$60:$D$66,2,TRUE),""))</f>
        <v/>
      </c>
      <c r="F49" s="173" t="str">
        <f>IF(D49="","",IF(Template!$D82="Tint",VLOOKUP(D49,$E$60:$F$68,2,TRUE),""))</f>
        <v/>
      </c>
    </row>
    <row r="50" spans="3:6" x14ac:dyDescent="0.2">
      <c r="C50" s="175" t="s">
        <v>152</v>
      </c>
      <c r="D50" s="159" t="str">
        <f>Template!J83</f>
        <v/>
      </c>
      <c r="E50" s="174" t="str">
        <f>IF(Template!$J83="","",IF(Template!$D83="Solid",VLOOKUP(Template!$J83,$C$60:$D$66,2,TRUE),""))</f>
        <v/>
      </c>
      <c r="F50" s="173" t="str">
        <f>IF(D50="","",IF(Template!$D83="Tint",VLOOKUP(D50,$E$60:$F$68,2,TRUE),""))</f>
        <v/>
      </c>
    </row>
    <row r="51" spans="3:6" x14ac:dyDescent="0.2">
      <c r="C51" s="175" t="s">
        <v>152</v>
      </c>
      <c r="D51" s="159" t="str">
        <f>Template!J84</f>
        <v/>
      </c>
      <c r="E51" s="174" t="str">
        <f>IF(Template!$J84="","",IF(Template!$D84="Solid",VLOOKUP(Template!$J84,$C$60:$D$66,2,TRUE),""))</f>
        <v/>
      </c>
      <c r="F51" s="173" t="str">
        <f>IF(D51="","",IF(Template!$D84="Tint",VLOOKUP(D51,$E$60:$F$68,2,TRUE),""))</f>
        <v/>
      </c>
    </row>
    <row r="52" spans="3:6" x14ac:dyDescent="0.2">
      <c r="C52" s="175" t="s">
        <v>151</v>
      </c>
      <c r="D52" s="159" t="str">
        <f>Template!J85</f>
        <v/>
      </c>
      <c r="E52" s="174" t="str">
        <f>IF(Template!$J85="","",IF(Template!$D85="Solid",VLOOKUP(Template!$J85,$C$60:$D$66,2,TRUE),""))</f>
        <v/>
      </c>
      <c r="F52" s="173" t="str">
        <f>IF(D52="","",IF(Template!$D85="Tint",VLOOKUP(D52,$E$60:$F$68,2,TRUE),""))</f>
        <v/>
      </c>
    </row>
    <row r="53" spans="3:6" x14ac:dyDescent="0.2">
      <c r="C53" s="175" t="s">
        <v>151</v>
      </c>
      <c r="D53" s="159" t="str">
        <f>Template!J86</f>
        <v/>
      </c>
      <c r="E53" s="174" t="str">
        <f>IF(Template!$J86="","",IF(Template!$D86="Solid",VLOOKUP(Template!$J86,$C$60:$D$66,2,TRUE),""))</f>
        <v/>
      </c>
      <c r="F53" s="173" t="str">
        <f>IF(D53="","",IF(Template!$D86="Tint",VLOOKUP(D53,$E$60:$F$68,2,TRUE),""))</f>
        <v/>
      </c>
    </row>
    <row r="54" spans="3:6" x14ac:dyDescent="0.2">
      <c r="C54" s="175" t="s">
        <v>150</v>
      </c>
      <c r="D54" s="159" t="str">
        <f>Template!J87</f>
        <v/>
      </c>
      <c r="E54" s="174" t="str">
        <f>IF(Template!$J87="","",IF(Template!$D87="Solid",VLOOKUP(Template!$J87,$C$60:$D$66,2,TRUE),""))</f>
        <v/>
      </c>
      <c r="F54" s="173" t="str">
        <f>IF(D54="","",IF(Template!$D87="Tint",VLOOKUP(D54,$E$60:$F$68,2,TRUE),""))</f>
        <v/>
      </c>
    </row>
    <row r="55" spans="3:6" x14ac:dyDescent="0.2">
      <c r="C55" s="175" t="s">
        <v>150</v>
      </c>
      <c r="D55" s="159" t="str">
        <f>Template!J88</f>
        <v/>
      </c>
      <c r="E55" s="174" t="str">
        <f>IF(Template!$J88="","",IF(Template!$D88="Solid",VLOOKUP(Template!$J88,$C$60:$D$66,2,TRUE),""))</f>
        <v/>
      </c>
      <c r="F55" s="173" t="str">
        <f>IF(D55="","",IF(Template!$D88="Tint",VLOOKUP(D55,$E$60:$F$68,2,TRUE),""))</f>
        <v/>
      </c>
    </row>
    <row r="56" spans="3:6" x14ac:dyDescent="0.2">
      <c r="C56" s="175" t="s">
        <v>149</v>
      </c>
      <c r="D56" s="159" t="str">
        <f>Template!J89</f>
        <v/>
      </c>
      <c r="E56" s="174" t="str">
        <f>IF(Template!$J89="","",IF(Template!$D89="Solid",VLOOKUP(Template!$J89,$C$60:$D$66,2,TRUE),""))</f>
        <v/>
      </c>
      <c r="F56" s="173" t="str">
        <f>IF(D56="","",IF(Template!$D89="Tint",VLOOKUP(D56,$E$60:$F$68,2,TRUE),""))</f>
        <v/>
      </c>
    </row>
    <row r="57" spans="3:6" ht="13.5" thickBot="1" x14ac:dyDescent="0.25">
      <c r="C57" s="175" t="s">
        <v>149</v>
      </c>
      <c r="D57" s="159" t="str">
        <f>Template!J90</f>
        <v/>
      </c>
      <c r="E57" s="174" t="str">
        <f>IF(Template!$J90="","",IF(Template!$D90="Solid",VLOOKUP(Template!$J90,$C$60:$D$66,2,TRUE),""))</f>
        <v/>
      </c>
      <c r="F57" s="173" t="str">
        <f>IF(D57="","",IF(Template!$D90="Tint",VLOOKUP(D57,$E$60:$F$68,2,TRUE),""))</f>
        <v/>
      </c>
    </row>
    <row r="58" spans="3:6" ht="13.5" thickBot="1" x14ac:dyDescent="0.25">
      <c r="C58" s="172"/>
      <c r="D58" s="162"/>
      <c r="E58" s="171">
        <f>IFERROR(AVERAGE(E38:E57),"")</f>
        <v>4.5</v>
      </c>
      <c r="F58" s="170">
        <f>IFERROR(AVERAGE(F38:F57),5)</f>
        <v>3.3333333333333335</v>
      </c>
    </row>
    <row r="59" spans="3:6" x14ac:dyDescent="0.2">
      <c r="C59" s="169" t="s">
        <v>148</v>
      </c>
      <c r="D59" s="168"/>
      <c r="E59" s="168" t="s">
        <v>147</v>
      </c>
      <c r="F59" s="167"/>
    </row>
    <row r="60" spans="3:6" x14ac:dyDescent="0.2">
      <c r="C60" s="166">
        <v>0</v>
      </c>
      <c r="D60" s="155">
        <v>5</v>
      </c>
      <c r="E60" s="165">
        <v>0</v>
      </c>
      <c r="F60" s="164">
        <v>5</v>
      </c>
    </row>
    <row r="61" spans="3:6" x14ac:dyDescent="0.2">
      <c r="C61" s="166">
        <v>0.76</v>
      </c>
      <c r="D61" s="155">
        <v>4.5</v>
      </c>
      <c r="E61" s="165">
        <v>0.76</v>
      </c>
      <c r="F61" s="164">
        <v>4.5</v>
      </c>
    </row>
    <row r="62" spans="3:6" x14ac:dyDescent="0.2">
      <c r="C62" s="166">
        <v>1.51</v>
      </c>
      <c r="D62" s="155">
        <v>4</v>
      </c>
      <c r="E62" s="165">
        <v>1.51</v>
      </c>
      <c r="F62" s="164">
        <v>4</v>
      </c>
    </row>
    <row r="63" spans="3:6" x14ac:dyDescent="0.2">
      <c r="C63" s="166">
        <v>2.0099999999999998</v>
      </c>
      <c r="D63" s="155">
        <v>3.5</v>
      </c>
      <c r="E63" s="165">
        <v>2.0099999999999998</v>
      </c>
      <c r="F63" s="164">
        <v>3.5</v>
      </c>
    </row>
    <row r="64" spans="3:6" x14ac:dyDescent="0.2">
      <c r="C64" s="166">
        <v>2.5099999999999998</v>
      </c>
      <c r="D64" s="155">
        <v>3</v>
      </c>
      <c r="E64" s="165">
        <v>2.5099999999999998</v>
      </c>
      <c r="F64" s="164">
        <v>3</v>
      </c>
    </row>
    <row r="65" spans="2:7" x14ac:dyDescent="0.2">
      <c r="C65" s="166">
        <v>3.26</v>
      </c>
      <c r="D65" s="155">
        <v>2</v>
      </c>
      <c r="E65" s="165">
        <v>3.51</v>
      </c>
      <c r="F65" s="164">
        <v>2</v>
      </c>
    </row>
    <row r="66" spans="2:7" x14ac:dyDescent="0.2">
      <c r="C66" s="166">
        <v>4.01</v>
      </c>
      <c r="D66" s="155">
        <v>1</v>
      </c>
      <c r="E66" s="165">
        <v>4.01</v>
      </c>
      <c r="F66" s="164">
        <v>1.5</v>
      </c>
    </row>
    <row r="67" spans="2:7" x14ac:dyDescent="0.2">
      <c r="C67" s="166"/>
      <c r="D67" s="155"/>
      <c r="E67" s="165">
        <v>4.26</v>
      </c>
      <c r="F67" s="164">
        <v>1</v>
      </c>
    </row>
    <row r="68" spans="2:7" x14ac:dyDescent="0.2">
      <c r="C68" s="166"/>
      <c r="D68" s="155"/>
      <c r="E68" s="165"/>
      <c r="F68" s="164"/>
    </row>
    <row r="69" spans="2:7" ht="13.5" thickBot="1" x14ac:dyDescent="0.25">
      <c r="C69" s="163"/>
      <c r="D69" s="162"/>
      <c r="E69" s="161"/>
      <c r="F69" s="160"/>
    </row>
    <row r="70" spans="2:7" x14ac:dyDescent="0.2">
      <c r="B70" s="157"/>
      <c r="C70" s="159"/>
      <c r="D70" s="157"/>
      <c r="E70" s="158"/>
      <c r="F70" s="157"/>
      <c r="G70" s="156"/>
    </row>
    <row r="71" spans="2:7" x14ac:dyDescent="0.2">
      <c r="B71" s="157"/>
      <c r="C71" s="159"/>
      <c r="D71" s="157"/>
      <c r="E71" s="158"/>
      <c r="F71" s="157"/>
      <c r="G71" s="156"/>
    </row>
    <row r="72" spans="2:7" x14ac:dyDescent="0.2">
      <c r="B72" s="157"/>
      <c r="C72" s="159"/>
      <c r="D72" s="157"/>
      <c r="E72" s="158"/>
      <c r="F72" s="157"/>
      <c r="G72" s="156"/>
    </row>
    <row r="73" spans="2:7" x14ac:dyDescent="0.2">
      <c r="B73" s="157"/>
      <c r="C73" s="159"/>
      <c r="D73" s="157"/>
      <c r="E73" s="158"/>
      <c r="F73" s="157"/>
      <c r="G73" s="156"/>
    </row>
    <row r="74" spans="2:7" x14ac:dyDescent="0.2">
      <c r="B74" s="157"/>
      <c r="C74" s="159"/>
      <c r="D74" s="157"/>
      <c r="E74" s="158"/>
      <c r="F74" s="157"/>
      <c r="G74" s="156"/>
    </row>
    <row r="75" spans="2:7" x14ac:dyDescent="0.2">
      <c r="B75" s="157"/>
      <c r="C75" s="159"/>
      <c r="D75" s="157"/>
      <c r="E75" s="158"/>
      <c r="F75" s="157"/>
      <c r="G75" s="156"/>
    </row>
    <row r="76" spans="2:7" x14ac:dyDescent="0.2">
      <c r="B76" s="157"/>
      <c r="C76" s="159"/>
      <c r="D76" s="157"/>
      <c r="E76" s="158"/>
      <c r="F76" s="157"/>
      <c r="G76" s="156"/>
    </row>
    <row r="77" spans="2:7" x14ac:dyDescent="0.2">
      <c r="B77" s="157"/>
      <c r="C77" s="156"/>
      <c r="D77" s="156"/>
      <c r="E77" s="156"/>
      <c r="F77" s="156"/>
      <c r="G77" s="156"/>
    </row>
    <row r="78" spans="2:7" x14ac:dyDescent="0.2">
      <c r="B78" s="157"/>
      <c r="C78" s="156"/>
      <c r="D78" s="156"/>
      <c r="E78" s="156"/>
      <c r="F78" s="156"/>
      <c r="G78" s="156"/>
    </row>
  </sheetData>
  <mergeCells count="2">
    <mergeCell ref="A15:B15"/>
    <mergeCell ref="C15:D15"/>
  </mergeCells>
  <phoneticPr fontId="44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23"/>
  <sheetViews>
    <sheetView zoomScale="90" zoomScaleNormal="90" zoomScalePageLayoutView="90" workbookViewId="0">
      <selection activeCell="J20" sqref="J20"/>
    </sheetView>
  </sheetViews>
  <sheetFormatPr defaultColWidth="11" defaultRowHeight="15.75" x14ac:dyDescent="0.25"/>
  <cols>
    <col min="1" max="1" width="5.625" style="1" customWidth="1"/>
    <col min="2" max="2" width="15.625" style="1" customWidth="1"/>
    <col min="3" max="3" width="0.875" style="2" customWidth="1"/>
    <col min="4" max="4" width="37.375" style="1" customWidth="1"/>
    <col min="5" max="5" width="0.875" style="2" customWidth="1"/>
    <col min="6" max="6" width="17.375" style="2" customWidth="1"/>
    <col min="7" max="7" width="0.875" style="2" customWidth="1"/>
    <col min="8" max="8" width="24.125" style="2" customWidth="1"/>
    <col min="9" max="9" width="0.625" style="2" customWidth="1"/>
    <col min="10" max="10" width="24.125" style="1" customWidth="1"/>
    <col min="11" max="11" width="0.625" style="2" customWidth="1"/>
    <col min="12" max="12" width="24.125" style="1" customWidth="1"/>
    <col min="13" max="14" width="16" style="1" hidden="1" customWidth="1"/>
    <col min="15" max="15" width="16" style="1" customWidth="1"/>
    <col min="16" max="16" width="23.375" style="1" customWidth="1"/>
    <col min="17" max="16384" width="11" style="1"/>
  </cols>
  <sheetData>
    <row r="1" spans="1:16" x14ac:dyDescent="0.25">
      <c r="A1" s="541" t="s">
        <v>143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16.5" thickBot="1" x14ac:dyDescent="0.3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</row>
    <row r="3" spans="1:16" ht="36" customHeight="1" thickBot="1" x14ac:dyDescent="0.3">
      <c r="A3" s="64" t="s">
        <v>67</v>
      </c>
      <c r="B3" s="65" t="s">
        <v>66</v>
      </c>
      <c r="C3" s="66"/>
      <c r="D3" s="65" t="s">
        <v>65</v>
      </c>
      <c r="E3" s="66"/>
      <c r="F3" s="65" t="s">
        <v>64</v>
      </c>
      <c r="G3" s="66"/>
      <c r="H3" s="65" t="s">
        <v>63</v>
      </c>
      <c r="I3" s="66"/>
      <c r="J3" s="65" t="s">
        <v>62</v>
      </c>
      <c r="K3" s="66"/>
      <c r="L3" s="65" t="s">
        <v>61</v>
      </c>
      <c r="M3" s="65" t="s">
        <v>60</v>
      </c>
      <c r="N3" s="65" t="s">
        <v>59</v>
      </c>
      <c r="O3" s="76" t="s">
        <v>58</v>
      </c>
      <c r="P3" s="102" t="s">
        <v>57</v>
      </c>
    </row>
    <row r="4" spans="1:16" ht="18" customHeight="1" x14ac:dyDescent="0.25">
      <c r="A4" s="67">
        <v>1</v>
      </c>
      <c r="B4" s="90" t="s">
        <v>121</v>
      </c>
      <c r="C4" s="91"/>
      <c r="D4" s="92" t="s">
        <v>124</v>
      </c>
      <c r="E4" s="91"/>
      <c r="F4" s="90" t="s">
        <v>129</v>
      </c>
      <c r="G4" s="93"/>
      <c r="H4" s="90" t="s">
        <v>84</v>
      </c>
      <c r="I4" s="91"/>
      <c r="J4" s="94" t="s">
        <v>36</v>
      </c>
      <c r="K4" s="68"/>
      <c r="L4" s="77" t="str">
        <f>IF(OR(J4="",J4="Select"),"",VLOOKUP(J4,Categories!$A$38:$B$88,2,FALSE))</f>
        <v>Ink Quality</v>
      </c>
      <c r="M4" s="112">
        <f>IF(OR(B4="",B4="Select"),"",VLOOKUP(B4&amp;"_D",Categories!$A$27:$I$32,2,FALSE))</f>
        <v>-0.1005024875</v>
      </c>
      <c r="N4" s="109">
        <f ca="1">IF(OR(D4="Select",F4="Select"),"--",IFERROR(IF(D4="","",VLOOKUP(B4&amp;"_D",Categories!$A$27:$I$32,MATCH('Score Card'!D4,INDIRECT("Categories!A"&amp;MATCH(B4&amp;"_D",Categories!$A$27:$A$32,0)+26):INDIRECT("Categories!H"&amp;MATCH(B4&amp;"_D",Categories!$A$27:$A$32,0)+26),0)+3,FALSE))*VLOOKUP(F4,Categories!$D$38:$E$41,2,FALSE)*IF(H4="No",0.5,1),"Instant Fail"))</f>
        <v>1.165</v>
      </c>
      <c r="O4" s="115">
        <f t="shared" ref="O4:O13" ca="1" si="0">IFERROR(IF(N4="","",M4*N4),"")</f>
        <v>-0.1170853979375</v>
      </c>
      <c r="P4" s="87"/>
    </row>
    <row r="5" spans="1:16" ht="18" customHeight="1" x14ac:dyDescent="0.25">
      <c r="A5" s="69">
        <v>2</v>
      </c>
      <c r="B5" s="95" t="s">
        <v>121</v>
      </c>
      <c r="C5" s="96"/>
      <c r="D5" s="95" t="s">
        <v>124</v>
      </c>
      <c r="E5" s="96"/>
      <c r="F5" s="95" t="s">
        <v>129</v>
      </c>
      <c r="G5" s="96"/>
      <c r="H5" s="95" t="s">
        <v>84</v>
      </c>
      <c r="I5" s="96"/>
      <c r="J5" s="97" t="s">
        <v>78</v>
      </c>
      <c r="K5" s="70"/>
      <c r="L5" s="78" t="str">
        <f>IF(OR(J5="",J5="Select"),"",VLOOKUP(J5,Categories!$A$38:$B$88,2,FALSE))</f>
        <v>Ink Transfer / Press Setup</v>
      </c>
      <c r="M5" s="113">
        <f>IF(OR(B5="",B5="Select"),"",VLOOKUP(B5&amp;"_D",Categories!$A$27:$I$32,2,FALSE))</f>
        <v>-0.1005024875</v>
      </c>
      <c r="N5" s="110">
        <f ca="1">IF(OR(D5="Select",F5="Select"),"--",IFERROR(IF(D5="","",VLOOKUP(B5&amp;"_D",Categories!$A$27:$I$32,MATCH('Score Card'!D5,INDIRECT("Categories!A"&amp;MATCH(B5&amp;"_D",Categories!$A$27:$A$32,0)+26):INDIRECT("Categories!H"&amp;MATCH(B5&amp;"_D",Categories!$A$27:$A$32,0)+26),0)+3,FALSE))*VLOOKUP(F5,Categories!$D$38:$E$41,2,FALSE)*IF(H5="No",0.5,1),"Instant Fail"))</f>
        <v>1.165</v>
      </c>
      <c r="O5" s="116">
        <f t="shared" ca="1" si="0"/>
        <v>-0.1170853979375</v>
      </c>
      <c r="P5" s="88"/>
    </row>
    <row r="6" spans="1:16" ht="18" customHeight="1" x14ac:dyDescent="0.25">
      <c r="A6" s="69">
        <v>3</v>
      </c>
      <c r="B6" s="95" t="s">
        <v>120</v>
      </c>
      <c r="C6" s="96"/>
      <c r="D6" s="95" t="s">
        <v>69</v>
      </c>
      <c r="E6" s="96"/>
      <c r="F6" s="95" t="s">
        <v>129</v>
      </c>
      <c r="G6" s="96"/>
      <c r="H6" s="95" t="s">
        <v>84</v>
      </c>
      <c r="I6" s="96"/>
      <c r="J6" s="97" t="s">
        <v>10</v>
      </c>
      <c r="K6" s="70"/>
      <c r="L6" s="78" t="str">
        <f>IF(OR(J6="",J6="Select"),"",VLOOKUP(J6,Categories!$A$38:$B$88,2,FALSE))</f>
        <v>Ink Transfer / Press Setup</v>
      </c>
      <c r="M6" s="113">
        <f>IF(OR(B6="",B6="Select"),"",VLOOKUP(B6&amp;"_D",Categories!$A$27:$I$32,2,FALSE))</f>
        <v>-0.26800663349999998</v>
      </c>
      <c r="N6" s="110">
        <f ca="1">IF(OR(D6="Select",F6="Select"),"--",IFERROR(IF(D6="","",VLOOKUP(B6&amp;"_D",Categories!$A$27:$I$32,MATCH('Score Card'!D6,INDIRECT("Categories!A"&amp;MATCH(B6&amp;"_D",Categories!$A$27:$A$32,0)+26):INDIRECT("Categories!H"&amp;MATCH(B6&amp;"_D",Categories!$A$27:$A$32,0)+26),0)+3,FALSE))*VLOOKUP(F6,Categories!$D$38:$E$41,2,FALSE)*IF(H6="No",0.5,1),"Instant Fail"))</f>
        <v>1.165</v>
      </c>
      <c r="O6" s="116">
        <f t="shared" ca="1" si="0"/>
        <v>-0.31222772802749998</v>
      </c>
      <c r="P6" s="88"/>
    </row>
    <row r="7" spans="1:16" ht="18" customHeight="1" x14ac:dyDescent="0.25">
      <c r="A7" s="69">
        <v>4</v>
      </c>
      <c r="B7" s="95" t="s">
        <v>121</v>
      </c>
      <c r="C7" s="96"/>
      <c r="D7" s="95" t="s">
        <v>124</v>
      </c>
      <c r="E7" s="96"/>
      <c r="F7" s="95" t="s">
        <v>129</v>
      </c>
      <c r="G7" s="96"/>
      <c r="H7" s="95" t="s">
        <v>84</v>
      </c>
      <c r="I7" s="96"/>
      <c r="J7" s="97" t="s">
        <v>13</v>
      </c>
      <c r="K7" s="70"/>
      <c r="L7" s="78" t="str">
        <f>IF(OR(J7="",J7="Select"),"",VLOOKUP(J7,Categories!$A$38:$B$88,2,FALSE))</f>
        <v>Ink Transfer / Press Setup</v>
      </c>
      <c r="M7" s="113">
        <f>IF(OR(B7="",B7="Select"),"",VLOOKUP(B7&amp;"_D",Categories!$A$27:$I$32,2,FALSE))</f>
        <v>-0.1005024875</v>
      </c>
      <c r="N7" s="110">
        <f ca="1">IF(OR(D7="Select",F7="Select"),"--",IFERROR(IF(D7="","",VLOOKUP(B7&amp;"_D",Categories!$A$27:$I$32,MATCH('Score Card'!D7,INDIRECT("Categories!A"&amp;MATCH(B7&amp;"_D",Categories!$A$27:$A$32,0)+26):INDIRECT("Categories!H"&amp;MATCH(B7&amp;"_D",Categories!$A$27:$A$32,0)+26),0)+3,FALSE))*VLOOKUP(F7,Categories!$D$38:$E$41,2,FALSE)*IF(H7="No",0.5,1),"Instant Fail"))</f>
        <v>1.165</v>
      </c>
      <c r="O7" s="116">
        <f t="shared" ca="1" si="0"/>
        <v>-0.1170853979375</v>
      </c>
      <c r="P7" s="88"/>
    </row>
    <row r="8" spans="1:16" ht="18" customHeight="1" x14ac:dyDescent="0.25">
      <c r="A8" s="69">
        <v>5</v>
      </c>
      <c r="B8" s="95" t="s">
        <v>1</v>
      </c>
      <c r="C8" s="96"/>
      <c r="D8" s="95" t="s">
        <v>1</v>
      </c>
      <c r="E8" s="96"/>
      <c r="F8" s="95" t="s">
        <v>1</v>
      </c>
      <c r="G8" s="96"/>
      <c r="H8" s="95" t="s">
        <v>86</v>
      </c>
      <c r="I8" s="96"/>
      <c r="J8" s="97" t="s">
        <v>1</v>
      </c>
      <c r="K8" s="70"/>
      <c r="L8" s="78" t="str">
        <f>IF(OR(J8="",J8="Select"),"",VLOOKUP(J8,Categories!$A$38:$B$88,2,FALSE))</f>
        <v/>
      </c>
      <c r="M8" s="113" t="str">
        <f>IF(OR(B8="",B8="Select"),"",VLOOKUP(B8&amp;"_D",Categories!$A$27:$I$32,2,FALSE))</f>
        <v/>
      </c>
      <c r="N8" s="110" t="str">
        <f ca="1">IF(OR(D8="Select",F8="Select"),"--",IFERROR(IF(D8="","",VLOOKUP(B8&amp;"_D",Categories!$A$27:$I$32,MATCH('Score Card'!D8,INDIRECT("Categories!A"&amp;MATCH(B8&amp;"_D",Categories!$A$27:$A$32,0)+26):INDIRECT("Categories!H"&amp;MATCH(B8&amp;"_D",Categories!$A$27:$A$32,0)+26),0)+3,FALSE))*VLOOKUP(F8,Categories!$D$38:$E$41,2,FALSE)*IF(H8="No",0.5,1),"Instant Fail"))</f>
        <v>--</v>
      </c>
      <c r="O8" s="116" t="str">
        <f t="shared" ca="1" si="0"/>
        <v/>
      </c>
      <c r="P8" s="88"/>
    </row>
    <row r="9" spans="1:16" ht="18" customHeight="1" x14ac:dyDescent="0.25">
      <c r="A9" s="69">
        <v>6</v>
      </c>
      <c r="B9" s="95" t="s">
        <v>1</v>
      </c>
      <c r="C9" s="96"/>
      <c r="D9" s="95" t="s">
        <v>1</v>
      </c>
      <c r="E9" s="96"/>
      <c r="F9" s="95" t="s">
        <v>1</v>
      </c>
      <c r="G9" s="96"/>
      <c r="H9" s="95" t="s">
        <v>86</v>
      </c>
      <c r="I9" s="96"/>
      <c r="J9" s="97" t="s">
        <v>1</v>
      </c>
      <c r="K9" s="70"/>
      <c r="L9" s="78" t="str">
        <f>IF(OR(J9="",J9="Select"),"",VLOOKUP(J9,Categories!$A$38:$B$88,2,FALSE))</f>
        <v/>
      </c>
      <c r="M9" s="113" t="str">
        <f>IF(OR(B9="",B9="Select"),"",VLOOKUP(B9&amp;"_D",Categories!$A$27:$I$32,2,FALSE))</f>
        <v/>
      </c>
      <c r="N9" s="110" t="str">
        <f ca="1">IF(OR(D9="Select",F9="Select"),"--",IFERROR(IF(D9="","",VLOOKUP(B9&amp;"_D",Categories!$A$27:$I$32,MATCH('Score Card'!D9,INDIRECT("Categories!A"&amp;MATCH(B9&amp;"_D",Categories!$A$27:$A$32,0)+26):INDIRECT("Categories!H"&amp;MATCH(B9&amp;"_D",Categories!$A$27:$A$32,0)+26),0)+3,FALSE))*VLOOKUP(F9,Categories!$D$38:$E$41,2,FALSE)*IF(H9="No",0.5,1),"Instant Fail"))</f>
        <v>--</v>
      </c>
      <c r="O9" s="116" t="str">
        <f t="shared" ca="1" si="0"/>
        <v/>
      </c>
      <c r="P9" s="88"/>
    </row>
    <row r="10" spans="1:16" ht="18" customHeight="1" x14ac:dyDescent="0.25">
      <c r="A10" s="69">
        <v>7</v>
      </c>
      <c r="B10" s="95" t="s">
        <v>1</v>
      </c>
      <c r="C10" s="96"/>
      <c r="D10" s="95" t="s">
        <v>1</v>
      </c>
      <c r="E10" s="96"/>
      <c r="F10" s="95" t="s">
        <v>1</v>
      </c>
      <c r="G10" s="96"/>
      <c r="H10" s="95" t="s">
        <v>1</v>
      </c>
      <c r="I10" s="96"/>
      <c r="J10" s="97" t="s">
        <v>1</v>
      </c>
      <c r="K10" s="70"/>
      <c r="L10" s="78" t="str">
        <f>IF(OR(J10="",J10="Select"),"",VLOOKUP(J10,Categories!$A$38:$B$88,2,FALSE))</f>
        <v/>
      </c>
      <c r="M10" s="113" t="str">
        <f>IF(OR(B10="",B10="Select"),"",VLOOKUP(B10&amp;"_D",Categories!$A$27:$I$32,2,FALSE))</f>
        <v/>
      </c>
      <c r="N10" s="110" t="str">
        <f ca="1">IF(OR(D10="Select",F10="Select"),"--",IFERROR(IF(D10="","",VLOOKUP(B10&amp;"_D",Categories!$A$27:$I$32,MATCH('Score Card'!D10,INDIRECT("Categories!A"&amp;MATCH(B10&amp;"_D",Categories!$A$27:$A$32,0)+26):INDIRECT("Categories!H"&amp;MATCH(B10&amp;"_D",Categories!$A$27:$A$32,0)+26),0)+3,FALSE))*VLOOKUP(F10,Categories!$D$38:$E$41,2,FALSE)*IF(H10="No",0.5,1),"Instant Fail"))</f>
        <v>--</v>
      </c>
      <c r="O10" s="116" t="str">
        <f t="shared" ca="1" si="0"/>
        <v/>
      </c>
      <c r="P10" s="88"/>
    </row>
    <row r="11" spans="1:16" ht="18" customHeight="1" x14ac:dyDescent="0.25">
      <c r="A11" s="69">
        <v>8</v>
      </c>
      <c r="B11" s="95" t="s">
        <v>1</v>
      </c>
      <c r="C11" s="96"/>
      <c r="D11" s="95" t="s">
        <v>1</v>
      </c>
      <c r="E11" s="96"/>
      <c r="F11" s="95" t="s">
        <v>1</v>
      </c>
      <c r="G11" s="96"/>
      <c r="H11" s="95" t="s">
        <v>1</v>
      </c>
      <c r="I11" s="96"/>
      <c r="J11" s="97" t="s">
        <v>1</v>
      </c>
      <c r="K11" s="70"/>
      <c r="L11" s="78" t="str">
        <f>IF(OR(J11="",J11="Select"),"",VLOOKUP(J11,Categories!$A$38:$B$88,2,FALSE))</f>
        <v/>
      </c>
      <c r="M11" s="113" t="str">
        <f>IF(OR(B11="",B11="Select"),"",VLOOKUP(B11&amp;"_D",Categories!$A$27:$I$32,2,FALSE))</f>
        <v/>
      </c>
      <c r="N11" s="110" t="str">
        <f ca="1">IF(OR(D11="Select",F11="Select"),"--",IFERROR(IF(D11="","",VLOOKUP(B11&amp;"_D",Categories!$A$27:$I$32,MATCH('Score Card'!D11,INDIRECT("Categories!A"&amp;MATCH(B11&amp;"_D",Categories!$A$27:$A$32,0)+26):INDIRECT("Categories!H"&amp;MATCH(B11&amp;"_D",Categories!$A$27:$A$32,0)+26),0)+3,FALSE))*VLOOKUP(F11,Categories!$D$38:$E$41,2,FALSE)*IF(H11="No",0.5,1),"Instant Fail"))</f>
        <v>--</v>
      </c>
      <c r="O11" s="116" t="str">
        <f t="shared" ca="1" si="0"/>
        <v/>
      </c>
      <c r="P11" s="88"/>
    </row>
    <row r="12" spans="1:16" ht="18" customHeight="1" x14ac:dyDescent="0.25">
      <c r="A12" s="69">
        <v>9</v>
      </c>
      <c r="B12" s="95" t="s">
        <v>1</v>
      </c>
      <c r="C12" s="96"/>
      <c r="D12" s="95" t="s">
        <v>1</v>
      </c>
      <c r="E12" s="96"/>
      <c r="F12" s="95" t="s">
        <v>1</v>
      </c>
      <c r="G12" s="96"/>
      <c r="H12" s="95" t="s">
        <v>1</v>
      </c>
      <c r="I12" s="96"/>
      <c r="J12" s="97" t="s">
        <v>1</v>
      </c>
      <c r="K12" s="70"/>
      <c r="L12" s="78" t="str">
        <f>IF(OR(J12="",J12="Select"),"",VLOOKUP(J12,Categories!$A$38:$B$88,2,FALSE))</f>
        <v/>
      </c>
      <c r="M12" s="113" t="str">
        <f>IF(OR(B12="",B12="Select"),"",VLOOKUP(B12&amp;"_D",Categories!$A$27:$I$32,2,FALSE))</f>
        <v/>
      </c>
      <c r="N12" s="110" t="str">
        <f ca="1">IF(OR(D12="Select",F12="Select"),"--",IFERROR(IF(D12="","",VLOOKUP(B12&amp;"_D",Categories!$A$27:$I$32,MATCH('Score Card'!D12,INDIRECT("Categories!A"&amp;MATCH(B12&amp;"_D",Categories!$A$27:$A$32,0)+26):INDIRECT("Categories!H"&amp;MATCH(B12&amp;"_D",Categories!$A$27:$A$32,0)+26),0)+3,FALSE))*VLOOKUP(F12,Categories!$D$38:$E$41,2,FALSE)*IF(H12="No",0.5,1),"Instant Fail"))</f>
        <v>--</v>
      </c>
      <c r="O12" s="116" t="str">
        <f t="shared" ca="1" si="0"/>
        <v/>
      </c>
      <c r="P12" s="88"/>
    </row>
    <row r="13" spans="1:16" ht="18" customHeight="1" thickBot="1" x14ac:dyDescent="0.3">
      <c r="A13" s="71">
        <v>10</v>
      </c>
      <c r="B13" s="98" t="s">
        <v>1</v>
      </c>
      <c r="C13" s="99"/>
      <c r="D13" s="100" t="s">
        <v>1</v>
      </c>
      <c r="E13" s="99"/>
      <c r="F13" s="98" t="s">
        <v>1</v>
      </c>
      <c r="G13" s="99"/>
      <c r="H13" s="98" t="s">
        <v>1</v>
      </c>
      <c r="I13" s="99"/>
      <c r="J13" s="101" t="s">
        <v>1</v>
      </c>
      <c r="K13" s="72"/>
      <c r="L13" s="79" t="str">
        <f>IF(OR(J13="",J13="Select"),"",VLOOKUP(J13,Categories!$A$38:$B$88,2,FALSE))</f>
        <v/>
      </c>
      <c r="M13" s="114" t="str">
        <f>IF(OR(B13="",B13="Select"),"",VLOOKUP(B13&amp;"_D",Categories!$A$27:$I$32,2,FALSE))</f>
        <v/>
      </c>
      <c r="N13" s="111" t="str">
        <f ca="1">IF(OR(D13="Select",F13="Select"),"--",IFERROR(IF(D13="","",VLOOKUP(B13&amp;"_D",Categories!$A$27:$I$32,MATCH('Score Card'!D13,INDIRECT("Categories!A"&amp;MATCH(B13&amp;"_D",Categories!$A$27:$A$32,0)+26):INDIRECT("Categories!H"&amp;MATCH(B13&amp;"_D",Categories!$A$27:$A$32,0)+26),0)+3,FALSE))*VLOOKUP(F13,Categories!$D$38:$E$41,2,FALSE)*IF(H13="No",0.5,1),"Instant Fail"))</f>
        <v>--</v>
      </c>
      <c r="O13" s="117" t="str">
        <f t="shared" ca="1" si="0"/>
        <v/>
      </c>
      <c r="P13" s="89"/>
    </row>
    <row r="14" spans="1:16" x14ac:dyDescent="0.25">
      <c r="A14" s="73"/>
      <c r="B14" s="73"/>
      <c r="C14" s="74"/>
      <c r="D14" s="73"/>
      <c r="E14" s="74"/>
      <c r="F14" s="74"/>
      <c r="G14" s="74"/>
      <c r="H14" s="74"/>
      <c r="I14" s="74"/>
      <c r="J14" s="73"/>
      <c r="L14" s="73" t="s">
        <v>56</v>
      </c>
      <c r="M14" s="73"/>
      <c r="N14" s="80" t="s">
        <v>55</v>
      </c>
      <c r="O14" s="81">
        <f ca="1">SUM(O4:O13)</f>
        <v>-0.66348392183999993</v>
      </c>
    </row>
    <row r="15" spans="1:16" s="5" customFormat="1" x14ac:dyDescent="0.25">
      <c r="A15" s="75"/>
      <c r="B15" s="537" t="s">
        <v>54</v>
      </c>
      <c r="C15" s="538"/>
      <c r="D15" s="538"/>
      <c r="E15" s="75"/>
      <c r="F15" s="2"/>
      <c r="G15" s="2"/>
      <c r="H15" s="2"/>
      <c r="I15" s="75"/>
      <c r="J15" s="75"/>
      <c r="K15" s="6"/>
      <c r="L15" s="75"/>
      <c r="M15" s="75"/>
      <c r="N15" s="75"/>
      <c r="O15" s="75"/>
    </row>
    <row r="16" spans="1:16" s="5" customFormat="1" x14ac:dyDescent="0.25">
      <c r="A16" s="75"/>
      <c r="B16" s="539" t="s">
        <v>53</v>
      </c>
      <c r="C16" s="538"/>
      <c r="D16" s="538"/>
      <c r="E16" s="75"/>
      <c r="F16" s="2"/>
      <c r="G16" s="2"/>
      <c r="H16" s="2"/>
      <c r="I16" s="75"/>
      <c r="J16" s="75"/>
      <c r="K16" s="6"/>
      <c r="L16" s="82" t="s">
        <v>52</v>
      </c>
      <c r="M16" s="82"/>
      <c r="N16" s="82"/>
      <c r="O16" s="82"/>
    </row>
    <row r="17" spans="1:16" s="5" customFormat="1" x14ac:dyDescent="0.25">
      <c r="A17" s="75"/>
      <c r="B17" s="540" t="s">
        <v>51</v>
      </c>
      <c r="C17" s="538"/>
      <c r="D17" s="538"/>
      <c r="E17" s="75"/>
      <c r="F17" s="2"/>
      <c r="G17" s="2"/>
      <c r="H17" s="2"/>
      <c r="I17" s="75"/>
      <c r="J17" s="75"/>
      <c r="K17" s="6"/>
      <c r="L17" s="83" t="s">
        <v>50</v>
      </c>
      <c r="M17" s="83"/>
      <c r="N17" s="83"/>
      <c r="O17" s="84">
        <v>5</v>
      </c>
    </row>
    <row r="18" spans="1:16" x14ac:dyDescent="0.25">
      <c r="L18" s="85" t="s">
        <v>49</v>
      </c>
      <c r="M18" s="85"/>
      <c r="N18" s="85"/>
      <c r="O18" s="86">
        <f ca="1">O14</f>
        <v>-0.66348392183999993</v>
      </c>
    </row>
    <row r="19" spans="1:16" ht="32.25" customHeight="1" thickBot="1" x14ac:dyDescent="0.4">
      <c r="L19" s="106" t="s">
        <v>48</v>
      </c>
      <c r="M19" s="106"/>
      <c r="N19" s="106"/>
      <c r="O19" s="107">
        <f ca="1">IF(OR(SUM(O17:O18)&lt;1,N4="Instant Fail",N5="Instant Fail",N6="Instant Fail",N7="Instant Fail",N8="Instant Fail",N9="Instant Fail",N10="Instant Fail",N11="Instant Fail",N12="Instant Fail",N13="Instant Fail"),1,SUM(O17:O18))</f>
        <v>4.3365160781599998</v>
      </c>
      <c r="P19" s="108" t="str">
        <f ca="1">IF(O19&lt;3,"**Please contact P&amp;G Before Shipping**","")</f>
        <v/>
      </c>
    </row>
    <row r="20" spans="1:16" ht="63.75" thickBot="1" x14ac:dyDescent="0.3">
      <c r="B20" s="103" t="s">
        <v>47</v>
      </c>
      <c r="C20" s="104"/>
      <c r="D20" s="105" t="s">
        <v>46</v>
      </c>
    </row>
    <row r="21" spans="1:16" x14ac:dyDescent="0.25">
      <c r="L21" s="4"/>
      <c r="O21" s="3"/>
    </row>
    <row r="22" spans="1:16" ht="18.75" x14ac:dyDescent="0.3">
      <c r="B22" s="154" t="s">
        <v>144</v>
      </c>
      <c r="C22" s="151"/>
      <c r="D22" s="151"/>
    </row>
    <row r="23" spans="1:16" x14ac:dyDescent="0.25">
      <c r="B23" s="152" t="s">
        <v>146</v>
      </c>
      <c r="C23" s="153"/>
      <c r="D23" s="152" t="s">
        <v>145</v>
      </c>
    </row>
  </sheetData>
  <sheetProtection password="D8D5" sheet="1" objects="1" scenarios="1"/>
  <mergeCells count="4">
    <mergeCell ref="B15:D15"/>
    <mergeCell ref="B16:D16"/>
    <mergeCell ref="B17:D17"/>
    <mergeCell ref="A1:P2"/>
  </mergeCells>
  <conditionalFormatting sqref="P19">
    <cfRule type="cellIs" dxfId="2" priority="1" operator="equal">
      <formula>"**Please contact P&amp;G Before Shipping**"</formula>
    </cfRule>
    <cfRule type="cellIs" dxfId="1" priority="2" operator="equal">
      <formula>"""**Please contact P&amp;G Before Shipping**"""</formula>
    </cfRule>
    <cfRule type="cellIs" dxfId="0" priority="3" operator="equal">
      <formula>"""**Please contact P&amp;G Before Shipping**"""</formula>
    </cfRule>
    <cfRule type="expression" priority="4">
      <formula>"IF($O$17&lt;2)"</formula>
    </cfRule>
  </conditionalFormatting>
  <dataValidations count="6">
    <dataValidation type="list" allowBlank="1" showInputMessage="1" showErrorMessage="1" sqref="F4:F13">
      <formula1>Location</formula1>
    </dataValidation>
    <dataValidation type="list" allowBlank="1" showInputMessage="1" showErrorMessage="1" sqref="D4">
      <formula1>INDIRECT($B$4&amp;"_D")</formula1>
    </dataValidation>
    <dataValidation type="list" allowBlank="1" showInputMessage="1" showErrorMessage="1" sqref="B4:B13">
      <formula1>DefectCategory</formula1>
    </dataValidation>
    <dataValidation type="list" allowBlank="1" showInputMessage="1" showErrorMessage="1" sqref="H4:H13">
      <formula1>Visibility</formula1>
    </dataValidation>
    <dataValidation type="list" allowBlank="1" showInputMessage="1" showErrorMessage="1" sqref="D5:D13">
      <formula1>INDIRECT($B5&amp;"_D")</formula1>
    </dataValidation>
    <dataValidation type="list" allowBlank="1" showInputMessage="1" showErrorMessage="1" sqref="J4:J13">
      <formula1>INDIRECT(B4)</formula1>
    </dataValidation>
  </dataValidations>
  <pageMargins left="0.75" right="0.75" top="1" bottom="1" header="0.5" footer="0.5"/>
  <pageSetup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8"/>
  <sheetViews>
    <sheetView topLeftCell="A25" zoomScale="90" zoomScaleNormal="90" zoomScalePageLayoutView="90" workbookViewId="0">
      <selection activeCell="E39" sqref="E39"/>
    </sheetView>
  </sheetViews>
  <sheetFormatPr defaultColWidth="11" defaultRowHeight="15.75" x14ac:dyDescent="0.25"/>
  <cols>
    <col min="1" max="1" width="22" style="9" customWidth="1"/>
    <col min="2" max="2" width="16.375" style="9" customWidth="1"/>
    <col min="3" max="3" width="10.875" style="9" customWidth="1"/>
    <col min="4" max="4" width="30.125" style="9" customWidth="1"/>
    <col min="5" max="5" width="26.375" style="9" customWidth="1"/>
    <col min="6" max="6" width="35.125" style="8" customWidth="1"/>
    <col min="7" max="7" width="12" style="1" customWidth="1"/>
    <col min="8" max="8" width="14.125" style="1" customWidth="1"/>
    <col min="9" max="9" width="12" style="1" customWidth="1"/>
    <col min="10" max="10" width="30" style="1" customWidth="1"/>
    <col min="11" max="16384" width="11" style="1"/>
  </cols>
  <sheetData>
    <row r="1" spans="1:7" ht="36" customHeight="1" x14ac:dyDescent="0.25">
      <c r="A1" s="1"/>
      <c r="B1" s="29" t="s">
        <v>123</v>
      </c>
      <c r="C1" s="24"/>
      <c r="D1" s="24"/>
      <c r="E1" s="24"/>
      <c r="F1" s="24"/>
      <c r="G1" s="38"/>
    </row>
    <row r="2" spans="1:7" ht="36" customHeight="1" x14ac:dyDescent="0.25">
      <c r="A2" s="27" t="s">
        <v>1</v>
      </c>
      <c r="B2" s="27" t="s">
        <v>122</v>
      </c>
      <c r="C2" s="27" t="s">
        <v>121</v>
      </c>
      <c r="D2" s="62" t="s">
        <v>120</v>
      </c>
      <c r="E2" s="62" t="s">
        <v>119</v>
      </c>
      <c r="F2" s="62" t="s">
        <v>118</v>
      </c>
      <c r="G2" s="8"/>
    </row>
    <row r="3" spans="1:7" ht="14.1" customHeight="1" x14ac:dyDescent="0.25">
      <c r="A3" s="63"/>
      <c r="B3" s="62" t="s">
        <v>1</v>
      </c>
      <c r="C3" s="62" t="s">
        <v>1</v>
      </c>
      <c r="D3" s="62" t="s">
        <v>1</v>
      </c>
      <c r="E3" s="62" t="s">
        <v>1</v>
      </c>
      <c r="F3" s="62" t="s">
        <v>1</v>
      </c>
      <c r="G3" s="8"/>
    </row>
    <row r="4" spans="1:7" ht="14.1" customHeight="1" x14ac:dyDescent="0.25">
      <c r="A4" s="1"/>
      <c r="B4" s="48" t="s">
        <v>8</v>
      </c>
      <c r="C4" s="61" t="s">
        <v>38</v>
      </c>
      <c r="D4" s="59" t="s">
        <v>33</v>
      </c>
      <c r="E4" s="60" t="s">
        <v>15</v>
      </c>
      <c r="F4" s="59" t="s">
        <v>16</v>
      </c>
      <c r="G4" s="8"/>
    </row>
    <row r="5" spans="1:7" ht="14.1" customHeight="1" x14ac:dyDescent="0.25">
      <c r="A5" s="1"/>
      <c r="B5" s="42" t="s">
        <v>18</v>
      </c>
      <c r="C5" s="56" t="s">
        <v>17</v>
      </c>
      <c r="D5" s="54" t="s">
        <v>23</v>
      </c>
      <c r="E5" s="58" t="s">
        <v>0</v>
      </c>
      <c r="F5" s="54" t="s">
        <v>31</v>
      </c>
      <c r="G5" s="8"/>
    </row>
    <row r="6" spans="1:7" ht="14.1" customHeight="1" x14ac:dyDescent="0.25">
      <c r="A6" s="1"/>
      <c r="B6" s="57" t="s">
        <v>19</v>
      </c>
      <c r="C6" s="56" t="s">
        <v>82</v>
      </c>
      <c r="D6" s="51" t="s">
        <v>39</v>
      </c>
      <c r="E6" s="55" t="s">
        <v>14</v>
      </c>
      <c r="F6" s="51" t="s">
        <v>32</v>
      </c>
      <c r="G6" s="8"/>
    </row>
    <row r="7" spans="1:7" ht="14.1" customHeight="1" x14ac:dyDescent="0.25">
      <c r="A7" s="1"/>
      <c r="B7" s="52" t="s">
        <v>20</v>
      </c>
      <c r="C7" s="54" t="s">
        <v>35</v>
      </c>
      <c r="D7" s="43" t="s">
        <v>6</v>
      </c>
      <c r="E7" s="48" t="s">
        <v>26</v>
      </c>
      <c r="F7" s="53" t="s">
        <v>43</v>
      </c>
    </row>
    <row r="8" spans="1:7" ht="14.1" customHeight="1" x14ac:dyDescent="0.25">
      <c r="A8" s="1"/>
      <c r="B8" s="52" t="s">
        <v>21</v>
      </c>
      <c r="C8" s="51" t="s">
        <v>36</v>
      </c>
      <c r="D8" s="42" t="s">
        <v>10</v>
      </c>
      <c r="E8" s="43" t="s">
        <v>37</v>
      </c>
      <c r="F8" s="50" t="s">
        <v>42</v>
      </c>
      <c r="G8" s="8"/>
    </row>
    <row r="9" spans="1:7" ht="14.1" customHeight="1" x14ac:dyDescent="0.25">
      <c r="A9" s="1"/>
      <c r="B9" s="49" t="s">
        <v>22</v>
      </c>
      <c r="C9" s="48" t="s">
        <v>13</v>
      </c>
      <c r="D9" s="13" t="s">
        <v>44</v>
      </c>
      <c r="E9" s="43" t="s">
        <v>3</v>
      </c>
      <c r="G9" s="8"/>
    </row>
    <row r="10" spans="1:7" ht="14.1" customHeight="1" x14ac:dyDescent="0.25">
      <c r="A10" s="1"/>
      <c r="B10" s="22" t="s">
        <v>24</v>
      </c>
      <c r="C10" s="43" t="s">
        <v>4</v>
      </c>
      <c r="D10" s="47" t="s">
        <v>70</v>
      </c>
      <c r="E10" s="43" t="s">
        <v>5</v>
      </c>
      <c r="F10" s="41"/>
      <c r="G10" s="8"/>
    </row>
    <row r="11" spans="1:7" ht="14.1" customHeight="1" x14ac:dyDescent="0.25">
      <c r="A11" s="1"/>
      <c r="B11" s="47" t="s">
        <v>71</v>
      </c>
      <c r="C11" s="43" t="s">
        <v>25</v>
      </c>
      <c r="D11" s="40" t="s">
        <v>34</v>
      </c>
      <c r="E11" s="42" t="s">
        <v>12</v>
      </c>
      <c r="F11" s="41"/>
      <c r="G11" s="8"/>
    </row>
    <row r="12" spans="1:7" ht="14.1" customHeight="1" x14ac:dyDescent="0.25">
      <c r="A12" s="1"/>
      <c r="B12" s="46" t="s">
        <v>73</v>
      </c>
      <c r="C12" s="43" t="s">
        <v>27</v>
      </c>
      <c r="D12" s="11" t="s">
        <v>28</v>
      </c>
      <c r="E12" s="45" t="s">
        <v>40</v>
      </c>
      <c r="F12" s="41"/>
      <c r="G12" s="8"/>
    </row>
    <row r="13" spans="1:7" ht="14.1" customHeight="1" x14ac:dyDescent="0.25">
      <c r="A13" s="1"/>
      <c r="B13" s="41"/>
      <c r="C13" s="43" t="s">
        <v>29</v>
      </c>
      <c r="D13" s="41"/>
      <c r="E13" s="44" t="s">
        <v>30</v>
      </c>
      <c r="F13" s="41"/>
      <c r="G13" s="8"/>
    </row>
    <row r="14" spans="1:7" ht="14.1" customHeight="1" x14ac:dyDescent="0.25">
      <c r="A14" s="1"/>
      <c r="B14" s="41"/>
      <c r="C14" s="43" t="s">
        <v>78</v>
      </c>
      <c r="D14" s="41"/>
      <c r="E14" s="41"/>
      <c r="F14" s="41"/>
    </row>
    <row r="15" spans="1:7" ht="14.1" customHeight="1" x14ac:dyDescent="0.25">
      <c r="A15" s="1"/>
      <c r="B15" s="41"/>
      <c r="C15" s="43" t="s">
        <v>77</v>
      </c>
      <c r="D15" s="41"/>
      <c r="E15" s="41"/>
      <c r="F15" s="41"/>
    </row>
    <row r="16" spans="1:7" ht="14.1" customHeight="1" x14ac:dyDescent="0.25">
      <c r="A16" s="1"/>
      <c r="B16" s="41"/>
      <c r="C16" s="43" t="s">
        <v>76</v>
      </c>
      <c r="D16" s="41"/>
      <c r="E16" s="41"/>
      <c r="F16" s="41"/>
    </row>
    <row r="17" spans="1:9" ht="14.1" customHeight="1" x14ac:dyDescent="0.25">
      <c r="A17" s="1"/>
      <c r="B17" s="41"/>
      <c r="C17" s="43" t="s">
        <v>7</v>
      </c>
      <c r="D17" s="41"/>
      <c r="E17" s="41"/>
      <c r="F17" s="41"/>
    </row>
    <row r="18" spans="1:9" ht="14.1" customHeight="1" x14ac:dyDescent="0.25">
      <c r="A18" s="1"/>
      <c r="B18" s="41"/>
      <c r="C18" s="43" t="s">
        <v>9</v>
      </c>
      <c r="D18" s="41"/>
      <c r="E18" s="41"/>
      <c r="F18" s="41"/>
    </row>
    <row r="19" spans="1:9" ht="14.1" customHeight="1" x14ac:dyDescent="0.25">
      <c r="A19" s="1"/>
      <c r="B19" s="41"/>
      <c r="C19" s="42" t="s">
        <v>11</v>
      </c>
      <c r="D19" s="41"/>
      <c r="E19" s="41"/>
      <c r="F19" s="41"/>
    </row>
    <row r="20" spans="1:9" ht="14.1" customHeight="1" x14ac:dyDescent="0.25">
      <c r="A20" s="1"/>
      <c r="B20" s="41"/>
      <c r="C20" s="41" t="s">
        <v>41</v>
      </c>
      <c r="D20" s="41"/>
      <c r="E20" s="41"/>
      <c r="F20" s="41"/>
    </row>
    <row r="21" spans="1:9" ht="14.1" customHeight="1" x14ac:dyDescent="0.25">
      <c r="A21" s="1"/>
      <c r="B21" s="40"/>
      <c r="C21" s="40" t="s">
        <v>28</v>
      </c>
      <c r="D21" s="40"/>
      <c r="E21" s="40"/>
      <c r="F21" s="40"/>
    </row>
    <row r="22" spans="1:9" ht="14.1" customHeight="1" x14ac:dyDescent="0.25">
      <c r="A22" s="24"/>
      <c r="B22" s="24"/>
      <c r="C22" s="24"/>
      <c r="D22" s="24"/>
      <c r="E22" s="24"/>
      <c r="F22" s="1"/>
    </row>
    <row r="23" spans="1:9" ht="14.1" customHeight="1" x14ac:dyDescent="0.25">
      <c r="A23" s="24"/>
      <c r="B23" s="24"/>
      <c r="C23" s="24"/>
      <c r="D23" s="24"/>
      <c r="E23" s="24"/>
      <c r="F23" s="1"/>
    </row>
    <row r="24" spans="1:9" ht="14.1" customHeight="1" x14ac:dyDescent="0.25">
      <c r="A24" s="39"/>
      <c r="B24" s="24"/>
      <c r="C24" s="24"/>
      <c r="D24" s="24"/>
      <c r="E24" s="24"/>
      <c r="F24" s="38"/>
    </row>
    <row r="25" spans="1:9" ht="36" customHeight="1" x14ac:dyDescent="0.25">
      <c r="A25" s="29" t="s">
        <v>117</v>
      </c>
      <c r="B25" s="24"/>
      <c r="C25" s="24"/>
      <c r="D25" s="24"/>
      <c r="E25" s="24"/>
      <c r="F25" s="38"/>
    </row>
    <row r="26" spans="1:9" ht="36" customHeight="1" x14ac:dyDescent="0.25">
      <c r="A26" s="27" t="s">
        <v>91</v>
      </c>
      <c r="B26" s="27" t="s">
        <v>60</v>
      </c>
      <c r="C26" s="27" t="s">
        <v>1</v>
      </c>
      <c r="D26" s="27" t="s">
        <v>116</v>
      </c>
      <c r="E26" s="27" t="s">
        <v>115</v>
      </c>
      <c r="F26" s="27" t="s">
        <v>114</v>
      </c>
      <c r="G26" s="27" t="s">
        <v>113</v>
      </c>
      <c r="H26" s="27" t="s">
        <v>112</v>
      </c>
      <c r="I26" s="27" t="s">
        <v>111</v>
      </c>
    </row>
    <row r="27" spans="1:9" ht="14.1" customHeight="1" x14ac:dyDescent="0.25">
      <c r="A27" s="27" t="s">
        <v>110</v>
      </c>
      <c r="B27" s="27"/>
      <c r="C27" s="27" t="s">
        <v>1</v>
      </c>
      <c r="D27" s="27" t="s">
        <v>109</v>
      </c>
      <c r="E27" s="27"/>
      <c r="F27" s="27"/>
      <c r="G27" s="27"/>
      <c r="H27" s="27"/>
      <c r="I27" s="27"/>
    </row>
    <row r="28" spans="1:9" ht="17.25" customHeight="1" x14ac:dyDescent="0.25">
      <c r="A28" s="36" t="s">
        <v>108</v>
      </c>
      <c r="B28" s="118">
        <v>-0.1005024875</v>
      </c>
      <c r="C28" s="32" t="s">
        <v>1</v>
      </c>
      <c r="D28" s="32" t="s">
        <v>107</v>
      </c>
      <c r="E28" s="7" t="s">
        <v>106</v>
      </c>
      <c r="G28" s="37">
        <v>1</v>
      </c>
      <c r="H28" s="37">
        <v>4</v>
      </c>
      <c r="I28" s="37"/>
    </row>
    <row r="29" spans="1:9" ht="14.1" customHeight="1" x14ac:dyDescent="0.25">
      <c r="A29" s="36" t="s">
        <v>105</v>
      </c>
      <c r="B29" s="118">
        <v>-0.1005024875</v>
      </c>
      <c r="C29" s="32" t="s">
        <v>1</v>
      </c>
      <c r="D29" s="33" t="s">
        <v>124</v>
      </c>
      <c r="E29" s="35" t="s">
        <v>104</v>
      </c>
      <c r="F29" s="32" t="s">
        <v>103</v>
      </c>
      <c r="G29" s="37">
        <v>1</v>
      </c>
      <c r="H29" s="37">
        <v>2</v>
      </c>
      <c r="I29" s="37">
        <v>4</v>
      </c>
    </row>
    <row r="30" spans="1:9" ht="14.1" customHeight="1" x14ac:dyDescent="0.25">
      <c r="A30" s="36" t="s">
        <v>102</v>
      </c>
      <c r="B30" s="118">
        <v>-0.26800663349999998</v>
      </c>
      <c r="C30" s="32" t="s">
        <v>1</v>
      </c>
      <c r="D30" s="35" t="s">
        <v>69</v>
      </c>
      <c r="E30" s="32" t="s">
        <v>101</v>
      </c>
      <c r="G30" s="37">
        <v>1</v>
      </c>
      <c r="H30" s="37">
        <v>4</v>
      </c>
      <c r="I30" s="37"/>
    </row>
    <row r="31" spans="1:9" ht="14.1" customHeight="1" x14ac:dyDescent="0.25">
      <c r="A31" s="36" t="s">
        <v>100</v>
      </c>
      <c r="B31" s="142">
        <f>-0.5025/E40</f>
        <v>-0.71785714285714286</v>
      </c>
      <c r="C31" s="32" t="s">
        <v>1</v>
      </c>
      <c r="D31" s="33" t="s">
        <v>99</v>
      </c>
      <c r="E31" s="35" t="s">
        <v>98</v>
      </c>
      <c r="F31" s="32" t="s">
        <v>97</v>
      </c>
      <c r="G31" s="37">
        <v>1</v>
      </c>
      <c r="H31" s="37">
        <v>2</v>
      </c>
      <c r="I31" s="37">
        <v>4</v>
      </c>
    </row>
    <row r="32" spans="1:9" ht="14.1" customHeight="1" x14ac:dyDescent="0.25">
      <c r="A32" s="36" t="s">
        <v>96</v>
      </c>
      <c r="B32" s="118">
        <v>-0.25</v>
      </c>
      <c r="C32" s="32" t="s">
        <v>1</v>
      </c>
      <c r="D32" s="33" t="s">
        <v>68</v>
      </c>
      <c r="E32" s="35"/>
      <c r="F32" s="32"/>
      <c r="G32" s="34">
        <v>1</v>
      </c>
      <c r="H32" s="33"/>
      <c r="I32" s="32"/>
    </row>
    <row r="33" spans="1:8" ht="14.1" customHeight="1" x14ac:dyDescent="0.25">
      <c r="A33" s="31"/>
      <c r="B33" s="20"/>
      <c r="C33" s="25"/>
      <c r="D33" s="26"/>
      <c r="E33" s="20"/>
      <c r="F33" s="25"/>
      <c r="G33" s="25"/>
      <c r="H33" s="20"/>
    </row>
    <row r="34" spans="1:8" ht="14.1" customHeight="1" x14ac:dyDescent="0.25">
      <c r="A34" s="31"/>
      <c r="B34" s="20"/>
      <c r="C34" s="25"/>
      <c r="D34" s="26"/>
      <c r="E34" s="20"/>
      <c r="F34" s="25"/>
      <c r="G34" s="25"/>
      <c r="H34" s="20"/>
    </row>
    <row r="35" spans="1:8" ht="14.1" customHeight="1" x14ac:dyDescent="0.25">
      <c r="A35" s="24"/>
      <c r="B35" s="24"/>
      <c r="D35" s="24"/>
      <c r="E35" s="24"/>
      <c r="F35" s="30"/>
    </row>
    <row r="36" spans="1:8" ht="36" customHeight="1" x14ac:dyDescent="0.25">
      <c r="A36" s="29" t="s">
        <v>95</v>
      </c>
      <c r="D36" s="29" t="s">
        <v>94</v>
      </c>
      <c r="F36" s="30"/>
      <c r="G36" s="29" t="s">
        <v>93</v>
      </c>
      <c r="H36" s="29" t="s">
        <v>92</v>
      </c>
    </row>
    <row r="37" spans="1:8" ht="45.75" customHeight="1" x14ac:dyDescent="0.25">
      <c r="A37" s="27" t="s">
        <v>45</v>
      </c>
      <c r="B37" s="28" t="s">
        <v>91</v>
      </c>
      <c r="D37" s="27" t="s">
        <v>90</v>
      </c>
      <c r="E37" s="27" t="s">
        <v>89</v>
      </c>
      <c r="G37" s="27" t="s">
        <v>88</v>
      </c>
      <c r="H37" s="27" t="s">
        <v>87</v>
      </c>
    </row>
    <row r="38" spans="1:8" ht="14.1" customHeight="1" x14ac:dyDescent="0.25">
      <c r="A38" s="22" t="s">
        <v>24</v>
      </c>
      <c r="B38" s="21" t="s">
        <v>79</v>
      </c>
      <c r="D38" s="1" t="s">
        <v>1</v>
      </c>
      <c r="E38" s="9">
        <v>1</v>
      </c>
      <c r="G38" s="1" t="s">
        <v>1</v>
      </c>
      <c r="H38" s="1" t="s">
        <v>1</v>
      </c>
    </row>
    <row r="39" spans="1:8" ht="14.25" customHeight="1" x14ac:dyDescent="0.25">
      <c r="A39" s="22" t="s">
        <v>38</v>
      </c>
      <c r="B39" s="21" t="s">
        <v>79</v>
      </c>
      <c r="C39" s="125"/>
      <c r="D39" s="124" t="s">
        <v>129</v>
      </c>
      <c r="E39" s="127">
        <v>2.33</v>
      </c>
      <c r="F39" s="126"/>
      <c r="G39" s="25" t="s">
        <v>86</v>
      </c>
      <c r="H39" s="26" t="s">
        <v>85</v>
      </c>
    </row>
    <row r="40" spans="1:8" ht="14.1" customHeight="1" x14ac:dyDescent="0.25">
      <c r="A40" s="22" t="s">
        <v>17</v>
      </c>
      <c r="B40" s="21" t="s">
        <v>79</v>
      </c>
      <c r="D40" s="124" t="s">
        <v>130</v>
      </c>
      <c r="E40" s="128">
        <v>0.7</v>
      </c>
      <c r="F40" s="126"/>
      <c r="G40" s="1" t="s">
        <v>84</v>
      </c>
      <c r="H40" s="1" t="s">
        <v>83</v>
      </c>
    </row>
    <row r="41" spans="1:8" ht="14.1" customHeight="1" x14ac:dyDescent="0.25">
      <c r="A41" s="22" t="s">
        <v>82</v>
      </c>
      <c r="B41" s="21" t="s">
        <v>79</v>
      </c>
      <c r="D41" s="1" t="s">
        <v>81</v>
      </c>
      <c r="E41" s="20" t="s">
        <v>80</v>
      </c>
    </row>
    <row r="42" spans="1:8" ht="14.1" customHeight="1" x14ac:dyDescent="0.25">
      <c r="A42" s="22" t="s">
        <v>35</v>
      </c>
      <c r="B42" s="21" t="s">
        <v>79</v>
      </c>
      <c r="C42" s="20"/>
    </row>
    <row r="43" spans="1:8" ht="14.1" customHeight="1" x14ac:dyDescent="0.25">
      <c r="A43" s="22" t="s">
        <v>36</v>
      </c>
      <c r="B43" s="21" t="s">
        <v>79</v>
      </c>
      <c r="C43" s="20"/>
      <c r="D43" s="20"/>
      <c r="E43" s="20"/>
    </row>
    <row r="44" spans="1:8" ht="14.1" customHeight="1" x14ac:dyDescent="0.25">
      <c r="A44" s="22" t="s">
        <v>33</v>
      </c>
      <c r="B44" s="21" t="s">
        <v>79</v>
      </c>
      <c r="C44" s="20"/>
      <c r="D44" s="20"/>
      <c r="E44" s="20"/>
    </row>
    <row r="45" spans="1:8" ht="14.1" customHeight="1" x14ac:dyDescent="0.25">
      <c r="A45" s="22" t="s">
        <v>23</v>
      </c>
      <c r="B45" s="21" t="s">
        <v>79</v>
      </c>
      <c r="C45" s="20"/>
      <c r="D45" s="20"/>
      <c r="E45" s="20"/>
      <c r="F45" s="23"/>
    </row>
    <row r="46" spans="1:8" ht="14.1" customHeight="1" x14ac:dyDescent="0.25">
      <c r="A46" s="22" t="s">
        <v>39</v>
      </c>
      <c r="B46" s="21" t="s">
        <v>79</v>
      </c>
      <c r="C46" s="20"/>
      <c r="D46" s="20"/>
      <c r="E46" s="20"/>
    </row>
    <row r="47" spans="1:8" ht="14.1" customHeight="1" x14ac:dyDescent="0.25">
      <c r="A47" s="22" t="s">
        <v>15</v>
      </c>
      <c r="B47" s="21" t="s">
        <v>79</v>
      </c>
      <c r="C47" s="20"/>
      <c r="D47" s="20"/>
      <c r="E47" s="20"/>
    </row>
    <row r="48" spans="1:8" ht="14.1" customHeight="1" x14ac:dyDescent="0.25">
      <c r="A48" s="22" t="s">
        <v>0</v>
      </c>
      <c r="B48" s="21" t="s">
        <v>79</v>
      </c>
    </row>
    <row r="49" spans="1:5" ht="14.1" customHeight="1" x14ac:dyDescent="0.25">
      <c r="A49" s="22" t="s">
        <v>14</v>
      </c>
      <c r="B49" s="21" t="s">
        <v>79</v>
      </c>
      <c r="C49" s="20"/>
      <c r="D49" s="20"/>
      <c r="E49" s="20"/>
    </row>
    <row r="50" spans="1:5" ht="14.1" customHeight="1" x14ac:dyDescent="0.25">
      <c r="A50" s="22" t="s">
        <v>16</v>
      </c>
      <c r="B50" s="21" t="s">
        <v>79</v>
      </c>
      <c r="C50" s="20"/>
      <c r="D50" s="20"/>
      <c r="E50" s="20"/>
    </row>
    <row r="51" spans="1:5" ht="14.1" customHeight="1" x14ac:dyDescent="0.25">
      <c r="A51" s="22" t="s">
        <v>31</v>
      </c>
      <c r="B51" s="21" t="s">
        <v>79</v>
      </c>
      <c r="C51" s="20"/>
      <c r="D51" s="20"/>
      <c r="E51" s="20"/>
    </row>
    <row r="52" spans="1:5" ht="14.1" customHeight="1" x14ac:dyDescent="0.25">
      <c r="A52" s="22" t="s">
        <v>32</v>
      </c>
      <c r="B52" s="21" t="s">
        <v>79</v>
      </c>
      <c r="C52" s="20"/>
      <c r="D52" s="20"/>
      <c r="E52" s="20"/>
    </row>
    <row r="53" spans="1:5" ht="14.1" customHeight="1" x14ac:dyDescent="0.25">
      <c r="A53" s="19" t="s">
        <v>8</v>
      </c>
      <c r="B53" s="18" t="s">
        <v>75</v>
      </c>
      <c r="C53" s="20"/>
      <c r="D53" s="20"/>
      <c r="E53" s="20"/>
    </row>
    <row r="54" spans="1:5" ht="14.1" customHeight="1" x14ac:dyDescent="0.25">
      <c r="A54" s="19" t="s">
        <v>18</v>
      </c>
      <c r="B54" s="18" t="s">
        <v>75</v>
      </c>
      <c r="C54" s="20"/>
      <c r="D54" s="20"/>
      <c r="E54" s="20"/>
    </row>
    <row r="55" spans="1:5" ht="14.1" customHeight="1" x14ac:dyDescent="0.25">
      <c r="A55" s="19" t="s">
        <v>13</v>
      </c>
      <c r="B55" s="18" t="s">
        <v>75</v>
      </c>
    </row>
    <row r="56" spans="1:5" ht="14.1" customHeight="1" x14ac:dyDescent="0.25">
      <c r="A56" s="19" t="s">
        <v>4</v>
      </c>
      <c r="B56" s="18" t="s">
        <v>75</v>
      </c>
      <c r="C56" s="20"/>
      <c r="D56" s="20"/>
    </row>
    <row r="57" spans="1:5" ht="14.1" customHeight="1" x14ac:dyDescent="0.25">
      <c r="A57" s="19" t="s">
        <v>25</v>
      </c>
      <c r="B57" s="18" t="s">
        <v>75</v>
      </c>
    </row>
    <row r="58" spans="1:5" ht="14.1" customHeight="1" x14ac:dyDescent="0.25">
      <c r="A58" s="19" t="s">
        <v>27</v>
      </c>
      <c r="B58" s="18" t="s">
        <v>75</v>
      </c>
    </row>
    <row r="59" spans="1:5" ht="14.1" customHeight="1" x14ac:dyDescent="0.25">
      <c r="A59" s="19" t="s">
        <v>29</v>
      </c>
      <c r="B59" s="18" t="s">
        <v>75</v>
      </c>
    </row>
    <row r="60" spans="1:5" ht="14.1" customHeight="1" x14ac:dyDescent="0.25">
      <c r="A60" s="19" t="s">
        <v>78</v>
      </c>
      <c r="B60" s="18" t="s">
        <v>75</v>
      </c>
    </row>
    <row r="61" spans="1:5" ht="14.1" customHeight="1" x14ac:dyDescent="0.25">
      <c r="A61" s="19" t="s">
        <v>77</v>
      </c>
      <c r="B61" s="18" t="s">
        <v>75</v>
      </c>
    </row>
    <row r="62" spans="1:5" ht="14.1" customHeight="1" x14ac:dyDescent="0.25">
      <c r="A62" s="19" t="s">
        <v>76</v>
      </c>
      <c r="B62" s="18" t="s">
        <v>75</v>
      </c>
    </row>
    <row r="63" spans="1:5" ht="14.1" customHeight="1" x14ac:dyDescent="0.25">
      <c r="A63" s="19" t="s">
        <v>7</v>
      </c>
      <c r="B63" s="18" t="s">
        <v>75</v>
      </c>
    </row>
    <row r="64" spans="1:5" ht="14.1" customHeight="1" x14ac:dyDescent="0.25">
      <c r="A64" s="19" t="s">
        <v>9</v>
      </c>
      <c r="B64" s="18" t="s">
        <v>75</v>
      </c>
    </row>
    <row r="65" spans="1:2" ht="14.1" customHeight="1" x14ac:dyDescent="0.25">
      <c r="A65" s="19" t="s">
        <v>11</v>
      </c>
      <c r="B65" s="18" t="s">
        <v>75</v>
      </c>
    </row>
    <row r="66" spans="1:2" ht="14.1" customHeight="1" x14ac:dyDescent="0.25">
      <c r="A66" s="19" t="s">
        <v>6</v>
      </c>
      <c r="B66" s="18" t="s">
        <v>75</v>
      </c>
    </row>
    <row r="67" spans="1:2" ht="14.1" customHeight="1" x14ac:dyDescent="0.25">
      <c r="A67" s="19" t="s">
        <v>10</v>
      </c>
      <c r="B67" s="18" t="s">
        <v>75</v>
      </c>
    </row>
    <row r="68" spans="1:2" ht="14.1" customHeight="1" x14ac:dyDescent="0.25">
      <c r="A68" s="19" t="s">
        <v>26</v>
      </c>
      <c r="B68" s="18" t="s">
        <v>75</v>
      </c>
    </row>
    <row r="69" spans="1:2" ht="14.1" customHeight="1" x14ac:dyDescent="0.25">
      <c r="A69" s="19" t="s">
        <v>37</v>
      </c>
      <c r="B69" s="18" t="s">
        <v>75</v>
      </c>
    </row>
    <row r="70" spans="1:2" ht="14.1" customHeight="1" x14ac:dyDescent="0.25">
      <c r="A70" s="19" t="s">
        <v>3</v>
      </c>
      <c r="B70" s="18" t="s">
        <v>75</v>
      </c>
    </row>
    <row r="71" spans="1:2" ht="14.1" customHeight="1" x14ac:dyDescent="0.25">
      <c r="A71" s="19" t="s">
        <v>5</v>
      </c>
      <c r="B71" s="18" t="s">
        <v>75</v>
      </c>
    </row>
    <row r="72" spans="1:2" ht="14.1" customHeight="1" x14ac:dyDescent="0.25">
      <c r="A72" s="19" t="s">
        <v>12</v>
      </c>
      <c r="B72" s="18" t="s">
        <v>75</v>
      </c>
    </row>
    <row r="73" spans="1:2" ht="14.1" customHeight="1" x14ac:dyDescent="0.25">
      <c r="A73" s="17" t="s">
        <v>19</v>
      </c>
      <c r="B73" s="16" t="s">
        <v>74</v>
      </c>
    </row>
    <row r="74" spans="1:2" ht="14.1" customHeight="1" x14ac:dyDescent="0.25">
      <c r="A74" s="17" t="s">
        <v>20</v>
      </c>
      <c r="B74" s="16" t="s">
        <v>74</v>
      </c>
    </row>
    <row r="75" spans="1:2" ht="14.1" customHeight="1" x14ac:dyDescent="0.25">
      <c r="A75" s="17" t="s">
        <v>21</v>
      </c>
      <c r="B75" s="16" t="s">
        <v>74</v>
      </c>
    </row>
    <row r="76" spans="1:2" ht="14.1" customHeight="1" x14ac:dyDescent="0.25">
      <c r="A76" s="17" t="s">
        <v>22</v>
      </c>
      <c r="B76" s="16" t="s">
        <v>74</v>
      </c>
    </row>
    <row r="77" spans="1:2" ht="14.1" customHeight="1" x14ac:dyDescent="0.25">
      <c r="A77" s="15" t="s">
        <v>40</v>
      </c>
      <c r="B77" s="14" t="s">
        <v>72</v>
      </c>
    </row>
    <row r="78" spans="1:2" ht="14.1" customHeight="1" x14ac:dyDescent="0.25">
      <c r="A78" s="15" t="s">
        <v>30</v>
      </c>
      <c r="B78" s="14" t="s">
        <v>72</v>
      </c>
    </row>
    <row r="79" spans="1:2" ht="14.1" customHeight="1" x14ac:dyDescent="0.25">
      <c r="A79" s="15" t="s">
        <v>73</v>
      </c>
      <c r="B79" s="14" t="s">
        <v>72</v>
      </c>
    </row>
    <row r="80" spans="1:2" ht="14.1" customHeight="1" x14ac:dyDescent="0.25">
      <c r="A80" s="13" t="s">
        <v>44</v>
      </c>
      <c r="B80" s="12" t="s">
        <v>2</v>
      </c>
    </row>
    <row r="81" spans="1:2" ht="14.1" customHeight="1" x14ac:dyDescent="0.25">
      <c r="A81" s="13" t="s">
        <v>43</v>
      </c>
      <c r="B81" s="12" t="s">
        <v>2</v>
      </c>
    </row>
    <row r="82" spans="1:2" ht="14.1" customHeight="1" x14ac:dyDescent="0.25">
      <c r="A82" s="13" t="s">
        <v>42</v>
      </c>
      <c r="B82" s="12" t="s">
        <v>2</v>
      </c>
    </row>
    <row r="83" spans="1:2" ht="14.1" customHeight="1" x14ac:dyDescent="0.25">
      <c r="A83" s="11" t="s">
        <v>71</v>
      </c>
      <c r="B83" s="10" t="s">
        <v>69</v>
      </c>
    </row>
    <row r="84" spans="1:2" ht="14.1" customHeight="1" x14ac:dyDescent="0.25">
      <c r="A84" s="11" t="s">
        <v>41</v>
      </c>
      <c r="B84" s="10" t="s">
        <v>69</v>
      </c>
    </row>
    <row r="85" spans="1:2" ht="14.1" customHeight="1" x14ac:dyDescent="0.25">
      <c r="A85" s="11" t="s">
        <v>28</v>
      </c>
      <c r="B85" s="10" t="s">
        <v>69</v>
      </c>
    </row>
    <row r="86" spans="1:2" ht="14.1" customHeight="1" x14ac:dyDescent="0.25">
      <c r="A86" s="11" t="s">
        <v>70</v>
      </c>
      <c r="B86" s="10" t="s">
        <v>69</v>
      </c>
    </row>
    <row r="87" spans="1:2" ht="14.1" customHeight="1" x14ac:dyDescent="0.25">
      <c r="A87" s="11" t="s">
        <v>34</v>
      </c>
      <c r="B87" s="10" t="s">
        <v>69</v>
      </c>
    </row>
    <row r="88" spans="1:2" ht="14.1" customHeight="1" x14ac:dyDescent="0.25">
      <c r="A88" s="11" t="s">
        <v>28</v>
      </c>
      <c r="B88" s="10" t="s">
        <v>69</v>
      </c>
    </row>
  </sheetData>
  <sheetProtection password="9249" sheet="1" objects="1" scenarios="1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9" sqref="C19"/>
    </sheetView>
  </sheetViews>
  <sheetFormatPr defaultColWidth="8.625" defaultRowHeight="12.75" x14ac:dyDescent="0.2"/>
  <cols>
    <col min="1" max="1" width="8.625" style="119"/>
    <col min="2" max="2" width="9.375" style="119" bestFit="1" customWidth="1"/>
    <col min="3" max="3" width="66.125" customWidth="1"/>
    <col min="5" max="5" width="12" customWidth="1"/>
    <col min="8" max="8" width="15.625" customWidth="1"/>
  </cols>
  <sheetData>
    <row r="1" spans="1:8" s="123" customFormat="1" ht="18.75" customHeight="1" x14ac:dyDescent="0.2">
      <c r="A1" s="123" t="s">
        <v>126</v>
      </c>
      <c r="B1" s="123" t="s">
        <v>127</v>
      </c>
      <c r="C1" s="123" t="s">
        <v>128</v>
      </c>
    </row>
    <row r="2" spans="1:8" s="122" customFormat="1" ht="126.75" customHeight="1" x14ac:dyDescent="0.2">
      <c r="A2" s="120" t="s">
        <v>125</v>
      </c>
      <c r="B2" s="121">
        <v>40593</v>
      </c>
      <c r="C2" s="143" t="s">
        <v>138</v>
      </c>
    </row>
    <row r="3" spans="1:8" ht="15" hidden="1" x14ac:dyDescent="0.25">
      <c r="E3" s="130"/>
      <c r="F3" s="131" t="s">
        <v>131</v>
      </c>
      <c r="G3" s="132" t="s">
        <v>132</v>
      </c>
      <c r="H3" s="133" t="s">
        <v>133</v>
      </c>
    </row>
    <row r="4" spans="1:8" ht="15.75" hidden="1" x14ac:dyDescent="0.25">
      <c r="E4" s="134" t="s">
        <v>134</v>
      </c>
      <c r="F4" s="135">
        <v>2.5</v>
      </c>
      <c r="G4" s="136">
        <v>2.33</v>
      </c>
      <c r="H4" s="137">
        <v>-6.7999999999999977E-2</v>
      </c>
    </row>
    <row r="5" spans="1:8" ht="15.75" hidden="1" x14ac:dyDescent="0.25">
      <c r="E5" s="134" t="s">
        <v>135</v>
      </c>
      <c r="F5" s="135">
        <v>1.5</v>
      </c>
      <c r="G5" s="136">
        <v>2.33</v>
      </c>
      <c r="H5" s="137">
        <v>0.55333333333333334</v>
      </c>
    </row>
    <row r="6" spans="1:8" ht="15.75" hidden="1" x14ac:dyDescent="0.25">
      <c r="E6" s="138" t="s">
        <v>136</v>
      </c>
      <c r="F6" s="139">
        <v>1</v>
      </c>
      <c r="G6" s="140">
        <v>0.7</v>
      </c>
      <c r="H6" s="141">
        <v>-0.30000000000000004</v>
      </c>
    </row>
    <row r="7" spans="1:8" ht="15" hidden="1" x14ac:dyDescent="0.25">
      <c r="E7" s="144"/>
      <c r="F7" s="144">
        <v>5</v>
      </c>
      <c r="G7" s="144">
        <v>5.36</v>
      </c>
      <c r="H7" s="129"/>
    </row>
    <row r="8" spans="1:8" ht="15.75" hidden="1" x14ac:dyDescent="0.25">
      <c r="E8" s="145" t="s">
        <v>137</v>
      </c>
      <c r="F8" s="144"/>
      <c r="G8" s="144"/>
      <c r="H8" s="129"/>
    </row>
    <row r="9" spans="1:8" ht="15" hidden="1" x14ac:dyDescent="0.25">
      <c r="D9" s="147" t="s">
        <v>139</v>
      </c>
      <c r="E9" s="144">
        <v>1</v>
      </c>
      <c r="F9" s="144">
        <v>2.5</v>
      </c>
      <c r="G9" s="146">
        <v>2.33</v>
      </c>
      <c r="H9" s="129"/>
    </row>
    <row r="10" spans="1:8" ht="15" hidden="1" x14ac:dyDescent="0.25">
      <c r="D10" s="147" t="s">
        <v>140</v>
      </c>
      <c r="E10" s="144">
        <v>1.25</v>
      </c>
      <c r="F10" s="146">
        <v>1.875</v>
      </c>
      <c r="G10" s="146">
        <v>2.9125000000000001</v>
      </c>
      <c r="H10" s="129"/>
    </row>
    <row r="11" spans="1:8" ht="15" hidden="1" x14ac:dyDescent="0.25">
      <c r="D11" s="147" t="s">
        <v>141</v>
      </c>
      <c r="E11" s="144">
        <v>2.5</v>
      </c>
      <c r="F11" s="144">
        <v>2.5</v>
      </c>
      <c r="G11" s="146">
        <v>1.75</v>
      </c>
      <c r="H11" s="129"/>
    </row>
    <row r="12" spans="1:8" ht="15" hidden="1" x14ac:dyDescent="0.25">
      <c r="E12" s="144"/>
      <c r="F12" s="148">
        <v>6.875</v>
      </c>
      <c r="G12" s="149">
        <v>6.9924999999999997</v>
      </c>
      <c r="H12" s="129"/>
    </row>
    <row r="14" spans="1:8" ht="15" x14ac:dyDescent="0.25">
      <c r="A14" s="150" t="s">
        <v>142</v>
      </c>
      <c r="E14" s="129"/>
      <c r="F14" s="129"/>
      <c r="G14" s="129"/>
      <c r="H14" s="129"/>
    </row>
    <row r="15" spans="1:8" ht="15" x14ac:dyDescent="0.25">
      <c r="E15" s="129"/>
      <c r="F15" s="129"/>
      <c r="G15" s="129"/>
      <c r="H15" s="129"/>
    </row>
    <row r="17" spans="5:8" ht="15" x14ac:dyDescent="0.25">
      <c r="E17" s="129"/>
      <c r="F17" s="129"/>
      <c r="G17" s="129"/>
      <c r="H17" s="12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Template</vt:lpstr>
      <vt:lpstr>DE</vt:lpstr>
      <vt:lpstr>Scoring</vt:lpstr>
      <vt:lpstr>Score Card</vt:lpstr>
      <vt:lpstr>Categories</vt:lpstr>
      <vt:lpstr>Upversion</vt:lpstr>
      <vt:lpstr>DefectCategory</vt:lpstr>
      <vt:lpstr>Location</vt:lpstr>
      <vt:lpstr>Missing_Print</vt:lpstr>
      <vt:lpstr>Missing_Print_D</vt:lpstr>
      <vt:lpstr>Muang</vt:lpstr>
      <vt:lpstr>Osaka</vt:lpstr>
      <vt:lpstr>'Score Card'!PassFail</vt:lpstr>
      <vt:lpstr>Print_Clarity</vt:lpstr>
      <vt:lpstr>Print_Clarity_D</vt:lpstr>
      <vt:lpstr>Print_Color</vt:lpstr>
      <vt:lpstr>Print_Color_D</vt:lpstr>
      <vt:lpstr>Select_D</vt:lpstr>
      <vt:lpstr>Substrate_Defect</vt:lpstr>
      <vt:lpstr>Substrate_Defect_D</vt:lpstr>
      <vt:lpstr>Unwanted_Print</vt:lpstr>
      <vt:lpstr>Unwanted_Print_D</vt:lpstr>
      <vt:lpstr>'Score Card'!Visibility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Levine</dc:creator>
  <cp:lastModifiedBy>P</cp:lastModifiedBy>
  <cp:lastPrinted>2015-03-26T20:48:28Z</cp:lastPrinted>
  <dcterms:created xsi:type="dcterms:W3CDTF">2011-03-16T00:44:03Z</dcterms:created>
  <dcterms:modified xsi:type="dcterms:W3CDTF">2015-11-14T02:30:12Z</dcterms:modified>
</cp:coreProperties>
</file>