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655" windowHeight="12210"/>
  </bookViews>
  <sheets>
    <sheet name="TestTab" sheetId="1" r:id="rId1"/>
  </sheets>
  <definedNames>
    <definedName name="_xlnm._FilterDatabase" localSheetId="0" hidden="1">TestTab!$A$2:$BJ$200</definedName>
  </definedNames>
  <calcPr calcId="145621"/>
</workbook>
</file>

<file path=xl/calcChain.xml><?xml version="1.0" encoding="utf-8"?>
<calcChain xmlns="http://schemas.openxmlformats.org/spreadsheetml/2006/main">
  <c r="BE6" i="1" l="1"/>
  <c r="BG6" i="1" s="1"/>
  <c r="BD6" i="1"/>
  <c r="BC6" i="1"/>
  <c r="BF6" i="1" s="1"/>
  <c r="BB6" i="1"/>
  <c r="BA6" i="1"/>
  <c r="AW6" i="1"/>
  <c r="AX6" i="1" s="1"/>
  <c r="AT6" i="1"/>
  <c r="AS6" i="1"/>
  <c r="AR6" i="1"/>
  <c r="AQ6" i="1"/>
  <c r="AP6" i="1"/>
  <c r="AO6" i="1"/>
  <c r="AM6" i="1"/>
  <c r="AK6" i="1"/>
  <c r="AI6" i="1"/>
  <c r="AG6" i="1"/>
  <c r="AH6" i="1" s="1"/>
  <c r="AJ6" i="1" s="1"/>
  <c r="AD6" i="1"/>
  <c r="AC6" i="1"/>
  <c r="AB6" i="1"/>
  <c r="Z6" i="1"/>
  <c r="AA6" i="1" s="1"/>
  <c r="Y6" i="1"/>
  <c r="S6" i="1"/>
  <c r="V6" i="1" s="1"/>
  <c r="R6" i="1"/>
  <c r="U6" i="1" s="1"/>
  <c r="Q6" i="1"/>
  <c r="P6" i="1"/>
  <c r="O6" i="1"/>
  <c r="N6" i="1"/>
  <c r="AL6" i="1" s="1"/>
  <c r="AN6" i="1" s="1"/>
  <c r="I6" i="1"/>
  <c r="BG5" i="1"/>
  <c r="BE5" i="1"/>
  <c r="BD5" i="1"/>
  <c r="BC5" i="1"/>
  <c r="BF5" i="1" s="1"/>
  <c r="BB5" i="1"/>
  <c r="BA5" i="1"/>
  <c r="AW5" i="1"/>
  <c r="AX5" i="1" s="1"/>
  <c r="AT5" i="1"/>
  <c r="AS5" i="1"/>
  <c r="AR5" i="1"/>
  <c r="AQ5" i="1"/>
  <c r="AP5" i="1"/>
  <c r="AO5" i="1"/>
  <c r="AL5" i="1"/>
  <c r="AN5" i="1" s="1"/>
  <c r="AK5" i="1"/>
  <c r="AI5" i="1"/>
  <c r="AG5" i="1"/>
  <c r="AH5" i="1" s="1"/>
  <c r="AJ5" i="1" s="1"/>
  <c r="AD5" i="1"/>
  <c r="AC5" i="1"/>
  <c r="AB5" i="1"/>
  <c r="Z5" i="1"/>
  <c r="S5" i="1"/>
  <c r="V5" i="1" s="1"/>
  <c r="R5" i="1"/>
  <c r="Y5" i="1" s="1"/>
  <c r="Q5" i="1"/>
  <c r="U5" i="1" s="1"/>
  <c r="W5" i="1" s="1"/>
  <c r="X5" i="1" s="1"/>
  <c r="P5" i="1"/>
  <c r="O5" i="1"/>
  <c r="N5" i="1"/>
  <c r="AM5" i="1" s="1"/>
  <c r="I5" i="1"/>
  <c r="BG4" i="1"/>
  <c r="BE4" i="1"/>
  <c r="BD4" i="1"/>
  <c r="BC4" i="1"/>
  <c r="BF4" i="1" s="1"/>
  <c r="BB4" i="1"/>
  <c r="BA4" i="1"/>
  <c r="AX4" i="1"/>
  <c r="AW4" i="1"/>
  <c r="AT4" i="1"/>
  <c r="AS4" i="1"/>
  <c r="AR4" i="1"/>
  <c r="AQ4" i="1"/>
  <c r="AP4" i="1"/>
  <c r="AO4" i="1"/>
  <c r="AM4" i="1"/>
  <c r="AL4" i="1"/>
  <c r="AN4" i="1" s="1"/>
  <c r="AK4" i="1"/>
  <c r="AI4" i="1"/>
  <c r="AG4" i="1"/>
  <c r="AH4" i="1" s="1"/>
  <c r="AJ4" i="1" s="1"/>
  <c r="AD4" i="1"/>
  <c r="AC4" i="1"/>
  <c r="AB4" i="1"/>
  <c r="Z4" i="1"/>
  <c r="S4" i="1"/>
  <c r="V4" i="1" s="1"/>
  <c r="R4" i="1"/>
  <c r="Y4" i="1" s="1"/>
  <c r="Q4" i="1"/>
  <c r="U4" i="1" s="1"/>
  <c r="W4" i="1" s="1"/>
  <c r="X4" i="1" s="1"/>
  <c r="P4" i="1"/>
  <c r="O4" i="1"/>
  <c r="N4" i="1"/>
  <c r="I4" i="1"/>
  <c r="BG3" i="1"/>
  <c r="BF3" i="1"/>
  <c r="BE3" i="1"/>
  <c r="BD3" i="1"/>
  <c r="BC3" i="1"/>
  <c r="BB3" i="1"/>
  <c r="BA3" i="1"/>
  <c r="AX3" i="1"/>
  <c r="AW3" i="1"/>
  <c r="AT3" i="1"/>
  <c r="AS3" i="1"/>
  <c r="AR3" i="1"/>
  <c r="AQ3" i="1"/>
  <c r="AP3" i="1"/>
  <c r="AO3" i="1"/>
  <c r="AL3" i="1"/>
  <c r="AN3" i="1" s="1"/>
  <c r="AK3" i="1"/>
  <c r="AI3" i="1"/>
  <c r="AG3" i="1"/>
  <c r="AH3" i="1" s="1"/>
  <c r="AJ3" i="1" s="1"/>
  <c r="AD3" i="1"/>
  <c r="AC3" i="1"/>
  <c r="AB3" i="1"/>
  <c r="Z3" i="1"/>
  <c r="V3" i="1"/>
  <c r="S3" i="1"/>
  <c r="R3" i="1"/>
  <c r="Y3" i="1" s="1"/>
  <c r="AA3" i="1" s="1"/>
  <c r="P3" i="1"/>
  <c r="Q3" i="1" s="1"/>
  <c r="O3" i="1"/>
  <c r="N3" i="1"/>
  <c r="AM3" i="1" s="1"/>
  <c r="I3" i="1"/>
  <c r="T3" i="1" l="1"/>
  <c r="U3" i="1"/>
  <c r="W3" i="1" s="1"/>
  <c r="X3" i="1" s="1"/>
  <c r="W6" i="1"/>
  <c r="X6" i="1" s="1"/>
  <c r="AA4" i="1"/>
  <c r="AA5" i="1"/>
  <c r="T6" i="1"/>
  <c r="T5" i="1"/>
  <c r="T4" i="1"/>
</calcChain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11"/>
            <color indexed="8"/>
            <rFont val="Calibri"/>
            <family val="2"/>
            <scheme val="minor"/>
          </rPr>
          <t>Cubist Pharmaceuticals Inc. (CBST)</t>
        </r>
      </text>
    </comment>
    <comment ref="C4" authorId="0">
      <text>
        <r>
          <rPr>
            <sz val="11"/>
            <color indexed="8"/>
            <rFont val="Calibri"/>
            <family val="2"/>
            <scheme val="minor"/>
          </rPr>
          <t>Cubist Pharmaceuticals Inc. (CBST)</t>
        </r>
      </text>
    </comment>
    <comment ref="C5" authorId="0">
      <text>
        <r>
          <rPr>
            <sz val="11"/>
            <color indexed="8"/>
            <rFont val="Calibri"/>
            <family val="2"/>
            <scheme val="minor"/>
          </rPr>
          <t>Continental Resources Inc. Com (CLR)</t>
        </r>
      </text>
    </comment>
    <comment ref="C6" authorId="0">
      <text>
        <r>
          <rPr>
            <sz val="11"/>
            <color indexed="8"/>
            <rFont val="Calibri"/>
            <family val="2"/>
            <scheme val="minor"/>
          </rPr>
          <t>Continental Resources Inc. Com (CLR)</t>
        </r>
      </text>
    </comment>
  </commentList>
</comments>
</file>

<file path=xl/sharedStrings.xml><?xml version="1.0" encoding="utf-8"?>
<sst xmlns="http://schemas.openxmlformats.org/spreadsheetml/2006/main" count="105" uniqueCount="74">
  <si>
    <t>Basic</t>
  </si>
  <si>
    <t>Current Position</t>
  </si>
  <si>
    <t>Decide on Entry</t>
  </si>
  <si>
    <t>Portfolio Data</t>
  </si>
  <si>
    <t>Roll Down</t>
  </si>
  <si>
    <t>Do Nothing</t>
  </si>
  <si>
    <t>Unwind Now</t>
  </si>
  <si>
    <t>Roll Out</t>
  </si>
  <si>
    <t>Roll Up and Out</t>
  </si>
  <si>
    <t>Links</t>
  </si>
  <si>
    <t>.</t>
  </si>
  <si>
    <t>Action</t>
  </si>
  <si>
    <t>Section</t>
  </si>
  <si>
    <t>Symbol</t>
  </si>
  <si>
    <t>Name</t>
  </si>
  <si>
    <t>Goal</t>
  </si>
  <si>
    <t>Price</t>
  </si>
  <si>
    <t>Strike</t>
  </si>
  <si>
    <t>ExpiryDate</t>
  </si>
  <si>
    <t>Days</t>
  </si>
  <si>
    <t>Call Bid Price</t>
  </si>
  <si>
    <t>Itm Otm</t>
  </si>
  <si>
    <t>Bought @</t>
  </si>
  <si>
    <t>Sold Call @</t>
  </si>
  <si>
    <t>ROO</t>
  </si>
  <si>
    <t>Appreciation</t>
  </si>
  <si>
    <t>Intrinsic</t>
  </si>
  <si>
    <t>Time Value</t>
  </si>
  <si>
    <t>Adjusted Cost</t>
  </si>
  <si>
    <t>Upside Profit</t>
  </si>
  <si>
    <t>Total Profit</t>
  </si>
  <si>
    <t>Return on Option</t>
  </si>
  <si>
    <t>Return on Upside</t>
  </si>
  <si>
    <t>Total Return</t>
  </si>
  <si>
    <t>Annualized</t>
  </si>
  <si>
    <t>Begin of Loss Zone</t>
  </si>
  <si>
    <t>Set Alert</t>
  </si>
  <si>
    <t>Fluctuation Accommodation</t>
  </si>
  <si>
    <t>Sell @ (Wk1-2)</t>
  </si>
  <si>
    <t>Sell @ (Wk3)</t>
  </si>
  <si>
    <t>Notes</t>
  </si>
  <si>
    <t>Lower Option</t>
  </si>
  <si>
    <t>Net Proceeds</t>
  </si>
  <si>
    <t>Upside</t>
  </si>
  <si>
    <t>Total</t>
  </si>
  <si>
    <t>Called</t>
  </si>
  <si>
    <t>Net Cash to Open</t>
  </si>
  <si>
    <t>Option Close</t>
  </si>
  <si>
    <t>Stock Close</t>
  </si>
  <si>
    <t>Net Gain</t>
  </si>
  <si>
    <t>Net Return</t>
  </si>
  <si>
    <t>Comparative Basis</t>
  </si>
  <si>
    <t>Next Month Option</t>
  </si>
  <si>
    <t>Return</t>
  </si>
  <si>
    <t>Bought Up Value</t>
  </si>
  <si>
    <t>Net Return w/o upside</t>
  </si>
  <si>
    <t>Net Return w upside</t>
  </si>
  <si>
    <t>Return w Upside</t>
  </si>
  <si>
    <t>Options Link</t>
  </si>
  <si>
    <t>Summary Link</t>
  </si>
  <si>
    <t/>
  </si>
  <si>
    <t>Own</t>
  </si>
  <si>
    <t>CBST</t>
  </si>
  <si>
    <t>Cubist Pharmaceuticals Inc. (CBST)</t>
  </si>
  <si>
    <t>Sell(ER)</t>
  </si>
  <si>
    <t>ITM</t>
  </si>
  <si>
    <t>http://finance.yahoo.com/q/op?s=CBST</t>
  </si>
  <si>
    <t>http://finance.yahoo.com/q?s=CBST</t>
  </si>
  <si>
    <t>OTM</t>
  </si>
  <si>
    <t>CLR</t>
  </si>
  <si>
    <t>Continental Resources Inc. Com (CLR)</t>
  </si>
  <si>
    <t>Keep</t>
  </si>
  <si>
    <t>http://finance.yahoo.com/q/op?s=CLR</t>
  </si>
  <si>
    <t>http://finance.yahoo.com/q?s=CLR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</si>
</sst>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#,##0.00"/>
  </numFmts>
  <fonts count="6" x14ac:knownFonts="1">
    <font>
      <sz val="11"/>
      <color indexed="8"/>
      <name val="Calibri"/>
      <family val="2"/>
      <scheme val="minor"/>
    </font>
    <font>
      <b/>
      <sz val="9"/>
      <name val="Calibri"/>
    </font>
    <font>
      <b/>
      <sz val="10"/>
      <name val="Calibri"/>
    </font>
    <font>
      <sz val="9"/>
      <name val="Calibri"/>
    </font>
    <font>
      <sz val="9"/>
      <color indexed="10"/>
      <name val="Calibri"/>
    </font>
    <font>
      <u/>
      <sz val="6"/>
      <color indexed="12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2"/>
      </patternFill>
    </fill>
  </fills>
  <borders count="2">
    <border>
      <left/>
      <right/>
      <top/>
      <bottom/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6" fontId="3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0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2" fillId="3" borderId="0" xfId="0" applyFont="1" applyFill="1" applyAlignment="1">
      <alignment horizontal="center" vertical="top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314325</xdr:colOff>
      <xdr:row>51</xdr:row>
      <xdr:rowOff>38100</xdr:rowOff>
    </xdr:to>
    <xdr:sp macro="" textlink="">
      <xdr:nvSpPr>
        <xdr:cNvPr id="1029" name="_xssf_cell_comment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nance.yahoo.com/q?s=CLR" TargetMode="External"/><Relationship Id="rId3" Type="http://schemas.openxmlformats.org/officeDocument/2006/relationships/hyperlink" Target="http://finance.yahoo.com/q/op?s=CBST" TargetMode="External"/><Relationship Id="rId7" Type="http://schemas.openxmlformats.org/officeDocument/2006/relationships/hyperlink" Target="http://finance.yahoo.com/q/op?s=CLR" TargetMode="External"/><Relationship Id="rId2" Type="http://schemas.openxmlformats.org/officeDocument/2006/relationships/hyperlink" Target="http://finance.yahoo.com/q?s=CBST" TargetMode="External"/><Relationship Id="rId1" Type="http://schemas.openxmlformats.org/officeDocument/2006/relationships/hyperlink" Target="http://finance.yahoo.com/q/op?s=CBST" TargetMode="External"/><Relationship Id="rId6" Type="http://schemas.openxmlformats.org/officeDocument/2006/relationships/hyperlink" Target="http://finance.yahoo.com/q?s=CLR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://finance.yahoo.com/q/op?s=CLR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finance.yahoo.com/q?s=CBST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J6"/>
  <sheetViews>
    <sheetView tabSelected="1" workbookViewId="0">
      <pane xSplit="13" ySplit="2" topLeftCell="N3" activePane="bottomRight" state="frozen"/>
      <selection pane="topRight"/>
      <selection pane="bottomLeft"/>
      <selection pane="bottomRight" sqref="A1:K1"/>
    </sheetView>
  </sheetViews>
  <sheetFormatPr defaultRowHeight="15" x14ac:dyDescent="0.25"/>
  <cols>
    <col min="1" max="2" width="7" customWidth="1"/>
    <col min="3" max="3" width="6.5703125" customWidth="1"/>
    <col min="4" max="4" width="18.85546875" customWidth="1"/>
    <col min="5" max="7" width="7" customWidth="1"/>
    <col min="8" max="8" width="7.28515625" customWidth="1"/>
    <col min="9" max="9" width="3.140625" customWidth="1"/>
    <col min="10" max="10" width="7" customWidth="1"/>
    <col min="11" max="11" width="4.28515625" customWidth="1"/>
    <col min="12" max="26" width="7" customWidth="1"/>
    <col min="27" max="29" width="6" customWidth="1"/>
    <col min="30" max="30" width="21.42578125" customWidth="1"/>
    <col min="31" max="59" width="7" customWidth="1"/>
    <col min="60" max="61" width="9.28515625" customWidth="1"/>
    <col min="62" max="62" width="4.7109375" customWidth="1"/>
  </cols>
  <sheetData>
    <row r="1" spans="1:62" ht="12" customHeight="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0" t="s">
        <v>1</v>
      </c>
      <c r="M1" s="11"/>
      <c r="N1" s="11"/>
      <c r="O1" s="11"/>
      <c r="P1" s="10" t="s">
        <v>2</v>
      </c>
      <c r="Q1" s="11"/>
      <c r="R1" s="11"/>
      <c r="S1" s="11"/>
      <c r="T1" s="11"/>
      <c r="U1" s="11"/>
      <c r="V1" s="11"/>
      <c r="W1" s="11"/>
      <c r="X1" s="11"/>
      <c r="Y1" s="10" t="s">
        <v>3</v>
      </c>
      <c r="Z1" s="11"/>
      <c r="AA1" s="11"/>
      <c r="AB1" s="11"/>
      <c r="AC1" s="11"/>
      <c r="AD1" s="11"/>
      <c r="AE1" s="10" t="s">
        <v>4</v>
      </c>
      <c r="AF1" s="11"/>
      <c r="AG1" s="11"/>
      <c r="AH1" s="11"/>
      <c r="AI1" s="11"/>
      <c r="AJ1" s="11"/>
      <c r="AK1" s="10" t="s">
        <v>5</v>
      </c>
      <c r="AL1" s="11"/>
      <c r="AM1" s="11"/>
      <c r="AN1" s="11"/>
      <c r="AO1" s="10" t="s">
        <v>6</v>
      </c>
      <c r="AP1" s="11"/>
      <c r="AQ1" s="11"/>
      <c r="AR1" s="11"/>
      <c r="AS1" s="11"/>
      <c r="AT1" s="10" t="s">
        <v>7</v>
      </c>
      <c r="AU1" s="11"/>
      <c r="AV1" s="11"/>
      <c r="AW1" s="11"/>
      <c r="AX1" s="11"/>
      <c r="AY1" s="10" t="s">
        <v>8</v>
      </c>
      <c r="AZ1" s="11"/>
      <c r="BA1" s="11"/>
      <c r="BB1" s="11"/>
      <c r="BC1" s="11"/>
      <c r="BD1" s="11"/>
      <c r="BE1" s="11"/>
      <c r="BF1" s="11"/>
      <c r="BG1" s="11"/>
      <c r="BH1" s="10" t="s">
        <v>9</v>
      </c>
      <c r="BI1" s="11"/>
      <c r="BJ1" s="10" t="s">
        <v>10</v>
      </c>
    </row>
    <row r="2" spans="1:62" ht="12" customHeight="1" x14ac:dyDescent="0.25">
      <c r="A2" s="2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  <c r="L2" s="2" t="s">
        <v>22</v>
      </c>
      <c r="M2" s="1" t="s">
        <v>23</v>
      </c>
      <c r="N2" s="1" t="s">
        <v>24</v>
      </c>
      <c r="O2" s="1" t="s">
        <v>25</v>
      </c>
      <c r="P2" s="2" t="s">
        <v>26</v>
      </c>
      <c r="Q2" s="1" t="s">
        <v>27</v>
      </c>
      <c r="R2" s="1" t="s">
        <v>28</v>
      </c>
      <c r="S2" s="1" t="s">
        <v>29</v>
      </c>
      <c r="T2" s="1" t="s">
        <v>30</v>
      </c>
      <c r="U2" s="1" t="s">
        <v>31</v>
      </c>
      <c r="V2" s="1" t="s">
        <v>32</v>
      </c>
      <c r="W2" s="1" t="s">
        <v>33</v>
      </c>
      <c r="X2" s="1" t="s">
        <v>34</v>
      </c>
      <c r="Y2" s="2" t="s">
        <v>35</v>
      </c>
      <c r="Z2" s="1" t="s">
        <v>36</v>
      </c>
      <c r="AA2" s="1" t="s">
        <v>37</v>
      </c>
      <c r="AB2" s="1" t="s">
        <v>38</v>
      </c>
      <c r="AC2" s="1" t="s">
        <v>39</v>
      </c>
      <c r="AD2" s="1" t="s">
        <v>40</v>
      </c>
      <c r="AE2" s="2" t="s">
        <v>41</v>
      </c>
      <c r="AF2" s="1" t="s">
        <v>17</v>
      </c>
      <c r="AG2" s="1" t="s">
        <v>42</v>
      </c>
      <c r="AH2" s="1" t="s">
        <v>24</v>
      </c>
      <c r="AI2" s="1" t="s">
        <v>43</v>
      </c>
      <c r="AJ2" s="1" t="s">
        <v>44</v>
      </c>
      <c r="AK2" s="2" t="s">
        <v>45</v>
      </c>
      <c r="AL2" s="1" t="s">
        <v>24</v>
      </c>
      <c r="AM2" s="1" t="s">
        <v>43</v>
      </c>
      <c r="AN2" s="1" t="s">
        <v>44</v>
      </c>
      <c r="AO2" s="2" t="s">
        <v>46</v>
      </c>
      <c r="AP2" s="1" t="s">
        <v>47</v>
      </c>
      <c r="AQ2" s="1" t="s">
        <v>48</v>
      </c>
      <c r="AR2" s="1" t="s">
        <v>49</v>
      </c>
      <c r="AS2" s="1" t="s">
        <v>50</v>
      </c>
      <c r="AT2" s="2" t="s">
        <v>51</v>
      </c>
      <c r="AU2" s="1" t="s">
        <v>52</v>
      </c>
      <c r="AV2" s="1" t="s">
        <v>17</v>
      </c>
      <c r="AW2" s="1" t="s">
        <v>42</v>
      </c>
      <c r="AX2" s="1" t="s">
        <v>53</v>
      </c>
      <c r="AY2" s="2" t="s">
        <v>52</v>
      </c>
      <c r="AZ2" s="1" t="s">
        <v>17</v>
      </c>
      <c r="BA2" s="1" t="s">
        <v>42</v>
      </c>
      <c r="BB2" s="1" t="s">
        <v>54</v>
      </c>
      <c r="BC2" s="1" t="s">
        <v>55</v>
      </c>
      <c r="BD2" s="1" t="s">
        <v>43</v>
      </c>
      <c r="BE2" s="1" t="s">
        <v>56</v>
      </c>
      <c r="BF2" s="1" t="s">
        <v>31</v>
      </c>
      <c r="BG2" s="1" t="s">
        <v>57</v>
      </c>
      <c r="BH2" s="2" t="s">
        <v>58</v>
      </c>
      <c r="BI2" s="1" t="s">
        <v>59</v>
      </c>
      <c r="BJ2" s="2" t="s">
        <v>60</v>
      </c>
    </row>
    <row r="3" spans="1:62" ht="12" customHeight="1" x14ac:dyDescent="0.2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5">
        <v>42.05</v>
      </c>
      <c r="G3" s="5">
        <v>42</v>
      </c>
      <c r="H3" s="4">
        <v>40985</v>
      </c>
      <c r="I3" s="3">
        <f ca="1">H3- TODAY()</f>
        <v>-36</v>
      </c>
      <c r="J3" s="5">
        <v>0.85</v>
      </c>
      <c r="K3" s="3" t="s">
        <v>65</v>
      </c>
      <c r="L3" s="6">
        <v>41.25</v>
      </c>
      <c r="M3" s="5"/>
      <c r="N3" s="7" t="str">
        <f>IF(ISBLANK(M3),"", (M3-MAX(0,L3-G3))/MIN(L3,G3))</f>
        <v/>
      </c>
      <c r="O3" s="7">
        <f>IF(ISBLANK(L3),"", (F3-L3)/L3)</f>
        <v>1.9393939393939325E-2</v>
      </c>
      <c r="P3" s="6">
        <f>IF(F3&gt;G3, F3-G3,0)</f>
        <v>4.9999999999997158E-2</v>
      </c>
      <c r="Q3" s="5">
        <f>J3-P3</f>
        <v>0.80000000000000282</v>
      </c>
      <c r="R3" s="5">
        <f>MIN(F3,G3)</f>
        <v>42</v>
      </c>
      <c r="S3" s="5">
        <f>IF(G3&gt;F3, G3-F3, 0)</f>
        <v>0</v>
      </c>
      <c r="T3" s="5">
        <f>Q3+S3</f>
        <v>0.80000000000000282</v>
      </c>
      <c r="U3" s="7">
        <f>Q3/R3</f>
        <v>1.9047619047619115E-2</v>
      </c>
      <c r="V3" s="7">
        <f>S3/R3</f>
        <v>0</v>
      </c>
      <c r="W3" s="7">
        <f>U3+V3</f>
        <v>1.9047619047619115E-2</v>
      </c>
      <c r="X3" s="7">
        <f>W3*12</f>
        <v>0.22857142857142937</v>
      </c>
      <c r="Y3" s="6">
        <f>IF(ISBLANK(M3), R3-Q3,L3-M3)</f>
        <v>41.199999999999996</v>
      </c>
      <c r="Z3" s="5">
        <f>G3</f>
        <v>42</v>
      </c>
      <c r="AA3" s="7">
        <f>(Z3-Y3)/IF(L3,L3,F3)</f>
        <v>1.9393939393939498E-2</v>
      </c>
      <c r="AB3" s="5" t="str">
        <f>IF(ISBLANK(M3),"", M3*0.2)</f>
        <v/>
      </c>
      <c r="AC3" s="5" t="str">
        <f>IF(ISBLANK(M3),"", M3*0.1)</f>
        <v/>
      </c>
      <c r="AD3" s="3" t="str">
        <f>IF(ISBLANK(M3), "", CONCATENATE("Short@",M3,"; Sell:",AB3,"/",AC3))</f>
        <v/>
      </c>
      <c r="AE3" s="6"/>
      <c r="AF3" s="5"/>
      <c r="AG3" s="5" t="str">
        <f>IF(EXACT(AE3,""), "", AE3-J3)</f>
        <v/>
      </c>
      <c r="AH3" s="7" t="str">
        <f>IF(EXACT(AG3,""), "", AG3/R3)</f>
        <v/>
      </c>
      <c r="AI3" s="7" t="str">
        <f>IF(EXACT(AF3,""), "", (AF3+M3-L3)/R3)</f>
        <v/>
      </c>
      <c r="AJ3" s="7" t="str">
        <f>IF(EXACT(AH3,""), "", AH3+AI3)</f>
        <v/>
      </c>
      <c r="AK3" s="6" t="str">
        <f>IF(F3&gt;G3,"Y","N")</f>
        <v>Y</v>
      </c>
      <c r="AL3" s="7" t="str">
        <f>IF(EXACT(N3,""), "", N3)</f>
        <v/>
      </c>
      <c r="AM3" s="7" t="str">
        <f>IF(EXACT(N3,""), "", IF(EXACT(AK3,"Y"),IF((G3-L3)&lt;0,0,(G3-L3)/R3),(F3-L3)/R3))</f>
        <v/>
      </c>
      <c r="AN3" s="7" t="str">
        <f>IF(EXACT(AL3,""), "", AL3+AM3)</f>
        <v/>
      </c>
      <c r="AO3" s="6" t="str">
        <f>IF(ISBLANK(M3), "", L3-M3)</f>
        <v/>
      </c>
      <c r="AP3" s="5" t="str">
        <f>IF(ISBLANK(M3), "", M3-J3)</f>
        <v/>
      </c>
      <c r="AQ3" s="5">
        <f>IF(ISBLANK(L3), "", F3-L3)</f>
        <v>0.79999999999999716</v>
      </c>
      <c r="AR3" s="5" t="str">
        <f>IF(ISBLANK(M3), "", AP3+AQ3)</f>
        <v/>
      </c>
      <c r="AS3" s="7" t="str">
        <f>IF(ISBLANK(M3), "", AR3/AO3)</f>
        <v/>
      </c>
      <c r="AT3" s="6">
        <f>IF(G3&gt;F3,F3,IF(G3&gt;L3,G3,L3))</f>
        <v>42</v>
      </c>
      <c r="AU3" s="5"/>
      <c r="AV3" s="5"/>
      <c r="AW3" s="5" t="str">
        <f>IF(EXACT(AU3,""),"",AU3-J3)</f>
        <v/>
      </c>
      <c r="AX3" s="7" t="str">
        <f>IF(EXACT(AW3,""), "",AW3/AT3)</f>
        <v/>
      </c>
      <c r="AY3" s="6"/>
      <c r="AZ3" s="5"/>
      <c r="BA3" s="5" t="str">
        <f>IF(EXACT(AY3,""),"",AY3-J3)</f>
        <v/>
      </c>
      <c r="BB3" s="5" t="str">
        <f>IF(EXACT(AY3,""),"",MIN(AZ3-G3,F3-G3))</f>
        <v/>
      </c>
      <c r="BC3" s="5" t="str">
        <f>IF(EXACT(AY3,""),"",SUM(BA3,BB3))</f>
        <v/>
      </c>
      <c r="BD3" s="5" t="str">
        <f>IF(EXACT(AY3,""),"",MAX(0,AZ3-F3))</f>
        <v/>
      </c>
      <c r="BE3" s="5" t="str">
        <f>IF(EXACT(AY3,""),"",SUM(BA3,BB3,BD3))</f>
        <v/>
      </c>
      <c r="BF3" s="7" t="str">
        <f>IF(EXACT(BC3,""), "",BC3/AT3)</f>
        <v/>
      </c>
      <c r="BG3" s="7" t="str">
        <f>IF(EXACT(BE3,""), "",BE3/AT3)</f>
        <v/>
      </c>
      <c r="BH3" s="9" t="s">
        <v>66</v>
      </c>
      <c r="BI3" s="8" t="s">
        <v>67</v>
      </c>
      <c r="BJ3" s="6"/>
    </row>
    <row r="4" spans="1:62" ht="12" customHeight="1" x14ac:dyDescent="0.25">
      <c r="A4" s="3" t="s">
        <v>60</v>
      </c>
      <c r="B4" s="3" t="s">
        <v>61</v>
      </c>
      <c r="C4" s="3" t="s">
        <v>62</v>
      </c>
      <c r="D4" s="3" t="s">
        <v>63</v>
      </c>
      <c r="E4" s="3" t="s">
        <v>64</v>
      </c>
      <c r="F4" s="5">
        <v>42.05</v>
      </c>
      <c r="G4" s="5">
        <v>43</v>
      </c>
      <c r="H4" s="4">
        <v>40985</v>
      </c>
      <c r="I4" s="3">
        <f ca="1">H4- TODAY()</f>
        <v>-36</v>
      </c>
      <c r="J4" s="5">
        <v>0.45</v>
      </c>
      <c r="K4" s="3" t="s">
        <v>68</v>
      </c>
      <c r="L4" s="6">
        <v>41.25</v>
      </c>
      <c r="M4" s="5"/>
      <c r="N4" s="7" t="str">
        <f>IF(ISBLANK(M4),"", (M4-MAX(0,L4-G4))/MIN(L4,G4))</f>
        <v/>
      </c>
      <c r="O4" s="7">
        <f>IF(ISBLANK(L4),"", (F4-L4)/L4)</f>
        <v>1.9393939393939325E-2</v>
      </c>
      <c r="P4" s="6">
        <f>IF(F4&gt;G4, F4-G4,0)</f>
        <v>0</v>
      </c>
      <c r="Q4" s="5">
        <f>J4-P4</f>
        <v>0.45</v>
      </c>
      <c r="R4" s="5">
        <f>MIN(F4,G4)</f>
        <v>42.05</v>
      </c>
      <c r="S4" s="5">
        <f>IF(G4&gt;F4, G4-F4, 0)</f>
        <v>0.95000000000000284</v>
      </c>
      <c r="T4" s="5">
        <f>Q4+S4</f>
        <v>1.4000000000000028</v>
      </c>
      <c r="U4" s="7">
        <f>Q4/R4</f>
        <v>1.0701545778834722E-2</v>
      </c>
      <c r="V4" s="7">
        <f>S4/R4</f>
        <v>2.2592152199762256E-2</v>
      </c>
      <c r="W4" s="7">
        <f>U4+V4</f>
        <v>3.3293697978596978E-2</v>
      </c>
      <c r="X4" s="7">
        <f>W4*12</f>
        <v>0.39952437574316374</v>
      </c>
      <c r="Y4" s="6">
        <f>IF(ISBLANK(M4), R4-Q4,L4-M4)</f>
        <v>41.599999999999994</v>
      </c>
      <c r="Z4" s="5">
        <f>G4</f>
        <v>43</v>
      </c>
      <c r="AA4" s="7">
        <f>(Z4-Y4)/IF(L4,L4,F4)</f>
        <v>3.3939393939394075E-2</v>
      </c>
      <c r="AB4" s="5" t="str">
        <f>IF(ISBLANK(M4),"", M4*0.2)</f>
        <v/>
      </c>
      <c r="AC4" s="5" t="str">
        <f>IF(ISBLANK(M4),"", M4*0.1)</f>
        <v/>
      </c>
      <c r="AD4" s="3" t="str">
        <f>IF(ISBLANK(M4), "", CONCATENATE("Short@",M4,"; Sell:",AB4,"/",AC4))</f>
        <v/>
      </c>
      <c r="AE4" s="6"/>
      <c r="AF4" s="5"/>
      <c r="AG4" s="5" t="str">
        <f>IF(EXACT(AE4,""), "", AE4-J4)</f>
        <v/>
      </c>
      <c r="AH4" s="7" t="str">
        <f>IF(EXACT(AG4,""), "", AG4/R4)</f>
        <v/>
      </c>
      <c r="AI4" s="7" t="str">
        <f>IF(EXACT(AF4,""), "", (AF4+M4-L4)/R4)</f>
        <v/>
      </c>
      <c r="AJ4" s="7" t="str">
        <f>IF(EXACT(AH4,""), "", AH4+AI4)</f>
        <v/>
      </c>
      <c r="AK4" s="6" t="str">
        <f>IF(F4&gt;G4,"Y","N")</f>
        <v>N</v>
      </c>
      <c r="AL4" s="7" t="str">
        <f>IF(EXACT(N4,""), "", N4)</f>
        <v/>
      </c>
      <c r="AM4" s="7" t="str">
        <f>IF(EXACT(N4,""), "", IF(EXACT(AK4,"Y"),IF((G4-L4)&lt;0,0,(G4-L4)/R4),(F4-L4)/R4))</f>
        <v/>
      </c>
      <c r="AN4" s="7" t="str">
        <f>IF(EXACT(AL4,""), "", AL4+AM4)</f>
        <v/>
      </c>
      <c r="AO4" s="6" t="str">
        <f>IF(ISBLANK(M4), "", L4-M4)</f>
        <v/>
      </c>
      <c r="AP4" s="5" t="str">
        <f>IF(ISBLANK(M4), "", M4-J4)</f>
        <v/>
      </c>
      <c r="AQ4" s="5">
        <f>IF(ISBLANK(L4), "", F4-L4)</f>
        <v>0.79999999999999716</v>
      </c>
      <c r="AR4" s="5" t="str">
        <f>IF(ISBLANK(M4), "", AP4+AQ4)</f>
        <v/>
      </c>
      <c r="AS4" s="7" t="str">
        <f>IF(ISBLANK(M4), "", AR4/AO4)</f>
        <v/>
      </c>
      <c r="AT4" s="6">
        <f>IF(G4&gt;F4,F4,IF(G4&gt;L4,G4,L4))</f>
        <v>42.05</v>
      </c>
      <c r="AU4" s="5"/>
      <c r="AV4" s="5"/>
      <c r="AW4" s="5" t="str">
        <f>IF(EXACT(AU4,""),"",AU4-J4)</f>
        <v/>
      </c>
      <c r="AX4" s="7" t="str">
        <f>IF(EXACT(AW4,""), "",AW4/AT4)</f>
        <v/>
      </c>
      <c r="AY4" s="6"/>
      <c r="AZ4" s="5"/>
      <c r="BA4" s="5" t="str">
        <f>IF(EXACT(AY4,""),"",AY4-J4)</f>
        <v/>
      </c>
      <c r="BB4" s="5" t="str">
        <f>IF(EXACT(AY4,""),"",MIN(AZ4-G4,F4-G4))</f>
        <v/>
      </c>
      <c r="BC4" s="5" t="str">
        <f>IF(EXACT(AY4,""),"",SUM(BA4,BB4))</f>
        <v/>
      </c>
      <c r="BD4" s="5" t="str">
        <f>IF(EXACT(AY4,""),"",MAX(0,AZ4-F4))</f>
        <v/>
      </c>
      <c r="BE4" s="5" t="str">
        <f>IF(EXACT(AY4,""),"",SUM(BA4,BB4,BD4))</f>
        <v/>
      </c>
      <c r="BF4" s="7" t="str">
        <f>IF(EXACT(BC4,""), "",BC4/AT4)</f>
        <v/>
      </c>
      <c r="BG4" s="7" t="str">
        <f>IF(EXACT(BE4,""), "",BE4/AT4)</f>
        <v/>
      </c>
      <c r="BH4" s="9" t="s">
        <v>66</v>
      </c>
      <c r="BI4" s="8" t="s">
        <v>67</v>
      </c>
      <c r="BJ4" s="6"/>
    </row>
    <row r="5" spans="1:62" ht="12" customHeight="1" x14ac:dyDescent="0.25">
      <c r="A5" s="3" t="s">
        <v>60</v>
      </c>
      <c r="B5" s="3" t="s">
        <v>61</v>
      </c>
      <c r="C5" s="3" t="s">
        <v>69</v>
      </c>
      <c r="D5" s="3" t="s">
        <v>70</v>
      </c>
      <c r="E5" s="3" t="s">
        <v>71</v>
      </c>
      <c r="F5" s="5">
        <v>89.25</v>
      </c>
      <c r="G5" s="5">
        <v>85</v>
      </c>
      <c r="H5" s="4">
        <v>40985</v>
      </c>
      <c r="I5" s="3">
        <f ca="1">H5- TODAY()</f>
        <v>-36</v>
      </c>
      <c r="J5" s="5">
        <v>5.6</v>
      </c>
      <c r="K5" s="3" t="s">
        <v>65</v>
      </c>
      <c r="L5" s="6"/>
      <c r="M5" s="5"/>
      <c r="N5" s="7" t="str">
        <f>IF(ISBLANK(M5),"", (M5-MAX(0,L5-G5))/MIN(L5,G5))</f>
        <v/>
      </c>
      <c r="O5" s="7" t="str">
        <f>IF(ISBLANK(L5),"", (F5-L5)/L5)</f>
        <v/>
      </c>
      <c r="P5" s="6">
        <f>IF(F5&gt;G5, F5-G5,0)</f>
        <v>4.25</v>
      </c>
      <c r="Q5" s="5">
        <f>J5-P5</f>
        <v>1.3499999999999996</v>
      </c>
      <c r="R5" s="5">
        <f>MIN(F5,G5)</f>
        <v>85</v>
      </c>
      <c r="S5" s="5">
        <f>IF(G5&gt;F5, G5-F5, 0)</f>
        <v>0</v>
      </c>
      <c r="T5" s="5">
        <f>Q5+S5</f>
        <v>1.3499999999999996</v>
      </c>
      <c r="U5" s="7">
        <f>Q5/R5</f>
        <v>1.5882352941176466E-2</v>
      </c>
      <c r="V5" s="7">
        <f>S5/R5</f>
        <v>0</v>
      </c>
      <c r="W5" s="7">
        <f>U5+V5</f>
        <v>1.5882352941176466E-2</v>
      </c>
      <c r="X5" s="7">
        <f>W5*12</f>
        <v>0.19058823529411759</v>
      </c>
      <c r="Y5" s="6">
        <f>IF(ISBLANK(M5), R5-Q5,L5-M5)</f>
        <v>83.65</v>
      </c>
      <c r="Z5" s="5">
        <f>G5</f>
        <v>85</v>
      </c>
      <c r="AA5" s="7">
        <f>(Z5-Y5)/IF(L5,L5,F5)</f>
        <v>1.5126050420168003E-2</v>
      </c>
      <c r="AB5" s="5" t="str">
        <f>IF(ISBLANK(M5),"", M5*0.2)</f>
        <v/>
      </c>
      <c r="AC5" s="5" t="str">
        <f>IF(ISBLANK(M5),"", M5*0.1)</f>
        <v/>
      </c>
      <c r="AD5" s="3" t="str">
        <f>IF(ISBLANK(M5), "", CONCATENATE("Short@",M5,"; Sell:",AB5,"/",AC5))</f>
        <v/>
      </c>
      <c r="AE5" s="6"/>
      <c r="AF5" s="5"/>
      <c r="AG5" s="5" t="str">
        <f>IF(EXACT(AE5,""), "", AE5-J5)</f>
        <v/>
      </c>
      <c r="AH5" s="7" t="str">
        <f>IF(EXACT(AG5,""), "", AG5/R5)</f>
        <v/>
      </c>
      <c r="AI5" s="7" t="str">
        <f>IF(EXACT(AF5,""), "", (AF5+M5-L5)/R5)</f>
        <v/>
      </c>
      <c r="AJ5" s="7" t="str">
        <f>IF(EXACT(AH5,""), "", AH5+AI5)</f>
        <v/>
      </c>
      <c r="AK5" s="6" t="str">
        <f>IF(F5&gt;G5,"Y","N")</f>
        <v>Y</v>
      </c>
      <c r="AL5" s="7" t="str">
        <f>IF(EXACT(N5,""), "", N5)</f>
        <v/>
      </c>
      <c r="AM5" s="7" t="str">
        <f>IF(EXACT(N5,""), "", IF(EXACT(AK5,"Y"),IF((G5-L5)&lt;0,0,(G5-L5)/R5),(F5-L5)/R5))</f>
        <v/>
      </c>
      <c r="AN5" s="7" t="str">
        <f>IF(EXACT(AL5,""), "", AL5+AM5)</f>
        <v/>
      </c>
      <c r="AO5" s="6" t="str">
        <f>IF(ISBLANK(M5), "", L5-M5)</f>
        <v/>
      </c>
      <c r="AP5" s="5" t="str">
        <f>IF(ISBLANK(M5), "", M5-J5)</f>
        <v/>
      </c>
      <c r="AQ5" s="5" t="str">
        <f>IF(ISBLANK(L5), "", F5-L5)</f>
        <v/>
      </c>
      <c r="AR5" s="5" t="str">
        <f>IF(ISBLANK(M5), "", AP5+AQ5)</f>
        <v/>
      </c>
      <c r="AS5" s="7" t="str">
        <f>IF(ISBLANK(M5), "", AR5/AO5)</f>
        <v/>
      </c>
      <c r="AT5" s="6">
        <f>IF(G5&gt;F5,F5,IF(G5&gt;L5,G5,L5))</f>
        <v>85</v>
      </c>
      <c r="AU5" s="5"/>
      <c r="AV5" s="5"/>
      <c r="AW5" s="5" t="str">
        <f>IF(EXACT(AU5,""),"",AU5-J5)</f>
        <v/>
      </c>
      <c r="AX5" s="7" t="str">
        <f>IF(EXACT(AW5,""), "",AW5/AT5)</f>
        <v/>
      </c>
      <c r="AY5" s="6"/>
      <c r="AZ5" s="5"/>
      <c r="BA5" s="5" t="str">
        <f>IF(EXACT(AY5,""),"",AY5-J5)</f>
        <v/>
      </c>
      <c r="BB5" s="5" t="str">
        <f>IF(EXACT(AY5,""),"",MIN(AZ5-G5,F5-G5))</f>
        <v/>
      </c>
      <c r="BC5" s="5" t="str">
        <f>IF(EXACT(AY5,""),"",SUM(BA5,BB5))</f>
        <v/>
      </c>
      <c r="BD5" s="5" t="str">
        <f>IF(EXACT(AY5,""),"",MAX(0,AZ5-F5))</f>
        <v/>
      </c>
      <c r="BE5" s="5" t="str">
        <f>IF(EXACT(AY5,""),"",SUM(BA5,BB5,BD5))</f>
        <v/>
      </c>
      <c r="BF5" s="7" t="str">
        <f>IF(EXACT(BC5,""), "",BC5/AT5)</f>
        <v/>
      </c>
      <c r="BG5" s="7" t="str">
        <f>IF(EXACT(BE5,""), "",BE5/AT5)</f>
        <v/>
      </c>
      <c r="BH5" s="9" t="s">
        <v>72</v>
      </c>
      <c r="BI5" s="8" t="s">
        <v>73</v>
      </c>
      <c r="BJ5" s="6"/>
    </row>
    <row r="6" spans="1:62" ht="12" customHeight="1" x14ac:dyDescent="0.25">
      <c r="A6" s="3" t="s">
        <v>60</v>
      </c>
      <c r="B6" s="3" t="s">
        <v>61</v>
      </c>
      <c r="C6" s="3" t="s">
        <v>69</v>
      </c>
      <c r="D6" s="3" t="s">
        <v>70</v>
      </c>
      <c r="E6" s="3" t="s">
        <v>71</v>
      </c>
      <c r="F6" s="5">
        <v>89.25</v>
      </c>
      <c r="G6" s="5">
        <v>90</v>
      </c>
      <c r="H6" s="4">
        <v>40985</v>
      </c>
      <c r="I6" s="3">
        <f ca="1">H6- TODAY()</f>
        <v>-36</v>
      </c>
      <c r="J6" s="5">
        <v>2.5</v>
      </c>
      <c r="K6" s="3" t="s">
        <v>68</v>
      </c>
      <c r="L6" s="6"/>
      <c r="M6" s="5"/>
      <c r="N6" s="7" t="str">
        <f>IF(ISBLANK(M6),"", (M6-MAX(0,L6-G6))/MIN(L6,G6))</f>
        <v/>
      </c>
      <c r="O6" s="7" t="str">
        <f>IF(ISBLANK(L6),"", (F6-L6)/L6)</f>
        <v/>
      </c>
      <c r="P6" s="6">
        <f>IF(F6&gt;G6, F6-G6,0)</f>
        <v>0</v>
      </c>
      <c r="Q6" s="5">
        <f>J6-P6</f>
        <v>2.5</v>
      </c>
      <c r="R6" s="5">
        <f>MIN(F6,G6)</f>
        <v>89.25</v>
      </c>
      <c r="S6" s="5">
        <f>IF(G6&gt;F6, G6-F6, 0)</f>
        <v>0.75</v>
      </c>
      <c r="T6" s="5">
        <f>Q6+S6</f>
        <v>3.25</v>
      </c>
      <c r="U6" s="7">
        <f>Q6/R6</f>
        <v>2.8011204481792718E-2</v>
      </c>
      <c r="V6" s="7">
        <f>S6/R6</f>
        <v>8.4033613445378148E-3</v>
      </c>
      <c r="W6" s="7">
        <f>U6+V6</f>
        <v>3.6414565826330535E-2</v>
      </c>
      <c r="X6" s="7">
        <f>W6*12</f>
        <v>0.43697478991596639</v>
      </c>
      <c r="Y6" s="6">
        <f>IF(ISBLANK(M6), R6-Q6,L6-M6)</f>
        <v>86.75</v>
      </c>
      <c r="Z6" s="5">
        <f>G6</f>
        <v>90</v>
      </c>
      <c r="AA6" s="7">
        <f>(Z6-Y6)/IF(L6,L6,F6)</f>
        <v>3.6414565826330535E-2</v>
      </c>
      <c r="AB6" s="5" t="str">
        <f>IF(ISBLANK(M6),"", M6*0.2)</f>
        <v/>
      </c>
      <c r="AC6" s="5" t="str">
        <f>IF(ISBLANK(M6),"", M6*0.1)</f>
        <v/>
      </c>
      <c r="AD6" s="3" t="str">
        <f>IF(ISBLANK(M6), "", CONCATENATE("Short@",M6,"; Sell:",AB6,"/",AC6))</f>
        <v/>
      </c>
      <c r="AE6" s="6"/>
      <c r="AF6" s="5"/>
      <c r="AG6" s="5" t="str">
        <f>IF(EXACT(AE6,""), "", AE6-J6)</f>
        <v/>
      </c>
      <c r="AH6" s="7" t="str">
        <f>IF(EXACT(AG6,""), "", AG6/R6)</f>
        <v/>
      </c>
      <c r="AI6" s="7" t="str">
        <f>IF(EXACT(AF6,""), "", (AF6+M6-L6)/R6)</f>
        <v/>
      </c>
      <c r="AJ6" s="7" t="str">
        <f>IF(EXACT(AH6,""), "", AH6+AI6)</f>
        <v/>
      </c>
      <c r="AK6" s="6" t="str">
        <f>IF(F6&gt;G6,"Y","N")</f>
        <v>N</v>
      </c>
      <c r="AL6" s="7" t="str">
        <f>IF(EXACT(N6,""), "", N6)</f>
        <v/>
      </c>
      <c r="AM6" s="7" t="str">
        <f>IF(EXACT(N6,""), "", IF(EXACT(AK6,"Y"),IF((G6-L6)&lt;0,0,(G6-L6)/R6),(F6-L6)/R6))</f>
        <v/>
      </c>
      <c r="AN6" s="7" t="str">
        <f>IF(EXACT(AL6,""), "", AL6+AM6)</f>
        <v/>
      </c>
      <c r="AO6" s="6" t="str">
        <f>IF(ISBLANK(M6), "", L6-M6)</f>
        <v/>
      </c>
      <c r="AP6" s="5" t="str">
        <f>IF(ISBLANK(M6), "", M6-J6)</f>
        <v/>
      </c>
      <c r="AQ6" s="5" t="str">
        <f>IF(ISBLANK(L6), "", F6-L6)</f>
        <v/>
      </c>
      <c r="AR6" s="5" t="str">
        <f>IF(ISBLANK(M6), "", AP6+AQ6)</f>
        <v/>
      </c>
      <c r="AS6" s="7" t="str">
        <f>IF(ISBLANK(M6), "", AR6/AO6)</f>
        <v/>
      </c>
      <c r="AT6" s="6">
        <f>IF(G6&gt;F6,F6,IF(G6&gt;L6,G6,L6))</f>
        <v>89.25</v>
      </c>
      <c r="AU6" s="5"/>
      <c r="AV6" s="5"/>
      <c r="AW6" s="5" t="str">
        <f>IF(EXACT(AU6,""),"",AU6-J6)</f>
        <v/>
      </c>
      <c r="AX6" s="7" t="str">
        <f>IF(EXACT(AW6,""), "",AW6/AT6)</f>
        <v/>
      </c>
      <c r="AY6" s="6"/>
      <c r="AZ6" s="5"/>
      <c r="BA6" s="5" t="str">
        <f>IF(EXACT(AY6,""),"",AY6-J6)</f>
        <v/>
      </c>
      <c r="BB6" s="5" t="str">
        <f>IF(EXACT(AY6,""),"",MIN(AZ6-G6,F6-G6))</f>
        <v/>
      </c>
      <c r="BC6" s="5" t="str">
        <f>IF(EXACT(AY6,""),"",SUM(BA6,BB6))</f>
        <v/>
      </c>
      <c r="BD6" s="5" t="str">
        <f>IF(EXACT(AY6,""),"",MAX(0,AZ6-F6))</f>
        <v/>
      </c>
      <c r="BE6" s="5" t="str">
        <f>IF(EXACT(AY6,""),"",SUM(BA6,BB6,BD6))</f>
        <v/>
      </c>
      <c r="BF6" s="7" t="str">
        <f>IF(EXACT(BC6,""), "",BC6/AT6)</f>
        <v/>
      </c>
      <c r="BG6" s="7" t="str">
        <f>IF(EXACT(BE6,""), "",BE6/AT6)</f>
        <v/>
      </c>
      <c r="BH6" s="9" t="s">
        <v>72</v>
      </c>
      <c r="BI6" s="8" t="s">
        <v>73</v>
      </c>
      <c r="BJ6" s="6"/>
    </row>
  </sheetData>
  <autoFilter ref="A2:BJ200"/>
  <mergeCells count="11">
    <mergeCell ref="BJ1"/>
    <mergeCell ref="AK1:AN1"/>
    <mergeCell ref="AO1:AS1"/>
    <mergeCell ref="AT1:AX1"/>
    <mergeCell ref="AY1:BG1"/>
    <mergeCell ref="BH1:BI1"/>
    <mergeCell ref="A1:K1"/>
    <mergeCell ref="L1:O1"/>
    <mergeCell ref="P1:X1"/>
    <mergeCell ref="Y1:AD1"/>
    <mergeCell ref="AE1:AJ1"/>
  </mergeCells>
  <hyperlinks>
    <hyperlink ref="BH3" r:id="rId1"/>
    <hyperlink ref="BI3" r:id="rId2"/>
    <hyperlink ref="BH4" r:id="rId3"/>
    <hyperlink ref="BI4" r:id="rId4"/>
    <hyperlink ref="BH5" r:id="rId5"/>
    <hyperlink ref="BI5" r:id="rId6"/>
    <hyperlink ref="BH6" r:id="rId7"/>
    <hyperlink ref="BI6" r:id="rId8"/>
  </hyperlinks>
  <printOptions horizontalCentered="1"/>
  <pageMargins left="0.7" right="0.7" top="0.75" bottom="0.75" header="0.3" footer="0.3"/>
  <pageSetup orientation="landscape"/>
  <drawing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TestTab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Duane J. May</cp:lastModifiedBy>
  <dcterms:created xsi:type="dcterms:W3CDTF">2012-04-23T02:33:58Z</dcterms:created>
  <dcterms:modified xsi:type="dcterms:W3CDTF">2012-04-23T02:34:13Z</dcterms:modified>
</cp:coreProperties>
</file>