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estTab" r:id="rId3" sheetId="1"/>
  </sheets>
  <definedNames>
    <definedName name="_xlnm._FilterDatabase" localSheetId="0" hidden="true">TestTab!$A$2:$BJ$200</definedName>
  </definedNames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t>Cubist Pharmaceuticals Inc. (CBST)</t>
      </text>
    </comment>
    <comment ref="C4" authorId="0">
      <text>
        <t>Cubist Pharmaceuticals Inc. (CBST)</t>
      </text>
    </comment>
    <comment ref="C5" authorId="0">
      <text>
        <t>Continental Resources Inc. Com (CLR)</t>
      </text>
    </comment>
    <comment ref="C6" authorId="0">
      <text>
        <t>Continental Resources Inc. Com (CLR)</t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$##,##0.00"/>
  </numFmts>
  <fonts count="6">
    <font>
      <sz val="11.0"/>
      <color indexed="8"/>
      <name val="Calibri"/>
      <family val="2"/>
      <scheme val="minor"/>
    </font>
    <font>
      <name val="Calibri"/>
      <sz val="9.0"/>
      <b val="true"/>
    </font>
    <font>
      <name val="Calibri"/>
      <sz val="10.0"/>
      <b val="true"/>
    </font>
    <font>
      <name val="Calibri"/>
      <sz val="9.0"/>
    </font>
    <font>
      <name val="Calibri"/>
      <sz val="9.0"/>
      <color indexed="10"/>
    </font>
    <font>
      <name val="Calibri"/>
      <sz val="6.0"/>
      <u val="single"/>
      <color indexed="12"/>
    </font>
  </fonts>
  <fills count="6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  <fill>
      <patternFill>
        <fgColor indexed="52"/>
      </patternFill>
    </fill>
    <fill>
      <patternFill patternType="solid">
        <fgColor indexed="52"/>
      </patternFill>
    </fill>
  </fills>
  <borders count="2">
    <border>
      <left/>
      <right/>
      <top/>
      <bottom/>
      <diagonal/>
    </border>
    <border>
      <left style="thick"/>
    </border>
  </borders>
  <cellStyleXfs count="1">
    <xf numFmtId="0" fontId="0" fillId="0" borderId="0"/>
  </cellStyleXfs>
  <cellXfs count="11">
    <xf numFmtId="0" fontId="0" fillId="0" borderId="0" xfId="0"/>
    <xf numFmtId="0" fontId="1" fillId="3" borderId="0" xfId="0" applyFont="true" applyFill="true">
      <alignment horizontal="left" vertical="top" wrapText="false"/>
    </xf>
    <xf numFmtId="0" fontId="1" fillId="3" borderId="1" xfId="0" applyFont="true" applyFill="true" applyBorder="true">
      <alignment horizontal="left" vertical="top" wrapText="false"/>
    </xf>
    <xf numFmtId="0" fontId="2" fillId="5" borderId="0" xfId="0" applyFont="true" applyFill="true">
      <alignment horizontal="center" vertical="top" wrapText="false"/>
    </xf>
    <xf numFmtId="0" fontId="3" fillId="0" borderId="0" xfId="0" applyFont="true">
      <alignment horizontal="left" vertical="top" wrapText="false"/>
    </xf>
    <xf numFmtId="16" fontId="3" fillId="0" borderId="0" xfId="0" applyNumberFormat="true" applyFont="true">
      <alignment horizontal="left" vertical="top" wrapText="false"/>
    </xf>
    <xf numFmtId="165" fontId="3" fillId="0" borderId="0" xfId="0" applyNumberFormat="true" applyFont="true">
      <alignment horizontal="right" vertical="top" wrapText="false"/>
    </xf>
    <xf numFmtId="165" fontId="3" fillId="0" borderId="1" xfId="0" applyNumberFormat="true" applyBorder="true" applyFont="true">
      <alignment horizontal="right" vertical="top" wrapText="false"/>
    </xf>
    <xf numFmtId="10" fontId="4" fillId="0" borderId="0" xfId="0" applyNumberFormat="true" applyFont="true">
      <alignment horizontal="right" vertical="top" wrapText="false"/>
    </xf>
    <xf numFmtId="0" fontId="5" fillId="0" borderId="0" xfId="0" applyFont="true">
      <alignment horizontal="left" vertical="top" wrapText="false"/>
    </xf>
    <xf numFmtId="0" fontId="5" fillId="0" borderId="1" xfId="0" applyBorder="true" applyFont="true">
      <alignment horizontal="left" vertical="top" wrapText="false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drawings/drawing1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  <Relationship Id="rId10" Type="http://schemas.openxmlformats.org/officeDocument/2006/relationships/hyperlink" TargetMode="External" Target="http://finance.yahoo.com/q/op?s=CLR"/>
  <Relationship Id="rId11" Type="http://schemas.openxmlformats.org/officeDocument/2006/relationships/hyperlink" TargetMode="External" Target="http://finance.yahoo.com/q?s=CLR"/>
  <Relationship Id="rId12" Type="http://schemas.openxmlformats.org/officeDocument/2006/relationships/hyperlink" TargetMode="External" Target="http://finance.yahoo.com/q/op?s=CBST"/>
  <Relationship Id="rId13" Type="http://schemas.openxmlformats.org/officeDocument/2006/relationships/hyperlink" TargetMode="External" Target="http://finance.yahoo.com/q?s=CBST"/>
  <Relationship Id="rId14" Type="http://schemas.openxmlformats.org/officeDocument/2006/relationships/hyperlink" TargetMode="External" Target="http://finance.yahoo.com/q/op?s=CBST"/>
  <Relationship Id="rId15" Type="http://schemas.openxmlformats.org/officeDocument/2006/relationships/hyperlink" TargetMode="External" Target="http://finance.yahoo.com/q?s=CBST"/>
  <Relationship Id="rId16" Type="http://schemas.openxmlformats.org/officeDocument/2006/relationships/hyperlink" TargetMode="External" Target="http://finance.yahoo.com/q/op?s=CLR"/>
  <Relationship Id="rId17" Type="http://schemas.openxmlformats.org/officeDocument/2006/relationships/hyperlink" TargetMode="External" Target="http://finance.yahoo.com/q?s=CLR"/>
  <Relationship Id="rId18" Type="http://schemas.openxmlformats.org/officeDocument/2006/relationships/hyperlink" TargetMode="External" Target="http://finance.yahoo.com/q/op?s=CLR"/>
  <Relationship Id="rId19" Type="http://schemas.openxmlformats.org/officeDocument/2006/relationships/hyperlink" TargetMode="External" Target="http://finance.yahoo.com/q?s=CLR"/>
  <Relationship Id="rId2" Type="http://schemas.openxmlformats.org/officeDocument/2006/relationships/comments" Target="../comments1.xml"/>
  <Relationship Id="rId3" Type="http://schemas.openxmlformats.org/officeDocument/2006/relationships/vmlDrawing" Target="../drawings/vmlDrawing1.vml"/>
  <Relationship Id="rId4" Type="http://schemas.openxmlformats.org/officeDocument/2006/relationships/hyperlink" TargetMode="External" Target="http://finance.yahoo.com/q/op?s=CBST"/>
  <Relationship Id="rId5" Type="http://schemas.openxmlformats.org/officeDocument/2006/relationships/hyperlink" TargetMode="External" Target="http://finance.yahoo.com/q?s=CBST"/>
  <Relationship Id="rId6" Type="http://schemas.openxmlformats.org/officeDocument/2006/relationships/hyperlink" TargetMode="External" Target="http://finance.yahoo.com/q/op?s=CBST"/>
  <Relationship Id="rId7" Type="http://schemas.openxmlformats.org/officeDocument/2006/relationships/hyperlink" TargetMode="External" Target="http://finance.yahoo.com/q?s=CBST"/>
  <Relationship Id="rId8" Type="http://schemas.openxmlformats.org/officeDocument/2006/relationships/hyperlink" TargetMode="External" Target="http://finance.yahoo.com/q/op?s=CLR"/>
  <Relationship Id="rId9" Type="http://schemas.openxmlformats.org/officeDocument/2006/relationships/hyperlink" TargetMode="External" Target="http://finance.yahoo.com/q?s=CLR"/>
</Relationships>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true"/>
  </sheetPr>
  <dimension ref="A1"/>
  <sheetViews>
    <sheetView workbookViewId="0" tabSelected="true">
      <pane xSplit="13.0" ySplit="2.0" state="frozen" topLeftCell="N3" activePane="bottomRight"/>
      <selection pane="bottomRight"/>
    </sheetView>
  </sheetViews>
  <sheetFormatPr defaultRowHeight="15.0"/>
  <cols>
    <col min="1" max="1" customWidth="true" width="6.9375" collapsed="false"/>
    <col min="2" max="2" customWidth="true" width="6.9375" collapsed="false"/>
    <col min="3" max="3" customWidth="true" width="6.50390625" collapsed="false"/>
    <col min="4" max="4" customWidth="true" width="18.7890625" collapsed="false"/>
    <col min="5" max="5" customWidth="true" width="6.9375" collapsed="false"/>
    <col min="6" max="6" customWidth="true" width="6.9375" collapsed="false"/>
    <col min="7" max="7" customWidth="true" width="6.9375" collapsed="false"/>
    <col min="8" max="8" customWidth="true" width="7.2265625" collapsed="false"/>
    <col min="9" max="9" customWidth="true" width="3.1796875" collapsed="false"/>
    <col min="10" max="10" customWidth="true" width="6.9375" collapsed="false"/>
    <col min="11" max="11" customWidth="true" width="4.3359375" collapsed="false"/>
    <col min="12" max="12" customWidth="true" width="6.9375" collapsed="false"/>
    <col min="13" max="13" customWidth="true" width="6.9375" collapsed="false"/>
    <col min="14" max="14" customWidth="true" width="6.9375" collapsed="false"/>
    <col min="15" max="15" customWidth="true" width="6.9375" collapsed="false"/>
    <col min="16" max="16" customWidth="true" width="6.9375" collapsed="false"/>
    <col min="17" max="17" customWidth="true" width="6.9375" collapsed="false"/>
    <col min="18" max="18" customWidth="true" width="6.9375" collapsed="false"/>
    <col min="19" max="19" customWidth="true" width="6.9375" collapsed="false"/>
    <col min="20" max="20" customWidth="true" width="6.9375" collapsed="false"/>
    <col min="21" max="21" customWidth="true" width="6.9375" collapsed="false"/>
    <col min="22" max="22" customWidth="true" width="6.9375" collapsed="false"/>
    <col min="23" max="23" customWidth="true" width="6.9375" collapsed="false"/>
    <col min="24" max="24" customWidth="true" width="6.9375" collapsed="false"/>
    <col min="25" max="25" customWidth="true" width="6.9375" collapsed="false"/>
    <col min="26" max="26" customWidth="true" width="6.9375" collapsed="false"/>
    <col min="27" max="27" customWidth="true" width="6.0703125" collapsed="false"/>
    <col min="28" max="28" customWidth="true" width="6.0703125" collapsed="false"/>
    <col min="29" max="29" customWidth="true" width="6.0703125" collapsed="false"/>
    <col min="30" max="30" customWidth="true" width="21.390625" collapsed="false"/>
    <col min="31" max="31" customWidth="true" width="6.9375" collapsed="false"/>
    <col min="32" max="32" customWidth="true" width="6.9375" collapsed="false"/>
    <col min="33" max="33" customWidth="true" width="6.9375" collapsed="false"/>
    <col min="34" max="34" customWidth="true" width="6.9375" collapsed="false"/>
    <col min="35" max="35" customWidth="true" width="6.9375" collapsed="false"/>
    <col min="36" max="36" customWidth="true" width="6.9375" collapsed="false"/>
    <col min="37" max="37" customWidth="true" width="6.9375" collapsed="false"/>
    <col min="38" max="38" customWidth="true" width="6.9375" collapsed="false"/>
    <col min="39" max="39" customWidth="true" width="6.9375" collapsed="false"/>
    <col min="40" max="40" customWidth="true" width="6.9375" collapsed="false"/>
    <col min="41" max="41" customWidth="true" width="6.9375" collapsed="false"/>
    <col min="42" max="42" customWidth="true" width="6.9375" collapsed="false"/>
    <col min="43" max="43" customWidth="true" width="6.9375" collapsed="false"/>
    <col min="44" max="44" customWidth="true" width="6.9375" collapsed="false"/>
    <col min="45" max="45" customWidth="true" width="6.9375" collapsed="false"/>
    <col min="46" max="46" customWidth="true" width="6.9375" collapsed="false"/>
    <col min="47" max="47" customWidth="true" width="6.9375" collapsed="false"/>
    <col min="48" max="48" customWidth="true" width="6.9375" collapsed="false"/>
    <col min="49" max="49" customWidth="true" width="6.9375" collapsed="false"/>
    <col min="50" max="50" customWidth="true" width="6.9375" collapsed="false"/>
    <col min="51" max="51" customWidth="true" width="6.9375" collapsed="false"/>
    <col min="52" max="52" customWidth="true" width="6.9375" collapsed="false"/>
    <col min="53" max="53" customWidth="true" width="6.9375" collapsed="false"/>
    <col min="54" max="54" customWidth="true" width="6.9375" collapsed="false"/>
    <col min="55" max="55" customWidth="true" width="6.9375" collapsed="false"/>
    <col min="56" max="56" customWidth="true" width="6.9375" collapsed="false"/>
    <col min="57" max="57" customWidth="true" width="6.9375" collapsed="false"/>
    <col min="58" max="58" customWidth="true" width="6.9375" collapsed="false"/>
    <col min="59" max="59" customWidth="true" width="6.9375" collapsed="false"/>
    <col min="60" max="60" customWidth="true" width="9.25" collapsed="false"/>
    <col min="61" max="61" customWidth="true" width="9.25" collapsed="false"/>
    <col min="62" max="62" customWidth="true" width="4.76953125" collapsed="false"/>
  </cols>
  <sheetData>
    <row r="1" customHeight="true" ht="12.0">
      <c r="A1" s="3" t="inlineStr">
        <is>
          <t>Basic</t>
        </is>
      </c>
      <c r="B1"/>
      <c r="C1"/>
      <c r="D1"/>
      <c r="E1"/>
      <c r="F1"/>
      <c r="G1"/>
      <c r="H1"/>
      <c r="I1"/>
      <c r="J1"/>
      <c r="K1"/>
      <c r="L1" s="3" t="inlineStr">
        <is>
          <t>Current Position</t>
        </is>
      </c>
      <c r="M1"/>
      <c r="N1"/>
      <c r="O1"/>
      <c r="P1" s="3" t="inlineStr">
        <is>
          <t>Decide on Entry</t>
        </is>
      </c>
      <c r="Q1"/>
      <c r="R1"/>
      <c r="S1"/>
      <c r="T1"/>
      <c r="U1"/>
      <c r="V1"/>
      <c r="W1"/>
      <c r="X1"/>
      <c r="Y1" s="3" t="inlineStr">
        <is>
          <t>Portfolio Data</t>
        </is>
      </c>
      <c r="Z1"/>
      <c r="AA1"/>
      <c r="AB1"/>
      <c r="AC1"/>
      <c r="AD1"/>
      <c r="AE1" s="3" t="inlineStr">
        <is>
          <t>Roll Down</t>
        </is>
      </c>
      <c r="AF1"/>
      <c r="AG1"/>
      <c r="AH1"/>
      <c r="AI1"/>
      <c r="AJ1"/>
      <c r="AK1" s="3" t="inlineStr">
        <is>
          <t>Do Nothing</t>
        </is>
      </c>
      <c r="AL1"/>
      <c r="AM1"/>
      <c r="AN1"/>
      <c r="AO1" s="3" t="inlineStr">
        <is>
          <t>Unwind Now</t>
        </is>
      </c>
      <c r="AP1"/>
      <c r="AQ1"/>
      <c r="AR1"/>
      <c r="AS1"/>
      <c r="AT1" s="3" t="inlineStr">
        <is>
          <t>Roll Out</t>
        </is>
      </c>
      <c r="AU1"/>
      <c r="AV1"/>
      <c r="AW1"/>
      <c r="AX1"/>
      <c r="AY1" s="3" t="inlineStr">
        <is>
          <t>Roll Up and Out</t>
        </is>
      </c>
      <c r="AZ1"/>
      <c r="BA1"/>
      <c r="BB1"/>
      <c r="BC1"/>
      <c r="BD1"/>
      <c r="BE1"/>
      <c r="BF1"/>
      <c r="BG1"/>
      <c r="BH1" s="3" t="inlineStr">
        <is>
          <t>Links</t>
        </is>
      </c>
      <c r="BI1"/>
      <c r="BJ1" s="3" t="inlineStr">
        <is>
          <t>.</t>
        </is>
      </c>
    </row>
    <row r="2" customHeight="true" ht="12.0">
      <c r="A2" s="2" t="inlineStr">
        <is>
          <t>Action</t>
        </is>
      </c>
      <c r="B2" s="1" t="inlineStr">
        <is>
          <t>Section</t>
        </is>
      </c>
      <c r="C2" s="1" t="inlineStr">
        <is>
          <t>Symbol</t>
        </is>
      </c>
      <c r="D2" s="1" t="inlineStr">
        <is>
          <t>Name</t>
        </is>
      </c>
      <c r="E2" s="1" t="inlineStr">
        <is>
          <t>Goal</t>
        </is>
      </c>
      <c r="F2" s="1" t="inlineStr">
        <is>
          <t>Price</t>
        </is>
      </c>
      <c r="G2" s="1" t="inlineStr">
        <is>
          <t>Strike</t>
        </is>
      </c>
      <c r="H2" s="1" t="inlineStr">
        <is>
          <t>ExpiryDate</t>
        </is>
      </c>
      <c r="I2" s="1" t="inlineStr">
        <is>
          <t>Days</t>
        </is>
      </c>
      <c r="J2" s="1" t="inlineStr">
        <is>
          <t>Call Bid Price</t>
        </is>
      </c>
      <c r="K2" s="1" t="inlineStr">
        <is>
          <t>Itm Otm</t>
        </is>
      </c>
      <c r="L2" s="2" t="inlineStr">
        <is>
          <t>Bought @</t>
        </is>
      </c>
      <c r="M2" s="1" t="inlineStr">
        <is>
          <t>Sold Call @</t>
        </is>
      </c>
      <c r="N2" s="1" t="inlineStr">
        <is>
          <t>ROO</t>
        </is>
      </c>
      <c r="O2" s="1" t="inlineStr">
        <is>
          <t>Appreciation</t>
        </is>
      </c>
      <c r="P2" s="2" t="inlineStr">
        <is>
          <t>Intrinsic</t>
        </is>
      </c>
      <c r="Q2" s="1" t="inlineStr">
        <is>
          <t>Time Value</t>
        </is>
      </c>
      <c r="R2" s="1" t="inlineStr">
        <is>
          <t>Adjusted Cost</t>
        </is>
      </c>
      <c r="S2" s="1" t="inlineStr">
        <is>
          <t>Upside Profit</t>
        </is>
      </c>
      <c r="T2" s="1" t="inlineStr">
        <is>
          <t>Total Profit</t>
        </is>
      </c>
      <c r="U2" s="1" t="inlineStr">
        <is>
          <t>Return on Option</t>
        </is>
      </c>
      <c r="V2" s="1" t="inlineStr">
        <is>
          <t>Return on Upside</t>
        </is>
      </c>
      <c r="W2" s="1" t="inlineStr">
        <is>
          <t>Total Return</t>
        </is>
      </c>
      <c r="X2" s="1" t="inlineStr">
        <is>
          <t>Annualized</t>
        </is>
      </c>
      <c r="Y2" s="2" t="inlineStr">
        <is>
          <t>Begin of Loss Zone</t>
        </is>
      </c>
      <c r="Z2" s="1" t="inlineStr">
        <is>
          <t>Set Alert</t>
        </is>
      </c>
      <c r="AA2" s="1" t="inlineStr">
        <is>
          <t>Fluctuation Accommodation</t>
        </is>
      </c>
      <c r="AB2" s="1" t="inlineStr">
        <is>
          <t>Sell @ (Wk1-2)</t>
        </is>
      </c>
      <c r="AC2" s="1" t="inlineStr">
        <is>
          <t>Sell @ (Wk3)</t>
        </is>
      </c>
      <c r="AD2" s="1" t="inlineStr">
        <is>
          <t>Notes</t>
        </is>
      </c>
      <c r="AE2" s="2" t="inlineStr">
        <is>
          <t>Lower Option</t>
        </is>
      </c>
      <c r="AF2" s="1" t="inlineStr">
        <is>
          <t>Strike</t>
        </is>
      </c>
      <c r="AG2" s="1" t="inlineStr">
        <is>
          <t>Net Proceeds</t>
        </is>
      </c>
      <c r="AH2" s="1" t="inlineStr">
        <is>
          <t>ROO</t>
        </is>
      </c>
      <c r="AI2" s="1" t="inlineStr">
        <is>
          <t>Upside</t>
        </is>
      </c>
      <c r="AJ2" s="1" t="inlineStr">
        <is>
          <t>Total</t>
        </is>
      </c>
      <c r="AK2" s="2" t="inlineStr">
        <is>
          <t>Called</t>
        </is>
      </c>
      <c r="AL2" s="1" t="inlineStr">
        <is>
          <t>ROO</t>
        </is>
      </c>
      <c r="AM2" s="1" t="inlineStr">
        <is>
          <t>Upside</t>
        </is>
      </c>
      <c r="AN2" s="1" t="inlineStr">
        <is>
          <t>Total</t>
        </is>
      </c>
      <c r="AO2" s="2" t="inlineStr">
        <is>
          <t>Net Cash to Open</t>
        </is>
      </c>
      <c r="AP2" s="1" t="inlineStr">
        <is>
          <t>Option Close</t>
        </is>
      </c>
      <c r="AQ2" s="1" t="inlineStr">
        <is>
          <t>Stock Close</t>
        </is>
      </c>
      <c r="AR2" s="1" t="inlineStr">
        <is>
          <t>Net Gain</t>
        </is>
      </c>
      <c r="AS2" s="1" t="inlineStr">
        <is>
          <t>Net Return</t>
        </is>
      </c>
      <c r="AT2" s="2" t="inlineStr">
        <is>
          <t>Comparative Basis</t>
        </is>
      </c>
      <c r="AU2" s="1" t="inlineStr">
        <is>
          <t>Next Month Option</t>
        </is>
      </c>
      <c r="AV2" s="1" t="inlineStr">
        <is>
          <t>Strike</t>
        </is>
      </c>
      <c r="AW2" s="1" t="inlineStr">
        <is>
          <t>Net Proceeds</t>
        </is>
      </c>
      <c r="AX2" s="1" t="inlineStr">
        <is>
          <t>Return</t>
        </is>
      </c>
      <c r="AY2" s="2" t="inlineStr">
        <is>
          <t>Next Month Option</t>
        </is>
      </c>
      <c r="AZ2" s="1" t="inlineStr">
        <is>
          <t>Strike</t>
        </is>
      </c>
      <c r="BA2" s="1" t="inlineStr">
        <is>
          <t>Net Proceeds</t>
        </is>
      </c>
      <c r="BB2" s="1" t="inlineStr">
        <is>
          <t>Bought Up Value</t>
        </is>
      </c>
      <c r="BC2" s="1" t="inlineStr">
        <is>
          <t>Net Return w/o upside</t>
        </is>
      </c>
      <c r="BD2" s="1" t="inlineStr">
        <is>
          <t>Upside</t>
        </is>
      </c>
      <c r="BE2" s="1" t="inlineStr">
        <is>
          <t>Net Return w upside</t>
        </is>
      </c>
      <c r="BF2" s="1" t="inlineStr">
        <is>
          <t>Return on Option</t>
        </is>
      </c>
      <c r="BG2" s="1" t="inlineStr">
        <is>
          <t>Return w Upside</t>
        </is>
      </c>
      <c r="BH2" s="2" t="inlineStr">
        <is>
          <t>Options Link</t>
        </is>
      </c>
      <c r="BI2" s="1" t="inlineStr">
        <is>
          <t>Summary Link</t>
        </is>
      </c>
      <c r="BJ2" s="2" t="inlineStr">
        <is>
          <t/>
        </is>
      </c>
    </row>
    <row r="3" customHeight="true" ht="12.0">
      <c r="A3" s="4" t="inlineStr">
        <is>
          <t/>
        </is>
      </c>
      <c r="B3" s="4" t="inlineStr">
        <is>
          <t>Own</t>
        </is>
      </c>
      <c r="C3" s="4" t="inlineStr">
        <is>
          <t>CBST</t>
        </is>
      </c>
      <c r="D3" s="4" t="inlineStr">
        <is>
          <t>Cubist Pharmaceuticals Inc. (CBST)</t>
        </is>
      </c>
      <c r="E3" s="4" t="inlineStr">
        <is>
          <t>Sell(ER)</t>
        </is>
      </c>
      <c r="F3" s="6" t="n">
        <v>42.05</v>
      </c>
      <c r="G3" s="6" t="n">
        <v>42.0</v>
      </c>
      <c r="H3" s="5" t="n">
        <v>40985.0</v>
      </c>
      <c r="I3" s="4">
        <f>h3- Today()</f>
        <v>0.0</v>
      </c>
      <c r="J3" s="6" t="n">
        <v>0.85</v>
      </c>
      <c r="K3" s="4" t="inlineStr">
        <is>
          <t>ITM</t>
        </is>
      </c>
      <c r="L3" s="7" t="n">
        <v>41.25</v>
      </c>
      <c r="M3" s="6"/>
      <c r="N3" s="8">
        <f>IF(ISBLANK(m3),"", (m3-MAX(0,l3-g3))/MIN(l3,g3))</f>
        <v>0.0</v>
      </c>
      <c r="O3" s="8">
        <f>IF(ISBLANK(l3),"", (f3-l3)/l3)</f>
        <v>0.0</v>
      </c>
      <c r="P3" s="7">
        <f>IF(f3&gt;g3, f3-g3,0)</f>
        <v>0.0</v>
      </c>
      <c r="Q3" s="6">
        <f>j3-p3</f>
        <v>0.0</v>
      </c>
      <c r="R3" s="6">
        <f>min(f3,g3)</f>
        <v>0.0</v>
      </c>
      <c r="S3" s="6">
        <f>IF(g3&gt;f3, g3-f3, 0)</f>
        <v>0.0</v>
      </c>
      <c r="T3" s="6">
        <f>q3+s3</f>
        <v>0.0</v>
      </c>
      <c r="U3" s="8">
        <f>q3/r3</f>
        <v>0.0</v>
      </c>
      <c r="V3" s="8">
        <f>s3/r3</f>
        <v>0.0</v>
      </c>
      <c r="W3" s="8">
        <f>u3+v3</f>
        <v>0.0</v>
      </c>
      <c r="X3" s="8">
        <f>w3*12</f>
        <v>0.0</v>
      </c>
      <c r="Y3" s="7">
        <f>IF(isblank(m3), r3-q3,l3-m3)</f>
        <v>0.0</v>
      </c>
      <c r="Z3" s="6">
        <f>g3</f>
        <v>0.0</v>
      </c>
      <c r="AA3" s="8">
        <f>(z3-y3)/IF(l3,l3,f3)</f>
        <v>0.0</v>
      </c>
      <c r="AB3" s="6">
        <f>if(isblank(m3),"", m3*0.2)</f>
        <v>0.0</v>
      </c>
      <c r="AC3" s="6">
        <f>if(isblank(m3),"", m3*0.1)</f>
        <v>0.0</v>
      </c>
      <c r="AD3" s="4">
        <f>IF(isblank(m3), "", concatenate("Short@",m3,"; Sell:",ab3,"/",ac3))</f>
        <v>0.0</v>
      </c>
      <c r="AE3" s="7"/>
      <c r="AF3" s="6"/>
      <c r="AG3" s="6">
        <f>IF(EXACT(ae3,""), "", ae3-j3)</f>
        <v>0.0</v>
      </c>
      <c r="AH3" s="8">
        <f>IF(EXACT(ag3,""), "", ag3/r3)</f>
        <v>0.0</v>
      </c>
      <c r="AI3" s="8">
        <f>IF(EXACT(af3,""), "", (af3+m3-l3)/r3)</f>
        <v>0.0</v>
      </c>
      <c r="AJ3" s="8">
        <f>IF(EXACT(ah3,""), "", ah3+ai3)</f>
        <v>0.0</v>
      </c>
      <c r="AK3" s="7">
        <f>IF(f3&gt;g3,"Y","N")</f>
        <v>0.0</v>
      </c>
      <c r="AL3" s="8">
        <f>IF(EXACT(n3,""), "", n3)</f>
        <v>0.0</v>
      </c>
      <c r="AM3" s="8">
        <f>IF(EXACT(n3,""), "", IF(EXACT(ak3,"Y"),IF((g3-l3)&lt;0,0,(g3-l3)/r3),(f3-l3)/r3))</f>
        <v>0.0</v>
      </c>
      <c r="AN3" s="8">
        <f>IF(EXACT(al3,""), "", al3+am3)</f>
        <v>0.0</v>
      </c>
      <c r="AO3" s="7">
        <f>IF(isblank(m3), "", l3-m3)</f>
        <v>0.0</v>
      </c>
      <c r="AP3" s="6">
        <f>IF(isblank(m3), "", m3-j3)</f>
        <v>0.0</v>
      </c>
      <c r="AQ3" s="6">
        <f>IF(isblank(l3), "", f3-l3)</f>
        <v>0.0</v>
      </c>
      <c r="AR3" s="6">
        <f>IF(isblank(m3), "", ap3+aq3)</f>
        <v>0.0</v>
      </c>
      <c r="AS3" s="8">
        <f>IF(isblank(m3), "", ar3/ao3)</f>
        <v>0.0</v>
      </c>
      <c r="AT3" s="7">
        <f>IF(g3&gt;f3,f3,IF(g3&gt;l3,g3,l3))</f>
        <v>0.0</v>
      </c>
      <c r="AU3" s="6"/>
      <c r="AV3" s="6"/>
      <c r="AW3" s="6">
        <f>IF(EXACT(au3,""),"",au3-j3)</f>
        <v>0.0</v>
      </c>
      <c r="AX3" s="8">
        <f>if(EXACT(aw3,""), "",aw3/at3)</f>
        <v>0.0</v>
      </c>
      <c r="AY3" s="7"/>
      <c r="AZ3" s="6"/>
      <c r="BA3" s="6">
        <f>IF(EXACT(ay3,""),"",ay3-j3)</f>
        <v>0.0</v>
      </c>
      <c r="BB3" s="6">
        <f>IF(EXACT(ay3,""),"",MIN(az3-g3,f3-g3))</f>
        <v>0.0</v>
      </c>
      <c r="BC3" s="6">
        <f>IF(EXACT(ay3,""),"",sum(ba3,bb3))</f>
        <v>0.0</v>
      </c>
      <c r="BD3" s="6">
        <f>IF(EXACT(ay3,""),"",MAX(0,az3-f3))</f>
        <v>0.0</v>
      </c>
      <c r="BE3" s="6">
        <f>IF(EXACT(ay3,""),"",sum(ba3,bb3,bd3))</f>
        <v>0.0</v>
      </c>
      <c r="BF3" s="8">
        <f>if(EXACT(bc3,""), "",bc3/at3)</f>
        <v>0.0</v>
      </c>
      <c r="BG3" s="8">
        <f>if(EXACT(be3,""), "",be3/at3)</f>
        <v>0.0</v>
      </c>
      <c r="BH3" s="10" t="inlineStr">
        <is>
          <t>http://finance.yahoo.com/q/op?s=CBST</t>
        </is>
      </c>
      <c r="BI3" s="9" t="inlineStr">
        <is>
          <t>http://finance.yahoo.com/q?s=CBST</t>
        </is>
      </c>
      <c r="BJ3" s="7"/>
    </row>
    <row r="4" customHeight="true" ht="12.0">
      <c r="A4" s="4" t="inlineStr">
        <is>
          <t/>
        </is>
      </c>
      <c r="B4" s="4" t="inlineStr">
        <is>
          <t>Own</t>
        </is>
      </c>
      <c r="C4" s="4" t="inlineStr">
        <is>
          <t>CBST</t>
        </is>
      </c>
      <c r="D4" s="4" t="inlineStr">
        <is>
          <t>Cubist Pharmaceuticals Inc. (CBST)</t>
        </is>
      </c>
      <c r="E4" s="4" t="inlineStr">
        <is>
          <t>Sell(ER)</t>
        </is>
      </c>
      <c r="F4" s="6" t="n">
        <v>42.05</v>
      </c>
      <c r="G4" s="6" t="n">
        <v>43.0</v>
      </c>
      <c r="H4" s="5" t="n">
        <v>40985.0</v>
      </c>
      <c r="I4" s="4">
        <f>h4- Today()</f>
        <v>0.0</v>
      </c>
      <c r="J4" s="6" t="n">
        <v>0.45</v>
      </c>
      <c r="K4" s="4" t="inlineStr">
        <is>
          <t>OTM</t>
        </is>
      </c>
      <c r="L4" s="7" t="n">
        <v>41.25</v>
      </c>
      <c r="M4" s="6"/>
      <c r="N4" s="8">
        <f>IF(ISBLANK(m4),"", (m4-MAX(0,l4-g4))/MIN(l4,g4))</f>
        <v>0.0</v>
      </c>
      <c r="O4" s="8">
        <f>IF(ISBLANK(l4),"", (f4-l4)/l4)</f>
        <v>0.0</v>
      </c>
      <c r="P4" s="7">
        <f>IF(f4&gt;g4, f4-g4,0)</f>
        <v>0.0</v>
      </c>
      <c r="Q4" s="6">
        <f>j4-p4</f>
        <v>0.0</v>
      </c>
      <c r="R4" s="6">
        <f>min(f4,g4)</f>
        <v>0.0</v>
      </c>
      <c r="S4" s="6">
        <f>IF(g4&gt;f4, g4-f4, 0)</f>
        <v>0.0</v>
      </c>
      <c r="T4" s="6">
        <f>q4+s4</f>
        <v>0.0</v>
      </c>
      <c r="U4" s="8">
        <f>q4/r4</f>
        <v>0.0</v>
      </c>
      <c r="V4" s="8">
        <f>s4/r4</f>
        <v>0.0</v>
      </c>
      <c r="W4" s="8">
        <f>u4+v4</f>
        <v>0.0</v>
      </c>
      <c r="X4" s="8">
        <f>w4*12</f>
        <v>0.0</v>
      </c>
      <c r="Y4" s="7">
        <f>IF(isblank(m4), r4-q4,l4-m4)</f>
        <v>0.0</v>
      </c>
      <c r="Z4" s="6">
        <f>g4</f>
        <v>0.0</v>
      </c>
      <c r="AA4" s="8">
        <f>(z4-y4)/IF(l4,l4,f4)</f>
        <v>0.0</v>
      </c>
      <c r="AB4" s="6">
        <f>if(isblank(m4),"", m4*0.2)</f>
        <v>0.0</v>
      </c>
      <c r="AC4" s="6">
        <f>if(isblank(m4),"", m4*0.1)</f>
        <v>0.0</v>
      </c>
      <c r="AD4" s="4">
        <f>IF(isblank(m4), "", concatenate("Short@",m4,"; Sell:",ab4,"/",ac4))</f>
        <v>0.0</v>
      </c>
      <c r="AE4" s="7"/>
      <c r="AF4" s="6"/>
      <c r="AG4" s="6">
        <f>IF(EXACT(ae4,""), "", ae4-j4)</f>
        <v>0.0</v>
      </c>
      <c r="AH4" s="8">
        <f>IF(EXACT(ag4,""), "", ag4/r4)</f>
        <v>0.0</v>
      </c>
      <c r="AI4" s="8">
        <f>IF(EXACT(af4,""), "", (af4+m4-l4)/r4)</f>
        <v>0.0</v>
      </c>
      <c r="AJ4" s="8">
        <f>IF(EXACT(ah4,""), "", ah4+ai4)</f>
        <v>0.0</v>
      </c>
      <c r="AK4" s="7">
        <f>IF(f4&gt;g4,"Y","N")</f>
        <v>0.0</v>
      </c>
      <c r="AL4" s="8">
        <f>IF(EXACT(n4,""), "", n4)</f>
        <v>0.0</v>
      </c>
      <c r="AM4" s="8">
        <f>IF(EXACT(n4,""), "", IF(EXACT(ak4,"Y"),IF((g4-l4)&lt;0,0,(g4-l4)/r4),(f4-l4)/r4))</f>
        <v>0.0</v>
      </c>
      <c r="AN4" s="8">
        <f>IF(EXACT(al4,""), "", al4+am4)</f>
        <v>0.0</v>
      </c>
      <c r="AO4" s="7">
        <f>IF(isblank(m4), "", l4-m4)</f>
        <v>0.0</v>
      </c>
      <c r="AP4" s="6">
        <f>IF(isblank(m4), "", m4-j4)</f>
        <v>0.0</v>
      </c>
      <c r="AQ4" s="6">
        <f>IF(isblank(l4), "", f4-l4)</f>
        <v>0.0</v>
      </c>
      <c r="AR4" s="6">
        <f>IF(isblank(m4), "", ap4+aq4)</f>
        <v>0.0</v>
      </c>
      <c r="AS4" s="8">
        <f>IF(isblank(m4), "", ar4/ao4)</f>
        <v>0.0</v>
      </c>
      <c r="AT4" s="7">
        <f>IF(g4&gt;f4,f4,IF(g4&gt;l4,g4,l4))</f>
        <v>0.0</v>
      </c>
      <c r="AU4" s="6"/>
      <c r="AV4" s="6"/>
      <c r="AW4" s="6">
        <f>IF(EXACT(au4,""),"",au4-j4)</f>
        <v>0.0</v>
      </c>
      <c r="AX4" s="8">
        <f>if(EXACT(aw4,""), "",aw4/at4)</f>
        <v>0.0</v>
      </c>
      <c r="AY4" s="7"/>
      <c r="AZ4" s="6"/>
      <c r="BA4" s="6">
        <f>IF(EXACT(ay4,""),"",ay4-j4)</f>
        <v>0.0</v>
      </c>
      <c r="BB4" s="6">
        <f>IF(EXACT(ay4,""),"",MIN(az4-g4,f4-g4))</f>
        <v>0.0</v>
      </c>
      <c r="BC4" s="6">
        <f>IF(EXACT(ay4,""),"",sum(ba4,bb4))</f>
        <v>0.0</v>
      </c>
      <c r="BD4" s="6">
        <f>IF(EXACT(ay4,""),"",MAX(0,az4-f4))</f>
        <v>0.0</v>
      </c>
      <c r="BE4" s="6">
        <f>IF(EXACT(ay4,""),"",sum(ba4,bb4,bd4))</f>
        <v>0.0</v>
      </c>
      <c r="BF4" s="8">
        <f>if(EXACT(bc4,""), "",bc4/at4)</f>
        <v>0.0</v>
      </c>
      <c r="BG4" s="8">
        <f>if(EXACT(be4,""), "",be4/at4)</f>
        <v>0.0</v>
      </c>
      <c r="BH4" s="10" t="inlineStr">
        <is>
          <t>http://finance.yahoo.com/q/op?s=CBST</t>
        </is>
      </c>
      <c r="BI4" s="9" t="inlineStr">
        <is>
          <t>http://finance.yahoo.com/q?s=CBST</t>
        </is>
      </c>
      <c r="BJ4" s="7"/>
    </row>
    <row r="5" customHeight="true" ht="12.0">
      <c r="A5" s="4" t="inlineStr">
        <is>
          <t/>
        </is>
      </c>
      <c r="B5" s="4" t="inlineStr">
        <is>
          <t>Own</t>
        </is>
      </c>
      <c r="C5" s="4" t="inlineStr">
        <is>
          <t>CLR</t>
        </is>
      </c>
      <c r="D5" s="4" t="inlineStr">
        <is>
          <t>Continental Resources Inc. Com (CLR)</t>
        </is>
      </c>
      <c r="E5" s="4" t="inlineStr">
        <is>
          <t>Keep</t>
        </is>
      </c>
      <c r="F5" s="6" t="n">
        <v>89.25</v>
      </c>
      <c r="G5" s="6" t="n">
        <v>85.0</v>
      </c>
      <c r="H5" s="5" t="n">
        <v>40985.0</v>
      </c>
      <c r="I5" s="4">
        <f>h5- Today()</f>
        <v>0.0</v>
      </c>
      <c r="J5" s="6" t="n">
        <v>5.6</v>
      </c>
      <c r="K5" s="4" t="inlineStr">
        <is>
          <t>ITM</t>
        </is>
      </c>
      <c r="L5" s="7"/>
      <c r="M5" s="6"/>
      <c r="N5" s="8">
        <f>IF(ISBLANK(m5),"", (m5-MAX(0,l5-g5))/MIN(l5,g5))</f>
        <v>0.0</v>
      </c>
      <c r="O5" s="8">
        <f>IF(ISBLANK(l5),"", (f5-l5)/l5)</f>
        <v>0.0</v>
      </c>
      <c r="P5" s="7">
        <f>IF(f5&gt;g5, f5-g5,0)</f>
        <v>0.0</v>
      </c>
      <c r="Q5" s="6">
        <f>j5-p5</f>
        <v>0.0</v>
      </c>
      <c r="R5" s="6">
        <f>min(f5,g5)</f>
        <v>0.0</v>
      </c>
      <c r="S5" s="6">
        <f>IF(g5&gt;f5, g5-f5, 0)</f>
        <v>0.0</v>
      </c>
      <c r="T5" s="6">
        <f>q5+s5</f>
        <v>0.0</v>
      </c>
      <c r="U5" s="8">
        <f>q5/r5</f>
        <v>0.0</v>
      </c>
      <c r="V5" s="8">
        <f>s5/r5</f>
        <v>0.0</v>
      </c>
      <c r="W5" s="8">
        <f>u5+v5</f>
        <v>0.0</v>
      </c>
      <c r="X5" s="8">
        <f>w5*12</f>
        <v>0.0</v>
      </c>
      <c r="Y5" s="7">
        <f>IF(isblank(m5), r5-q5,l5-m5)</f>
        <v>0.0</v>
      </c>
      <c r="Z5" s="6">
        <f>g5</f>
        <v>0.0</v>
      </c>
      <c r="AA5" s="8">
        <f>(z5-y5)/IF(l5,l5,f5)</f>
        <v>0.0</v>
      </c>
      <c r="AB5" s="6">
        <f>if(isblank(m5),"", m5*0.2)</f>
        <v>0.0</v>
      </c>
      <c r="AC5" s="6">
        <f>if(isblank(m5),"", m5*0.1)</f>
        <v>0.0</v>
      </c>
      <c r="AD5" s="4">
        <f>IF(isblank(m5), "", concatenate("Short@",m5,"; Sell:",ab5,"/",ac5))</f>
        <v>0.0</v>
      </c>
      <c r="AE5" s="7"/>
      <c r="AF5" s="6"/>
      <c r="AG5" s="6">
        <f>IF(EXACT(ae5,""), "", ae5-j5)</f>
        <v>0.0</v>
      </c>
      <c r="AH5" s="8">
        <f>IF(EXACT(ag5,""), "", ag5/r5)</f>
        <v>0.0</v>
      </c>
      <c r="AI5" s="8">
        <f>IF(EXACT(af5,""), "", (af5+m5-l5)/r5)</f>
        <v>0.0</v>
      </c>
      <c r="AJ5" s="8">
        <f>IF(EXACT(ah5,""), "", ah5+ai5)</f>
        <v>0.0</v>
      </c>
      <c r="AK5" s="7">
        <f>IF(f5&gt;g5,"Y","N")</f>
        <v>0.0</v>
      </c>
      <c r="AL5" s="8">
        <f>IF(EXACT(n5,""), "", n5)</f>
        <v>0.0</v>
      </c>
      <c r="AM5" s="8">
        <f>IF(EXACT(n5,""), "", IF(EXACT(ak5,"Y"),IF((g5-l5)&lt;0,0,(g5-l5)/r5),(f5-l5)/r5))</f>
        <v>0.0</v>
      </c>
      <c r="AN5" s="8">
        <f>IF(EXACT(al5,""), "", al5+am5)</f>
        <v>0.0</v>
      </c>
      <c r="AO5" s="7">
        <f>IF(isblank(m5), "", l5-m5)</f>
        <v>0.0</v>
      </c>
      <c r="AP5" s="6">
        <f>IF(isblank(m5), "", m5-j5)</f>
        <v>0.0</v>
      </c>
      <c r="AQ5" s="6">
        <f>IF(isblank(l5), "", f5-l5)</f>
        <v>0.0</v>
      </c>
      <c r="AR5" s="6">
        <f>IF(isblank(m5), "", ap5+aq5)</f>
        <v>0.0</v>
      </c>
      <c r="AS5" s="8">
        <f>IF(isblank(m5), "", ar5/ao5)</f>
        <v>0.0</v>
      </c>
      <c r="AT5" s="7">
        <f>IF(g5&gt;f5,f5,IF(g5&gt;l5,g5,l5))</f>
        <v>0.0</v>
      </c>
      <c r="AU5" s="6"/>
      <c r="AV5" s="6"/>
      <c r="AW5" s="6">
        <f>IF(EXACT(au5,""),"",au5-j5)</f>
        <v>0.0</v>
      </c>
      <c r="AX5" s="8">
        <f>if(EXACT(aw5,""), "",aw5/at5)</f>
        <v>0.0</v>
      </c>
      <c r="AY5" s="7"/>
      <c r="AZ5" s="6"/>
      <c r="BA5" s="6">
        <f>IF(EXACT(ay5,""),"",ay5-j5)</f>
        <v>0.0</v>
      </c>
      <c r="BB5" s="6">
        <f>IF(EXACT(ay5,""),"",MIN(az5-g5,f5-g5))</f>
        <v>0.0</v>
      </c>
      <c r="BC5" s="6">
        <f>IF(EXACT(ay5,""),"",sum(ba5,bb5))</f>
        <v>0.0</v>
      </c>
      <c r="BD5" s="6">
        <f>IF(EXACT(ay5,""),"",MAX(0,az5-f5))</f>
        <v>0.0</v>
      </c>
      <c r="BE5" s="6">
        <f>IF(EXACT(ay5,""),"",sum(ba5,bb5,bd5))</f>
        <v>0.0</v>
      </c>
      <c r="BF5" s="8">
        <f>if(EXACT(bc5,""), "",bc5/at5)</f>
        <v>0.0</v>
      </c>
      <c r="BG5" s="8">
        <f>if(EXACT(be5,""), "",be5/at5)</f>
        <v>0.0</v>
      </c>
      <c r="BH5" s="10" t="inlineStr">
        <is>
          <t>http://finance.yahoo.com/q/op?s=CLR</t>
        </is>
      </c>
      <c r="BI5" s="9" t="inlineStr">
        <is>
          <t>http://finance.yahoo.com/q?s=CLR</t>
        </is>
      </c>
      <c r="BJ5" s="7"/>
    </row>
    <row r="6" customHeight="true" ht="12.0">
      <c r="A6" s="4" t="inlineStr">
        <is>
          <t/>
        </is>
      </c>
      <c r="B6" s="4" t="inlineStr">
        <is>
          <t>Own</t>
        </is>
      </c>
      <c r="C6" s="4" t="inlineStr">
        <is>
          <t>CLR</t>
        </is>
      </c>
      <c r="D6" s="4" t="inlineStr">
        <is>
          <t>Continental Resources Inc. Com (CLR)</t>
        </is>
      </c>
      <c r="E6" s="4" t="inlineStr">
        <is>
          <t>Keep</t>
        </is>
      </c>
      <c r="F6" s="6" t="n">
        <v>89.25</v>
      </c>
      <c r="G6" s="6" t="n">
        <v>90.0</v>
      </c>
      <c r="H6" s="5" t="n">
        <v>40985.0</v>
      </c>
      <c r="I6" s="4">
        <f>h6- Today()</f>
        <v>0.0</v>
      </c>
      <c r="J6" s="6" t="n">
        <v>2.5</v>
      </c>
      <c r="K6" s="4" t="inlineStr">
        <is>
          <t>OTM</t>
        </is>
      </c>
      <c r="L6" s="7"/>
      <c r="M6" s="6"/>
      <c r="N6" s="8">
        <f>IF(ISBLANK(m6),"", (m6-MAX(0,l6-g6))/MIN(l6,g6))</f>
        <v>0.0</v>
      </c>
      <c r="O6" s="8">
        <f>IF(ISBLANK(l6),"", (f6-l6)/l6)</f>
        <v>0.0</v>
      </c>
      <c r="P6" s="7">
        <f>IF(f6&gt;g6, f6-g6,0)</f>
        <v>0.0</v>
      </c>
      <c r="Q6" s="6">
        <f>j6-p6</f>
        <v>0.0</v>
      </c>
      <c r="R6" s="6">
        <f>min(f6,g6)</f>
        <v>0.0</v>
      </c>
      <c r="S6" s="6">
        <f>IF(g6&gt;f6, g6-f6, 0)</f>
        <v>0.0</v>
      </c>
      <c r="T6" s="6">
        <f>q6+s6</f>
        <v>0.0</v>
      </c>
      <c r="U6" s="8">
        <f>q6/r6</f>
        <v>0.0</v>
      </c>
      <c r="V6" s="8">
        <f>s6/r6</f>
        <v>0.0</v>
      </c>
      <c r="W6" s="8">
        <f>u6+v6</f>
        <v>0.0</v>
      </c>
      <c r="X6" s="8">
        <f>w6*12</f>
        <v>0.0</v>
      </c>
      <c r="Y6" s="7">
        <f>IF(isblank(m6), r6-q6,l6-m6)</f>
        <v>0.0</v>
      </c>
      <c r="Z6" s="6">
        <f>g6</f>
        <v>0.0</v>
      </c>
      <c r="AA6" s="8">
        <f>(z6-y6)/IF(l6,l6,f6)</f>
        <v>0.0</v>
      </c>
      <c r="AB6" s="6">
        <f>if(isblank(m6),"", m6*0.2)</f>
        <v>0.0</v>
      </c>
      <c r="AC6" s="6">
        <f>if(isblank(m6),"", m6*0.1)</f>
        <v>0.0</v>
      </c>
      <c r="AD6" s="4">
        <f>IF(isblank(m6), "", concatenate("Short@",m6,"; Sell:",ab6,"/",ac6))</f>
        <v>0.0</v>
      </c>
      <c r="AE6" s="7"/>
      <c r="AF6" s="6"/>
      <c r="AG6" s="6">
        <f>IF(EXACT(ae6,""), "", ae6-j6)</f>
        <v>0.0</v>
      </c>
      <c r="AH6" s="8">
        <f>IF(EXACT(ag6,""), "", ag6/r6)</f>
        <v>0.0</v>
      </c>
      <c r="AI6" s="8">
        <f>IF(EXACT(af6,""), "", (af6+m6-l6)/r6)</f>
        <v>0.0</v>
      </c>
      <c r="AJ6" s="8">
        <f>IF(EXACT(ah6,""), "", ah6+ai6)</f>
        <v>0.0</v>
      </c>
      <c r="AK6" s="7">
        <f>IF(f6&gt;g6,"Y","N")</f>
        <v>0.0</v>
      </c>
      <c r="AL6" s="8">
        <f>IF(EXACT(n6,""), "", n6)</f>
        <v>0.0</v>
      </c>
      <c r="AM6" s="8">
        <f>IF(EXACT(n6,""), "", IF(EXACT(ak6,"Y"),IF((g6-l6)&lt;0,0,(g6-l6)/r6),(f6-l6)/r6))</f>
        <v>0.0</v>
      </c>
      <c r="AN6" s="8">
        <f>IF(EXACT(al6,""), "", al6+am6)</f>
        <v>0.0</v>
      </c>
      <c r="AO6" s="7">
        <f>IF(isblank(m6), "", l6-m6)</f>
        <v>0.0</v>
      </c>
      <c r="AP6" s="6">
        <f>IF(isblank(m6), "", m6-j6)</f>
        <v>0.0</v>
      </c>
      <c r="AQ6" s="6">
        <f>IF(isblank(l6), "", f6-l6)</f>
        <v>0.0</v>
      </c>
      <c r="AR6" s="6">
        <f>IF(isblank(m6), "", ap6+aq6)</f>
        <v>0.0</v>
      </c>
      <c r="AS6" s="8">
        <f>IF(isblank(m6), "", ar6/ao6)</f>
        <v>0.0</v>
      </c>
      <c r="AT6" s="7">
        <f>IF(g6&gt;f6,f6,IF(g6&gt;l6,g6,l6))</f>
        <v>0.0</v>
      </c>
      <c r="AU6" s="6"/>
      <c r="AV6" s="6"/>
      <c r="AW6" s="6">
        <f>IF(EXACT(au6,""),"",au6-j6)</f>
        <v>0.0</v>
      </c>
      <c r="AX6" s="8">
        <f>if(EXACT(aw6,""), "",aw6/at6)</f>
        <v>0.0</v>
      </c>
      <c r="AY6" s="7"/>
      <c r="AZ6" s="6"/>
      <c r="BA6" s="6">
        <f>IF(EXACT(ay6,""),"",ay6-j6)</f>
        <v>0.0</v>
      </c>
      <c r="BB6" s="6">
        <f>IF(EXACT(ay6,""),"",MIN(az6-g6,f6-g6))</f>
        <v>0.0</v>
      </c>
      <c r="BC6" s="6">
        <f>IF(EXACT(ay6,""),"",sum(ba6,bb6))</f>
        <v>0.0</v>
      </c>
      <c r="BD6" s="6">
        <f>IF(EXACT(ay6,""),"",MAX(0,az6-f6))</f>
        <v>0.0</v>
      </c>
      <c r="BE6" s="6">
        <f>IF(EXACT(ay6,""),"",sum(ba6,bb6,bd6))</f>
        <v>0.0</v>
      </c>
      <c r="BF6" s="8">
        <f>if(EXACT(bc6,""), "",bc6/at6)</f>
        <v>0.0</v>
      </c>
      <c r="BG6" s="8">
        <f>if(EXACT(be6,""), "",be6/at6)</f>
        <v>0.0</v>
      </c>
      <c r="BH6" s="10" t="inlineStr">
        <is>
          <t>http://finance.yahoo.com/q/op?s=CLR</t>
        </is>
      </c>
      <c r="BI6" s="9" t="inlineStr">
        <is>
          <t>http://finance.yahoo.com/q?s=CLR</t>
        </is>
      </c>
      <c r="BJ6" s="7"/>
    </row>
  </sheetData>
  <autoFilter ref="A2:BJ200"/>
  <mergeCells>
    <mergeCell ref="A1:K1"/>
    <mergeCell ref="L1:O1"/>
    <mergeCell ref="P1:X1"/>
    <mergeCell ref="Y1:AD1"/>
    <mergeCell ref="AE1:AJ1"/>
    <mergeCell ref="AK1:AN1"/>
    <mergeCell ref="AO1:AS1"/>
    <mergeCell ref="AT1:AX1"/>
    <mergeCell ref="AY1:BG1"/>
    <mergeCell ref="BH1:BI1"/>
    <mergeCell ref="BJ1"/>
  </mergeCells>
  <hyperlinks>
    <hyperlink ref="BH3" r:id="rId12"/>
    <hyperlink ref="BI3" r:id="rId13"/>
    <hyperlink ref="BH4" r:id="rId14"/>
    <hyperlink ref="BI4" r:id="rId15"/>
    <hyperlink ref="BH5" r:id="rId16"/>
    <hyperlink ref="BI5" r:id="rId17"/>
    <hyperlink ref="BH6" r:id="rId18"/>
    <hyperlink ref="BI6" r:id="rId19"/>
  </hyperlinks>
  <printOptions horizontalCentered="true"/>
  <pageMargins bottom="0.75" footer="0.3" header="0.3" left="0.7" right="0.7" top="0.75"/>
  <pageSetup orientation="landscape"/>
  <drawing r:id="rId1"/>
  <legacyDrawing r:id="rId3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2012-04-23T02:54:44Z</dcterms:created>
  <dc:creator>Apache POI</dc:creator>
</coreProperties>
</file>