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80" windowHeight="11895" activeTab="1"/>
  </bookViews>
  <sheets>
    <sheet name="spec" sheetId="1" r:id="rId1"/>
    <sheet name="Generator" sheetId="2" r:id="rId2"/>
  </sheets>
  <definedNames/>
  <calcPr fullCalcOnLoad="1"/>
</workbook>
</file>

<file path=xl/sharedStrings.xml><?xml version="1.0" encoding="utf-8"?>
<sst xmlns="http://schemas.openxmlformats.org/spreadsheetml/2006/main" count="772" uniqueCount="365">
  <si>
    <t>TI Module Specification</t>
  </si>
  <si>
    <t>SEARCH WORDS:</t>
  </si>
  <si>
    <t>MODULE LIST PHRASE:</t>
  </si>
  <si>
    <t>INTENT:</t>
  </si>
  <si>
    <t>PADS FIGURE:</t>
  </si>
  <si>
    <t>TYPE</t>
  </si>
  <si>
    <t>DR</t>
  </si>
  <si>
    <t>Description</t>
  </si>
  <si>
    <t>DUT1</t>
  </si>
  <si>
    <t>DUT2</t>
  </si>
  <si>
    <t>DUT3</t>
  </si>
  <si>
    <t>DUT4</t>
  </si>
  <si>
    <t>DUT5</t>
  </si>
  <si>
    <t>DUT6</t>
  </si>
  <si>
    <t>PAD</t>
  </si>
  <si>
    <t>1</t>
  </si>
  <si>
    <t>2</t>
  </si>
  <si>
    <t>3</t>
  </si>
  <si>
    <t>4</t>
  </si>
  <si>
    <t>5</t>
  </si>
  <si>
    <t>_End_of_Table_</t>
  </si>
  <si>
    <t>DESCRIPTION:</t>
  </si>
  <si>
    <t>LAYOUT FIGURE:</t>
  </si>
  <si>
    <t>MODULE RULES TABLE:</t>
  </si>
  <si>
    <t>Value</t>
  </si>
  <si>
    <t>MR</t>
  </si>
  <si>
    <t>Warning: This file contains hidden row and column data. Use care when editing (copy/delete rows/columns)!</t>
  </si>
  <si>
    <t>Warning: Some fields(greyed) may be locked and cannot be edited.</t>
  </si>
  <si>
    <t>Module Name</t>
  </si>
  <si>
    <t>DUT</t>
  </si>
  <si>
    <t>DUT Description</t>
  </si>
  <si>
    <t>Device Type</t>
  </si>
  <si>
    <t>Max Interconnect Width</t>
  </si>
  <si>
    <t>KEY</t>
  </si>
  <si>
    <t>mos.max_width_sd_connect.i.real</t>
  </si>
  <si>
    <t>mos.max_interconnect_width.i.real</t>
  </si>
  <si>
    <t>MLP</t>
  </si>
  <si>
    <t>mos.lom.i.char*</t>
  </si>
  <si>
    <t>Layer overlap Module</t>
  </si>
  <si>
    <t>Gate Interconnect Width</t>
  </si>
  <si>
    <t>pin Backgate</t>
  </si>
  <si>
    <t>pin Substrate</t>
  </si>
  <si>
    <t>Nfi</t>
  </si>
  <si>
    <t>Ndev</t>
  </si>
  <si>
    <t>Gate</t>
  </si>
  <si>
    <t>NOLAYER</t>
  </si>
  <si>
    <t>mos.max_width_gate_connect.i.real</t>
  </si>
  <si>
    <t>Drain</t>
  </si>
  <si>
    <t>Backgate</t>
  </si>
  <si>
    <t>Source</t>
  </si>
  <si>
    <t>mos.source.p.int</t>
  </si>
  <si>
    <t>mos.drain.p.int</t>
  </si>
  <si>
    <t>mos.gate.p.int</t>
  </si>
  <si>
    <t>mos.backgate.p.int</t>
  </si>
  <si>
    <t>mos.sub.p.int</t>
  </si>
  <si>
    <t>Substrate</t>
  </si>
  <si>
    <t>mos.max_width_backgate_connect.i.real</t>
  </si>
  <si>
    <t>Backgate Interconnect Width</t>
  </si>
  <si>
    <t>mos.lay_over_ring.i.char*</t>
  </si>
  <si>
    <t>CHIPTAG: x2283</t>
  </si>
  <si>
    <t>Gate_L</t>
  </si>
  <si>
    <t>mos.grid.i.real</t>
  </si>
  <si>
    <t>Grid Size</t>
  </si>
  <si>
    <t>DESIGN RULES TABLE:</t>
  </si>
  <si>
    <t>ELECTRICAL HOOKUP TABLE:</t>
  </si>
  <si>
    <t>mos.ring_name.i.char*</t>
  </si>
  <si>
    <t>PROJECT: x2283</t>
  </si>
  <si>
    <t>for x2283</t>
  </si>
  <si>
    <t>a.b.char*</t>
  </si>
  <si>
    <t>Module Name Lib</t>
  </si>
  <si>
    <t>Module Name Cell</t>
  </si>
  <si>
    <t>Pcellpara.real</t>
  </si>
  <si>
    <t>SC</t>
  </si>
  <si>
    <t>Pcellpara.char*</t>
  </si>
  <si>
    <t>Xstr</t>
  </si>
  <si>
    <t>mos.type.i.char*</t>
  </si>
  <si>
    <t>Type of device</t>
  </si>
  <si>
    <t>mos.gate_length.i.real</t>
  </si>
  <si>
    <t>mos.num_gate_i.int</t>
  </si>
  <si>
    <t>Number of gates</t>
  </si>
  <si>
    <t>mos.num_dev_i.int</t>
  </si>
  <si>
    <t>Gate Length</t>
  </si>
  <si>
    <t>mos.gate_width.i.real</t>
  </si>
  <si>
    <t>Gate Width</t>
  </si>
  <si>
    <t>mos.gate_ext_moat.i.real</t>
  </si>
  <si>
    <t>Gate extends Moat in Y</t>
  </si>
  <si>
    <t>mos.cont_size.i.real</t>
  </si>
  <si>
    <t>Contact size</t>
  </si>
  <si>
    <t>mos.cont_space.i.real</t>
  </si>
  <si>
    <t>Contact spacing</t>
  </si>
  <si>
    <t>Columm of Source contact</t>
  </si>
  <si>
    <t>mos.src_col_cont.i.int</t>
  </si>
  <si>
    <t>mos.src_row_cont.i.int</t>
  </si>
  <si>
    <t>Row of Source contact</t>
  </si>
  <si>
    <t>mos.drn_col_cont.i.int</t>
  </si>
  <si>
    <t>mos.drn_row_cont.i.int</t>
  </si>
  <si>
    <t>Columm of Drain contact</t>
  </si>
  <si>
    <t>Row of Drain contact</t>
  </si>
  <si>
    <t>Moat olap Source contact in Left Right</t>
  </si>
  <si>
    <t>Layer of Source Drain Metal</t>
  </si>
  <si>
    <t>mos.lay_sd_met.i.char*</t>
  </si>
  <si>
    <t>Source Metal overlap contact</t>
  </si>
  <si>
    <t>Drain Metal overlap contact</t>
  </si>
  <si>
    <t>mos.src_met_olap_cont.i.real</t>
  </si>
  <si>
    <t>mos.drn_met_olap_cont.i.real</t>
  </si>
  <si>
    <t>Source contact space to Gate</t>
  </si>
  <si>
    <t>Drain contact space to Gate</t>
  </si>
  <si>
    <t>mos.src_cont_sp.gate.i.real</t>
  </si>
  <si>
    <t>mos.drn_cont_sp_gate.i.real</t>
  </si>
  <si>
    <t>mos.moat_olap_sc_lr.i.real</t>
  </si>
  <si>
    <t>Layer over Source</t>
  </si>
  <si>
    <t>Layer over Source overlap Left Source - Left</t>
  </si>
  <si>
    <t>Layer over Source overlap Left Source - Right</t>
  </si>
  <si>
    <t>mos.lay_over_src.i.char*</t>
  </si>
  <si>
    <t>mos.lay_over_src_olap_ls_l.i.real</t>
  </si>
  <si>
    <t>mos.lay_over_src_olap_ls_r.i.real</t>
  </si>
  <si>
    <t>Layer over Drain</t>
  </si>
  <si>
    <t xml:space="preserve">Moat olap Source contact in Top </t>
  </si>
  <si>
    <t>Moat olap Source contact in Bottom</t>
  </si>
  <si>
    <t>mos.moat_olap_sc_t.i.real</t>
  </si>
  <si>
    <t>mos.moat_olap_sc_b.i.real</t>
  </si>
  <si>
    <t xml:space="preserve">Moat olap Drain contact in Top </t>
  </si>
  <si>
    <t>Moat olap Drain contact in Bottom</t>
  </si>
  <si>
    <t>mos.moat_olap_dc_t.i.real</t>
  </si>
  <si>
    <t>mos.moat_olap_dc_b.i.real</t>
  </si>
  <si>
    <t>Layer over Source overlap Left Source - Top</t>
  </si>
  <si>
    <t>Layer over Source overlap Left Source - Bottom</t>
  </si>
  <si>
    <t>mos.lay_over_src_olap_ls_t.i.real</t>
  </si>
  <si>
    <t>mos.lay_over_src_olap_ls_b.i.real</t>
  </si>
  <si>
    <t>mos.lay_over_drn.i.char*</t>
  </si>
  <si>
    <t>mos.lay_over_drn_olap_ls_l.i.real</t>
  </si>
  <si>
    <t>mos.lay_over_drn_olap_ls_r.i.real</t>
  </si>
  <si>
    <t>mos.lay_over_drn_olap_ls_t.i.real</t>
  </si>
  <si>
    <t>mos.lay_over_drn_olap_ls_b.i.real</t>
  </si>
  <si>
    <t>Layer overlap Moat</t>
  </si>
  <si>
    <t>mos.lay_over_moat.i.char*</t>
  </si>
  <si>
    <t>mos.lay_over_moat_x.i.real</t>
  </si>
  <si>
    <t>Layer overlap Moat in X</t>
  </si>
  <si>
    <t>mos.lay_over_moat_y.i.real</t>
  </si>
  <si>
    <t>Layer overlap Moat in Y</t>
  </si>
  <si>
    <t>Layer over Gate</t>
  </si>
  <si>
    <t>Layer over Gate extends Gate in Y</t>
  </si>
  <si>
    <t>mos.lay_over_gate.i.char*</t>
  </si>
  <si>
    <t>mos.lay_over_gate_ext_x.i.real</t>
  </si>
  <si>
    <t>mos.lay_over_gate_ext_y.i.real</t>
  </si>
  <si>
    <t>Ring name</t>
  </si>
  <si>
    <t>Main Layer of ring</t>
  </si>
  <si>
    <t>Layer define Ring</t>
  </si>
  <si>
    <t>Layer define Ring overlap Main Layer</t>
  </si>
  <si>
    <t xml:space="preserve">Layer overlap Ring </t>
  </si>
  <si>
    <t>Layer overlap Ring - Outside</t>
  </si>
  <si>
    <t>Layer overlap Ring - Inside X</t>
  </si>
  <si>
    <t>Layer overlap Ring - Inside Y</t>
  </si>
  <si>
    <t>Main Layer of ring - Width line</t>
  </si>
  <si>
    <t>Main Layer space to Moat in X</t>
  </si>
  <si>
    <t>Main Layer space to Moat in Y</t>
  </si>
  <si>
    <t>mos.main_layer.i.char*</t>
  </si>
  <si>
    <t>mos.main_layer_wl.i.real</t>
  </si>
  <si>
    <t>mos.main_layer_sp_x.i.real</t>
  </si>
  <si>
    <t>mos.main_layer_sp_y.i.real</t>
  </si>
  <si>
    <t>mos.lay_def_ring.i.char*</t>
  </si>
  <si>
    <t>mos.lay_def_over_ring.i.real</t>
  </si>
  <si>
    <t>mos.lay_over_ring_out.i.real</t>
  </si>
  <si>
    <t>mos.lay_over_ring_inx.i.real</t>
  </si>
  <si>
    <t>mos.lay_over_ring_iny.i.real</t>
  </si>
  <si>
    <t>Template: decmos_hpe035_testcase</t>
  </si>
  <si>
    <t>CG: DECMOS_HPE035_V1_00</t>
  </si>
  <si>
    <t>MET1</t>
  </si>
  <si>
    <t>NPOLY-blk</t>
  </si>
  <si>
    <t>NDRN</t>
  </si>
  <si>
    <t>Layer overlap DUT</t>
  </si>
  <si>
    <t>mos.lay_over_dut.i.char*</t>
  </si>
  <si>
    <t>ACTIVE</t>
  </si>
  <si>
    <t>Layer of Gate</t>
  </si>
  <si>
    <t>POLY</t>
  </si>
  <si>
    <t>Layer of Active</t>
  </si>
  <si>
    <t>mos.lay_gate.i.char*</t>
  </si>
  <si>
    <t>mos.lay_active.i.char*</t>
  </si>
  <si>
    <t>mos.lay_def_src.i.char*</t>
  </si>
  <si>
    <t>Layer define Source Terminal</t>
  </si>
  <si>
    <t>mos.lay_def_drn.i.char*</t>
  </si>
  <si>
    <t>Layer define Drain Terminal</t>
  </si>
  <si>
    <t>TAP</t>
  </si>
  <si>
    <t>Tank</t>
  </si>
  <si>
    <t>Layer over Drain overlap Drain - Left</t>
  </si>
  <si>
    <t>Layer over Drain overlap Drain - Right</t>
  </si>
  <si>
    <t>Layer over Drain overlap Drain - Top</t>
  </si>
  <si>
    <t>Layer over Drain overlap Drain - Bottom</t>
  </si>
  <si>
    <t>Number of devices</t>
  </si>
  <si>
    <t>LP</t>
  </si>
  <si>
    <t>12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</si>
  <si>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</si>
  <si>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</si>
  <si>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</si>
  <si>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</si>
  <si>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</si>
  <si>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</si>
  <si>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</si>
  <si>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</si>
  <si>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</si>
  <si>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</si>
  <si>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</si>
  <si>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</si>
  <si>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</si>
  <si>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</si>
  <si>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</si>
  <si>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</si>
  <si>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</si>
  <si>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</si>
  <si>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260.0</t>
  </si>
  <si>
    <t>260.1</t>
  </si>
  <si>
    <t>260.2</t>
  </si>
  <si>
    <t>260.3</t>
  </si>
  <si>
    <t>260.4</t>
  </si>
  <si>
    <t>270.0</t>
  </si>
  <si>
    <t>270.1</t>
  </si>
  <si>
    <t>270.2</t>
  </si>
  <si>
    <t>280.0</t>
  </si>
  <si>
    <t>280.1</t>
  </si>
  <si>
    <t>280.2</t>
  </si>
  <si>
    <t>290.0</t>
  </si>
  <si>
    <t>290.1</t>
  </si>
  <si>
    <t>290.2</t>
  </si>
  <si>
    <t>300.0</t>
  </si>
  <si>
    <t>300.1</t>
  </si>
  <si>
    <t>mos.lay_over_dut_x.i.real</t>
  </si>
  <si>
    <t>mos.lay_ring_over_drm.i.char*</t>
  </si>
  <si>
    <t>Layer Ring over Drain</t>
  </si>
  <si>
    <t>mos.lay_ring_over_drn_sp_drn.i.real</t>
  </si>
  <si>
    <t>Layer Ring over Drain space to Drain</t>
  </si>
  <si>
    <t>mos.lay_ring_over_drn_wl.i.real</t>
  </si>
  <si>
    <t>Layer Ring over Drain width line</t>
  </si>
  <si>
    <t>300.2</t>
  </si>
  <si>
    <t>301.0</t>
  </si>
  <si>
    <t>301.1</t>
  </si>
  <si>
    <t>301.2</t>
  </si>
  <si>
    <t>310.0</t>
  </si>
  <si>
    <t>NWELL</t>
  </si>
  <si>
    <t>DNWELL</t>
  </si>
  <si>
    <t>L (du)</t>
  </si>
  <si>
    <t>W (du)</t>
  </si>
  <si>
    <t>HP (du)</t>
  </si>
  <si>
    <t>D (du)</t>
  </si>
  <si>
    <t>X (du)</t>
  </si>
  <si>
    <t>PWELL
to S-side
of POLY</t>
  </si>
  <si>
    <t>Wactive</t>
  </si>
  <si>
    <t>G (du)</t>
  </si>
  <si>
    <t>ACTIVE
enclose
CONT 
in drain</t>
  </si>
  <si>
    <t>SDBLK
/SIBLK
extend into
POLY</t>
  </si>
  <si>
    <t>NSD_add,
SIBLK
space
SIBLK</t>
  </si>
  <si>
    <t>Symmetry</t>
  </si>
  <si>
    <t>iso_denmos</t>
  </si>
  <si>
    <t>na</t>
  </si>
  <si>
    <t>NCH_DE_5V_ISO_LV</t>
  </si>
  <si>
    <t>ASYM</t>
  </si>
  <si>
    <t>DUT7</t>
  </si>
  <si>
    <t>DUT8</t>
  </si>
  <si>
    <t>pin tank</t>
  </si>
  <si>
    <t>Gate Spacing</t>
  </si>
  <si>
    <t>Layer over center of Gates</t>
  </si>
  <si>
    <t>Layer over center of Gates extends Gates in Y</t>
  </si>
  <si>
    <t>mos.gate_sp.i.real</t>
  </si>
  <si>
    <t>mos.lay_over_gate_w.i.real</t>
  </si>
  <si>
    <t>mos.lay_over_c_gate.i.char*</t>
  </si>
  <si>
    <t>mos.lay_over_c_gate_ext_x.i.real</t>
  </si>
  <si>
    <t>mos.lay_over_c_gate_ext_y.i.real</t>
  </si>
  <si>
    <t>25</t>
  </si>
  <si>
    <t>270.3</t>
  </si>
  <si>
    <t>270.4</t>
  </si>
  <si>
    <t>302.0</t>
  </si>
  <si>
    <t>302.1</t>
  </si>
  <si>
    <t>302.2</t>
  </si>
  <si>
    <t>311.1</t>
  </si>
  <si>
    <t>312.1</t>
  </si>
  <si>
    <t>313.2</t>
  </si>
  <si>
    <t>320.0</t>
  </si>
  <si>
    <t>320.1</t>
  </si>
  <si>
    <t>320.2</t>
  </si>
  <si>
    <t>320.4</t>
  </si>
  <si>
    <t>320.3</t>
  </si>
  <si>
    <t>320.50.0</t>
  </si>
  <si>
    <t>320.50.1</t>
  </si>
  <si>
    <t>320.51.0</t>
  </si>
  <si>
    <t>320.51.1</t>
  </si>
  <si>
    <t>320.60.0</t>
  </si>
  <si>
    <t>320.60.1</t>
  </si>
  <si>
    <t>320.60.2</t>
  </si>
  <si>
    <t>320.60.3</t>
  </si>
  <si>
    <t>321.0</t>
  </si>
  <si>
    <t>321.1</t>
  </si>
  <si>
    <t>321.2</t>
  </si>
  <si>
    <t>321.3</t>
  </si>
  <si>
    <t>321.4</t>
  </si>
  <si>
    <t>321.50.0</t>
  </si>
  <si>
    <t>321.50.1</t>
  </si>
  <si>
    <t>321.51.0</t>
  </si>
  <si>
    <t>321.51.1</t>
  </si>
  <si>
    <t>321.52.0</t>
  </si>
  <si>
    <t>321.52.1</t>
  </si>
  <si>
    <t>321.60.2</t>
  </si>
  <si>
    <t>321.60.3</t>
  </si>
  <si>
    <t>321.60.4</t>
  </si>
  <si>
    <t>321.60.5</t>
  </si>
  <si>
    <t>330.0</t>
  </si>
  <si>
    <t>330.1</t>
  </si>
  <si>
    <t>34</t>
  </si>
  <si>
    <t>35</t>
  </si>
  <si>
    <t>Gate extends Layer over Gate in X - Left</t>
  </si>
  <si>
    <t>Layer over Gate extends Gate in X - Right</t>
  </si>
  <si>
    <t>Gates extend Layer over center of Gates in X</t>
  </si>
  <si>
    <t>Max Source/Drain Width</t>
  </si>
  <si>
    <t>MET2</t>
  </si>
  <si>
    <t>pin 
Source</t>
  </si>
  <si>
    <t>pin 
Drain</t>
  </si>
  <si>
    <t>pin 
Gate</t>
  </si>
  <si>
    <t>NLDD2
coincident
with 
SDBLK</t>
  </si>
  <si>
    <t>NDRN
extend
-beyond 
SOURCE</t>
  </si>
  <si>
    <t>Sample Layout</t>
  </si>
  <si>
    <t>Layer overlap DUT - X</t>
  </si>
  <si>
    <t>330.2</t>
  </si>
  <si>
    <t>mos.lay_over_dut_y.i.real</t>
  </si>
  <si>
    <t>Layer overlap DUT - Y</t>
  </si>
  <si>
    <t>Gate strap width</t>
  </si>
  <si>
    <t>mos.gate_strap_w.i.real</t>
  </si>
  <si>
    <t>36</t>
  </si>
  <si>
    <t>Gate olap Contact</t>
  </si>
  <si>
    <t>37</t>
  </si>
  <si>
    <t>mos.gate_ol_cont_w.i.real</t>
  </si>
  <si>
    <t>38</t>
  </si>
  <si>
    <t>Width of Metal on Gate</t>
  </si>
  <si>
    <t>mos.w_met_on_gate.i.real</t>
  </si>
  <si>
    <t>39</t>
  </si>
  <si>
    <t>mos.lay_def_gate.i.char*</t>
  </si>
  <si>
    <t>Layer define Gate Terminal</t>
  </si>
  <si>
    <t>Layer define Backgate Terminal</t>
  </si>
  <si>
    <t>40</t>
  </si>
  <si>
    <t>41</t>
  </si>
  <si>
    <t>Width of Backgate Terminal</t>
  </si>
  <si>
    <t>mos.width_bg_term.i.real</t>
  </si>
  <si>
    <t>42</t>
  </si>
  <si>
    <t>Number of Horizontal cross line</t>
  </si>
  <si>
    <t>43</t>
  </si>
  <si>
    <t>44</t>
  </si>
  <si>
    <t>mos.num_hor_line.i.int</t>
  </si>
  <si>
    <t>mos.w_of_l.i.real</t>
  </si>
  <si>
    <t>Width of Cross line</t>
  </si>
  <si>
    <t>Layer of Horizontal cross line</t>
  </si>
  <si>
    <t>mos.lay_of_hor.i.char*</t>
  </si>
  <si>
    <t>46</t>
  </si>
  <si>
    <t>Layer of Vertical cross line</t>
  </si>
  <si>
    <t>MET3</t>
  </si>
  <si>
    <t>mos.lay_of_ver.i.char*</t>
  </si>
  <si>
    <t>MET4</t>
  </si>
  <si>
    <t>Width of Source/Drain Connection</t>
  </si>
  <si>
    <t>47</t>
  </si>
  <si>
    <t>mos.w_sd_conn.i.real</t>
  </si>
  <si>
    <t>48</t>
  </si>
  <si>
    <t>Source/Drain Connection spacing</t>
  </si>
  <si>
    <t>mos.sp_sd_conn.i.real</t>
  </si>
  <si>
    <t>FG: DECMOS_HPE035_8_V1_00</t>
  </si>
  <si>
    <t>NONAME</t>
  </si>
  <si>
    <t>den_5v_dr_a</t>
  </si>
  <si>
    <t>5V-iso indiv. S D, D =/0</t>
  </si>
  <si>
    <t>multi-fing for Ioff, ESD</t>
  </si>
  <si>
    <t>NLDD2_add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</si>
</sst>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2"/>
      <color indexed="10"/>
      <name val="arial"/>
      <family val="0"/>
    </font>
    <font>
      <b/>
      <sz val="8"/>
      <name val="Arial"/>
      <family val="2"/>
    </font>
    <font>
      <sz val="12"/>
      <color indexed="8"/>
      <name val="Arial"/>
      <family val="0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2" borderId="1" xfId="0" applyFont="1" applyFill="1" applyBorder="1" applyAlignment="1">
      <alignment/>
    </xf>
    <xf numFmtId="49" fontId="4" fillId="2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/>
    </xf>
    <xf numFmtId="49" fontId="4" fillId="3" borderId="1" xfId="0" applyNumberFormat="1" applyFont="1" applyFill="1" applyBorder="1" applyAlignment="1">
      <alignment horizontal="left" vertical="top"/>
    </xf>
    <xf numFmtId="0" fontId="8" fillId="0" borderId="2" xfId="0" applyFont="1" applyBorder="1" applyAlignment="1">
      <alignment/>
    </xf>
    <xf numFmtId="0" fontId="9" fillId="0" borderId="0" xfId="0" applyFont="1" applyAlignment="1">
      <alignment/>
    </xf>
    <xf numFmtId="0" fontId="7" fillId="4" borderId="2" xfId="0" applyFont="1" applyFill="1" applyBorder="1" applyAlignment="1">
      <alignment wrapText="1"/>
    </xf>
    <xf numFmtId="0" fontId="4" fillId="2" borderId="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3" xfId="0" applyNumberFormat="1" applyFont="1" applyFill="1" applyBorder="1" applyAlignment="1">
      <alignment horizontal="left" vertical="top"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vertical="top"/>
    </xf>
    <xf numFmtId="0" fontId="10" fillId="3" borderId="2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1" fillId="5" borderId="2" xfId="0" applyNumberFormat="1" applyFont="1" applyFill="1" applyBorder="1" applyAlignment="1" applyProtection="1">
      <alignment vertical="distributed"/>
      <protection hidden="1"/>
    </xf>
    <xf numFmtId="0" fontId="0" fillId="0" borderId="0" xfId="0" applyFill="1" applyAlignment="1">
      <alignment/>
    </xf>
    <xf numFmtId="0" fontId="13" fillId="0" borderId="7" xfId="0" applyFont="1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0" fillId="0" borderId="0" xfId="0" applyAlignment="1">
      <alignment vertical="distributed"/>
    </xf>
    <xf numFmtId="0" fontId="14" fillId="5" borderId="8" xfId="0" applyFont="1" applyFill="1" applyBorder="1" applyAlignment="1">
      <alignment horizontal="center" wrapText="1"/>
    </xf>
    <xf numFmtId="0" fontId="4" fillId="3" borderId="9" xfId="0" applyNumberFormat="1" applyFont="1" applyFill="1" applyBorder="1" applyAlignment="1">
      <alignment horizontal="left" vertical="top"/>
    </xf>
    <xf numFmtId="49" fontId="10" fillId="3" borderId="2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/>
    </xf>
    <xf numFmtId="0" fontId="8" fillId="0" borderId="2" xfId="0" applyNumberFormat="1" applyFont="1" applyFill="1" applyBorder="1" applyAlignment="1" applyProtection="1">
      <alignment vertical="distributed"/>
      <protection hidden="1"/>
    </xf>
    <xf numFmtId="0" fontId="8" fillId="0" borderId="6" xfId="0" applyNumberFormat="1" applyFont="1" applyFill="1" applyBorder="1" applyAlignment="1" applyProtection="1">
      <alignment vertical="distributed"/>
      <protection hidden="1"/>
    </xf>
    <xf numFmtId="0" fontId="0" fillId="0" borderId="10" xfId="0" applyFont="1" applyFill="1" applyBorder="1" applyAlignment="1">
      <alignment/>
    </xf>
    <xf numFmtId="49" fontId="10" fillId="3" borderId="2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left" vertical="top"/>
    </xf>
    <xf numFmtId="0" fontId="4" fillId="2" borderId="11" xfId="0" applyFont="1" applyFill="1" applyBorder="1" applyAlignment="1">
      <alignment/>
    </xf>
    <xf numFmtId="49" fontId="10" fillId="3" borderId="6" xfId="0" applyNumberFormat="1" applyFont="1" applyFill="1" applyBorder="1" applyAlignment="1">
      <alignment/>
    </xf>
    <xf numFmtId="0" fontId="10" fillId="3" borderId="10" xfId="0" applyFont="1" applyFill="1" applyBorder="1" applyAlignment="1">
      <alignment/>
    </xf>
    <xf numFmtId="49" fontId="10" fillId="3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 vertical="distributed"/>
      <protection hidden="1"/>
    </xf>
    <xf numFmtId="0" fontId="10" fillId="2" borderId="2" xfId="0" applyFont="1" applyFill="1" applyBorder="1" applyAlignment="1">
      <alignment/>
    </xf>
    <xf numFmtId="0" fontId="10" fillId="6" borderId="2" xfId="0" applyFont="1" applyFill="1" applyBorder="1" applyAlignment="1">
      <alignment/>
    </xf>
    <xf numFmtId="0" fontId="10" fillId="7" borderId="2" xfId="0" applyFont="1" applyFill="1" applyBorder="1" applyAlignment="1">
      <alignment/>
    </xf>
    <xf numFmtId="0" fontId="10" fillId="7" borderId="6" xfId="0" applyFont="1" applyFill="1" applyBorder="1" applyAlignment="1">
      <alignment/>
    </xf>
    <xf numFmtId="0" fontId="10" fillId="8" borderId="2" xfId="0" applyFont="1" applyFill="1" applyBorder="1" applyAlignment="1">
      <alignment/>
    </xf>
    <xf numFmtId="0" fontId="10" fillId="5" borderId="10" xfId="0" applyFont="1" applyFill="1" applyBorder="1" applyAlignment="1">
      <alignment/>
    </xf>
    <xf numFmtId="0" fontId="10" fillId="5" borderId="2" xfId="0" applyFont="1" applyFill="1" applyBorder="1" applyAlignment="1">
      <alignment/>
    </xf>
    <xf numFmtId="0" fontId="10" fillId="9" borderId="2" xfId="0" applyFont="1" applyFill="1" applyBorder="1" applyAlignment="1">
      <alignment/>
    </xf>
    <xf numFmtId="0" fontId="10" fillId="10" borderId="2" xfId="0" applyFont="1" applyFill="1" applyBorder="1" applyAlignment="1">
      <alignment/>
    </xf>
    <xf numFmtId="0" fontId="10" fillId="11" borderId="2" xfId="0" applyFont="1" applyFill="1" applyBorder="1" applyAlignment="1">
      <alignment/>
    </xf>
    <xf numFmtId="0" fontId="10" fillId="12" borderId="2" xfId="0" applyFont="1" applyFill="1" applyBorder="1" applyAlignment="1">
      <alignment/>
    </xf>
    <xf numFmtId="0" fontId="10" fillId="13" borderId="2" xfId="0" applyFont="1" applyFill="1" applyBorder="1" applyAlignment="1">
      <alignment/>
    </xf>
    <xf numFmtId="0" fontId="10" fillId="14" borderId="2" xfId="0" applyFont="1" applyFill="1" applyBorder="1" applyAlignment="1">
      <alignment/>
    </xf>
    <xf numFmtId="0" fontId="16" fillId="5" borderId="2" xfId="0" applyNumberFormat="1" applyFont="1" applyFill="1" applyBorder="1" applyAlignment="1" applyProtection="1">
      <alignment vertical="distributed"/>
      <protection hidden="1"/>
    </xf>
    <xf numFmtId="0" fontId="10" fillId="15" borderId="2" xfId="0" applyFont="1" applyFill="1" applyBorder="1" applyAlignment="1">
      <alignment/>
    </xf>
    <xf numFmtId="0" fontId="0" fillId="15" borderId="0" xfId="0" applyFill="1" applyAlignment="1">
      <alignment/>
    </xf>
    <xf numFmtId="0" fontId="15" fillId="5" borderId="2" xfId="0" applyFont="1" applyFill="1" applyBorder="1" applyAlignment="1">
      <alignment/>
    </xf>
    <xf numFmtId="0" fontId="16" fillId="5" borderId="12" xfId="0" applyNumberFormat="1" applyFont="1" applyFill="1" applyBorder="1" applyAlignment="1" applyProtection="1">
      <alignment vertical="distributed"/>
      <protection hidden="1"/>
    </xf>
    <xf numFmtId="0" fontId="12" fillId="3" borderId="2" xfId="21" applyFont="1" applyFill="1" applyBorder="1" applyAlignment="1">
      <alignment horizontal="center" wrapText="1"/>
      <protection/>
    </xf>
    <xf numFmtId="0" fontId="12" fillId="10" borderId="2" xfId="21" applyFont="1" applyFill="1" applyBorder="1" applyAlignment="1">
      <alignment horizontal="center" wrapText="1"/>
      <protection/>
    </xf>
    <xf numFmtId="0" fontId="12" fillId="16" borderId="2" xfId="21" applyFont="1" applyFill="1" applyBorder="1" applyAlignment="1">
      <alignment horizontal="center" wrapText="1"/>
      <protection/>
    </xf>
    <xf numFmtId="0" fontId="12" fillId="17" borderId="2" xfId="21" applyFont="1" applyFill="1" applyBorder="1" applyAlignment="1">
      <alignment horizontal="center" wrapText="1"/>
      <protection/>
    </xf>
    <xf numFmtId="0" fontId="12" fillId="17" borderId="6" xfId="21" applyFont="1" applyFill="1" applyBorder="1" applyAlignment="1">
      <alignment horizontal="center" wrapText="1"/>
      <protection/>
    </xf>
    <xf numFmtId="0" fontId="1" fillId="18" borderId="2" xfId="21" applyFont="1" applyFill="1" applyBorder="1" applyAlignment="1">
      <alignment horizontal="center" wrapText="1"/>
      <protection/>
    </xf>
    <xf numFmtId="0" fontId="1" fillId="10" borderId="2" xfId="21" applyFont="1" applyFill="1" applyBorder="1" applyAlignment="1">
      <alignment horizontal="center" wrapText="1"/>
      <protection/>
    </xf>
    <xf numFmtId="2" fontId="1" fillId="4" borderId="2" xfId="21" applyNumberFormat="1" applyFont="1" applyFill="1" applyBorder="1" applyAlignment="1">
      <alignment horizontal="center"/>
      <protection/>
    </xf>
    <xf numFmtId="165" fontId="1" fillId="4" borderId="2" xfId="21" applyNumberFormat="1" applyFont="1" applyFill="1" applyBorder="1" applyAlignment="1">
      <alignment horizontal="center"/>
      <protection/>
    </xf>
    <xf numFmtId="164" fontId="1" fillId="4" borderId="2" xfId="21" applyNumberFormat="1" applyFont="1" applyFill="1" applyBorder="1" applyAlignment="1">
      <alignment horizontal="center"/>
      <protection/>
    </xf>
    <xf numFmtId="0" fontId="1" fillId="4" borderId="2" xfId="21" applyFont="1" applyFill="1" applyBorder="1" applyAlignment="1">
      <alignment horizontal="center" wrapText="1"/>
      <protection/>
    </xf>
    <xf numFmtId="0" fontId="1" fillId="0" borderId="2" xfId="21" applyFont="1" applyBorder="1" applyAlignment="1">
      <alignment horizontal="center" wrapText="1"/>
      <protection/>
    </xf>
    <xf numFmtId="2" fontId="1" fillId="0" borderId="2" xfId="21" applyNumberFormat="1" applyFont="1" applyFill="1" applyBorder="1" applyAlignment="1">
      <alignment horizontal="center" wrapText="1"/>
      <protection/>
    </xf>
    <xf numFmtId="0" fontId="1" fillId="0" borderId="2" xfId="21" applyFont="1" applyFill="1" applyBorder="1" applyAlignment="1">
      <alignment horizontal="center" wrapText="1"/>
      <protection/>
    </xf>
    <xf numFmtId="0" fontId="1" fillId="18" borderId="2" xfId="21" applyFont="1" applyFill="1" applyBorder="1" applyAlignment="1">
      <alignment horizontal="left" wrapText="1"/>
      <protection/>
    </xf>
    <xf numFmtId="0" fontId="1" fillId="3" borderId="2" xfId="21" applyFont="1" applyFill="1" applyBorder="1">
      <alignment/>
      <protection/>
    </xf>
    <xf numFmtId="0" fontId="1" fillId="3" borderId="2" xfId="2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" fillId="19" borderId="2" xfId="21" applyFont="1" applyFill="1" applyBorder="1" applyAlignment="1">
      <alignment horizontal="center" wrapText="1"/>
      <protection/>
    </xf>
    <xf numFmtId="0" fontId="1" fillId="16" borderId="2" xfId="21" applyFont="1" applyFill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lbc8_modules" xfId="21"/>
    <cellStyle name="Percent" xfId="22"/>
    <cellStyle name="標準_lbc8_modules_module-layout-templat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workbookViewId="0" topLeftCell="A1">
      <pane xSplit="4" ySplit="2" topLeftCell="S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U17" sqref="U17"/>
    </sheetView>
  </sheetViews>
  <sheetFormatPr defaultColWidth="9.140625" defaultRowHeight="12.75"/>
  <cols>
    <col min="1" max="1" width="11.28125" style="24" customWidth="1"/>
    <col min="2" max="2" width="15.28125" style="24" bestFit="1" customWidth="1"/>
    <col min="3" max="3" width="3.8515625" style="26" bestFit="1" customWidth="1"/>
    <col min="4" max="4" width="20.00390625" style="24" customWidth="1"/>
    <col min="5" max="18" width="9.140625" style="26" customWidth="1"/>
    <col min="19" max="20" width="9.140625" style="24" customWidth="1"/>
    <col min="21" max="21" width="9.140625" style="25" customWidth="1"/>
    <col min="22" max="22" width="15.7109375" style="24" bestFit="1" customWidth="1"/>
    <col min="23" max="23" width="12.57421875" style="24" bestFit="1" customWidth="1"/>
    <col min="24" max="96" width="9.140625" style="27" customWidth="1"/>
    <col min="97" max="16384" width="9.140625" style="24" customWidth="1"/>
  </cols>
  <sheetData>
    <row r="1" spans="2:11" ht="12.75">
      <c r="B1" s="25" t="s">
        <v>59</v>
      </c>
      <c r="K1" s="26" t="s">
        <v>60</v>
      </c>
    </row>
    <row r="2" spans="1:27" ht="45">
      <c r="A2" s="67" t="s">
        <v>31</v>
      </c>
      <c r="B2" s="67" t="s">
        <v>28</v>
      </c>
      <c r="C2" s="67" t="s">
        <v>29</v>
      </c>
      <c r="D2" s="67" t="s">
        <v>30</v>
      </c>
      <c r="E2" s="68" t="s">
        <v>312</v>
      </c>
      <c r="F2" s="68" t="s">
        <v>313</v>
      </c>
      <c r="G2" s="68" t="s">
        <v>314</v>
      </c>
      <c r="H2" s="68" t="s">
        <v>40</v>
      </c>
      <c r="I2" s="68" t="s">
        <v>257</v>
      </c>
      <c r="J2" s="68" t="s">
        <v>41</v>
      </c>
      <c r="K2" s="69" t="s">
        <v>239</v>
      </c>
      <c r="L2" s="69" t="s">
        <v>240</v>
      </c>
      <c r="M2" s="69" t="s">
        <v>241</v>
      </c>
      <c r="N2" s="69" t="s">
        <v>42</v>
      </c>
      <c r="O2" s="69" t="s">
        <v>43</v>
      </c>
      <c r="P2" s="69" t="s">
        <v>242</v>
      </c>
      <c r="Q2" s="69" t="s">
        <v>243</v>
      </c>
      <c r="R2" s="70" t="s">
        <v>244</v>
      </c>
      <c r="S2" s="70" t="s">
        <v>245</v>
      </c>
      <c r="T2" s="70" t="s">
        <v>246</v>
      </c>
      <c r="U2" s="70" t="s">
        <v>247</v>
      </c>
      <c r="V2" s="71" t="s">
        <v>248</v>
      </c>
      <c r="W2" s="71" t="s">
        <v>249</v>
      </c>
      <c r="X2" s="71" t="s">
        <v>315</v>
      </c>
      <c r="Y2" s="71" t="s">
        <v>316</v>
      </c>
      <c r="Z2" s="71" t="s">
        <v>317</v>
      </c>
      <c r="AA2" s="71" t="s">
        <v>250</v>
      </c>
    </row>
    <row r="3" spans="1:27" ht="22.5">
      <c r="A3" s="81" t="s">
        <v>251</v>
      </c>
      <c r="B3" s="82" t="s">
        <v>361</v>
      </c>
      <c r="C3" s="83">
        <v>1</v>
      </c>
      <c r="D3" s="72" t="s">
        <v>362</v>
      </c>
      <c r="E3" s="73">
        <v>19</v>
      </c>
      <c r="F3" s="73">
        <v>2</v>
      </c>
      <c r="G3" s="73">
        <v>11</v>
      </c>
      <c r="H3" s="73">
        <v>20</v>
      </c>
      <c r="I3" s="73">
        <v>10</v>
      </c>
      <c r="J3" s="73">
        <v>1</v>
      </c>
      <c r="K3" s="74">
        <f aca="true" t="shared" si="0" ref="K3:K10">Q3+R3+T3</f>
        <v>1</v>
      </c>
      <c r="L3" s="75">
        <v>20</v>
      </c>
      <c r="M3" s="76">
        <f>0.15+0.3+P3+K3+0.1</f>
        <v>1.85</v>
      </c>
      <c r="N3" s="77">
        <v>2</v>
      </c>
      <c r="O3" s="77">
        <v>1</v>
      </c>
      <c r="P3" s="85">
        <v>0.3</v>
      </c>
      <c r="Q3" s="78">
        <v>0.6</v>
      </c>
      <c r="R3" s="79">
        <v>0.4</v>
      </c>
      <c r="S3" s="79">
        <f>L3/N3/O3</f>
        <v>10</v>
      </c>
      <c r="T3" s="80">
        <v>0</v>
      </c>
      <c r="U3" s="80">
        <v>0.125</v>
      </c>
      <c r="V3" s="80">
        <v>0.3</v>
      </c>
      <c r="W3" s="80">
        <v>0.75</v>
      </c>
      <c r="X3" s="80" t="s">
        <v>252</v>
      </c>
      <c r="Y3" s="80" t="s">
        <v>252</v>
      </c>
      <c r="Z3" s="78" t="s">
        <v>253</v>
      </c>
      <c r="AA3" s="78" t="s">
        <v>254</v>
      </c>
    </row>
    <row r="4" spans="1:27" ht="22.5">
      <c r="A4" s="81"/>
      <c r="B4" s="82"/>
      <c r="C4" s="83">
        <v>2</v>
      </c>
      <c r="D4" s="81"/>
      <c r="E4" s="73">
        <v>18</v>
      </c>
      <c r="F4" s="73">
        <v>3</v>
      </c>
      <c r="G4" s="73">
        <v>11</v>
      </c>
      <c r="H4" s="73">
        <v>20</v>
      </c>
      <c r="I4" s="73">
        <v>10</v>
      </c>
      <c r="J4" s="73">
        <v>1</v>
      </c>
      <c r="K4" s="74">
        <f t="shared" si="0"/>
        <v>0.95</v>
      </c>
      <c r="L4" s="75">
        <v>20</v>
      </c>
      <c r="M4" s="76">
        <f aca="true" t="shared" si="1" ref="M4:M10">0.15+0.3+P4+K4+0.1</f>
        <v>1.8</v>
      </c>
      <c r="N4" s="77">
        <v>2</v>
      </c>
      <c r="O4" s="77">
        <v>1</v>
      </c>
      <c r="P4" s="85">
        <v>0.3</v>
      </c>
      <c r="Q4" s="78">
        <v>0.6</v>
      </c>
      <c r="R4" s="79">
        <v>0.35</v>
      </c>
      <c r="S4" s="79">
        <f aca="true" t="shared" si="2" ref="S4:S10">L4/N4/O4</f>
        <v>10</v>
      </c>
      <c r="T4" s="80">
        <v>0</v>
      </c>
      <c r="U4" s="80">
        <v>0.125</v>
      </c>
      <c r="V4" s="80">
        <v>0.3</v>
      </c>
      <c r="W4" s="80">
        <v>0.75</v>
      </c>
      <c r="X4" s="80" t="s">
        <v>252</v>
      </c>
      <c r="Y4" s="80" t="s">
        <v>252</v>
      </c>
      <c r="Z4" s="78" t="s">
        <v>253</v>
      </c>
      <c r="AA4" s="78" t="s">
        <v>254</v>
      </c>
    </row>
    <row r="5" spans="1:27" ht="22.5">
      <c r="A5" s="81"/>
      <c r="B5" s="82"/>
      <c r="C5" s="83">
        <v>3</v>
      </c>
      <c r="D5" s="81"/>
      <c r="E5" s="73">
        <v>17</v>
      </c>
      <c r="F5" s="73">
        <v>4</v>
      </c>
      <c r="G5" s="73">
        <v>11</v>
      </c>
      <c r="H5" s="73">
        <v>20</v>
      </c>
      <c r="I5" s="73">
        <v>10</v>
      </c>
      <c r="J5" s="73">
        <v>1</v>
      </c>
      <c r="K5" s="74">
        <f t="shared" si="0"/>
        <v>0.8999999999999999</v>
      </c>
      <c r="L5" s="75">
        <v>20</v>
      </c>
      <c r="M5" s="76">
        <f t="shared" si="1"/>
        <v>1.75</v>
      </c>
      <c r="N5" s="77">
        <v>2</v>
      </c>
      <c r="O5" s="77">
        <v>1</v>
      </c>
      <c r="P5" s="85">
        <v>0.3</v>
      </c>
      <c r="Q5" s="78">
        <v>0.6</v>
      </c>
      <c r="R5" s="79">
        <v>0.3</v>
      </c>
      <c r="S5" s="79">
        <f t="shared" si="2"/>
        <v>10</v>
      </c>
      <c r="T5" s="80">
        <v>0</v>
      </c>
      <c r="U5" s="80">
        <v>0.125</v>
      </c>
      <c r="V5" s="80">
        <v>0.3</v>
      </c>
      <c r="W5" s="80">
        <v>0.75</v>
      </c>
      <c r="X5" s="80" t="s">
        <v>252</v>
      </c>
      <c r="Y5" s="80" t="s">
        <v>252</v>
      </c>
      <c r="Z5" s="78" t="s">
        <v>253</v>
      </c>
      <c r="AA5" s="78" t="s">
        <v>254</v>
      </c>
    </row>
    <row r="6" spans="1:27" ht="22.5">
      <c r="A6" s="81"/>
      <c r="B6" s="82"/>
      <c r="C6" s="83">
        <v>4</v>
      </c>
      <c r="D6" s="81" t="s">
        <v>363</v>
      </c>
      <c r="E6" s="73">
        <v>16</v>
      </c>
      <c r="F6" s="73">
        <v>5</v>
      </c>
      <c r="G6" s="73">
        <v>11</v>
      </c>
      <c r="H6" s="73">
        <v>20</v>
      </c>
      <c r="I6" s="73">
        <v>10</v>
      </c>
      <c r="J6" s="73">
        <v>1</v>
      </c>
      <c r="K6" s="74">
        <f t="shared" si="0"/>
        <v>1</v>
      </c>
      <c r="L6" s="75">
        <v>100</v>
      </c>
      <c r="M6" s="76">
        <f t="shared" si="1"/>
        <v>1.85</v>
      </c>
      <c r="N6" s="77">
        <v>10</v>
      </c>
      <c r="O6" s="77">
        <v>1</v>
      </c>
      <c r="P6" s="85">
        <v>0.3</v>
      </c>
      <c r="Q6" s="78">
        <v>0.6</v>
      </c>
      <c r="R6" s="79">
        <v>0.4</v>
      </c>
      <c r="S6" s="79">
        <f t="shared" si="2"/>
        <v>10</v>
      </c>
      <c r="T6" s="80">
        <v>0</v>
      </c>
      <c r="U6" s="80">
        <v>0.125</v>
      </c>
      <c r="V6" s="80">
        <v>0.3</v>
      </c>
      <c r="W6" s="80">
        <v>0.75</v>
      </c>
      <c r="X6" s="80" t="s">
        <v>252</v>
      </c>
      <c r="Y6" s="80" t="s">
        <v>252</v>
      </c>
      <c r="Z6" s="78" t="s">
        <v>253</v>
      </c>
      <c r="AA6" s="78" t="s">
        <v>254</v>
      </c>
    </row>
    <row r="7" spans="1:27" ht="22.5">
      <c r="A7" s="81"/>
      <c r="B7" s="82"/>
      <c r="C7" s="83">
        <v>5</v>
      </c>
      <c r="D7" s="81" t="s">
        <v>363</v>
      </c>
      <c r="E7" s="73">
        <v>15</v>
      </c>
      <c r="F7" s="73">
        <v>6</v>
      </c>
      <c r="G7" s="73">
        <v>11</v>
      </c>
      <c r="H7" s="73">
        <v>20</v>
      </c>
      <c r="I7" s="73">
        <v>10</v>
      </c>
      <c r="J7" s="73">
        <v>1</v>
      </c>
      <c r="K7" s="74">
        <f t="shared" si="0"/>
        <v>1</v>
      </c>
      <c r="L7" s="75">
        <v>100</v>
      </c>
      <c r="M7" s="76">
        <f t="shared" si="1"/>
        <v>1.85</v>
      </c>
      <c r="N7" s="77">
        <v>10</v>
      </c>
      <c r="O7" s="77">
        <v>1</v>
      </c>
      <c r="P7" s="85">
        <v>0.3</v>
      </c>
      <c r="Q7" s="78">
        <v>0.6</v>
      </c>
      <c r="R7" s="79">
        <v>0.4</v>
      </c>
      <c r="S7" s="79">
        <f t="shared" si="2"/>
        <v>10</v>
      </c>
      <c r="T7" s="80">
        <v>0</v>
      </c>
      <c r="U7" s="80">
        <v>0.125</v>
      </c>
      <c r="V7" s="80">
        <v>0.3</v>
      </c>
      <c r="W7" s="80">
        <v>0.75</v>
      </c>
      <c r="X7" s="86" t="s">
        <v>364</v>
      </c>
      <c r="Y7" s="80" t="s">
        <v>252</v>
      </c>
      <c r="Z7" s="78" t="s">
        <v>253</v>
      </c>
      <c r="AA7" s="78" t="s">
        <v>254</v>
      </c>
    </row>
    <row r="8" spans="1:27" ht="22.5">
      <c r="A8" s="81"/>
      <c r="B8" s="82"/>
      <c r="C8" s="83">
        <v>6</v>
      </c>
      <c r="D8" s="81"/>
      <c r="E8" s="73">
        <v>14</v>
      </c>
      <c r="F8" s="73">
        <v>7</v>
      </c>
      <c r="G8" s="73">
        <v>11</v>
      </c>
      <c r="H8" s="73">
        <v>20</v>
      </c>
      <c r="I8" s="73">
        <v>10</v>
      </c>
      <c r="J8" s="73">
        <v>1</v>
      </c>
      <c r="K8" s="74">
        <f t="shared" si="0"/>
        <v>1</v>
      </c>
      <c r="L8" s="75">
        <v>20</v>
      </c>
      <c r="M8" s="76">
        <f t="shared" si="1"/>
        <v>1.85</v>
      </c>
      <c r="N8" s="77">
        <v>2</v>
      </c>
      <c r="O8" s="77">
        <v>1</v>
      </c>
      <c r="P8" s="85">
        <v>0.3</v>
      </c>
      <c r="Q8" s="78">
        <v>0.6</v>
      </c>
      <c r="R8" s="79">
        <v>0.4</v>
      </c>
      <c r="S8" s="79">
        <f t="shared" si="2"/>
        <v>10</v>
      </c>
      <c r="T8" s="80">
        <v>0</v>
      </c>
      <c r="U8" s="80">
        <v>0.125</v>
      </c>
      <c r="V8" s="80">
        <v>0.3</v>
      </c>
      <c r="W8" s="80">
        <v>0.75</v>
      </c>
      <c r="X8" s="86" t="s">
        <v>364</v>
      </c>
      <c r="Y8" s="80" t="s">
        <v>252</v>
      </c>
      <c r="Z8" s="78" t="s">
        <v>253</v>
      </c>
      <c r="AA8" s="78" t="s">
        <v>254</v>
      </c>
    </row>
    <row r="9" spans="1:27" ht="22.5">
      <c r="A9" s="81"/>
      <c r="B9" s="82"/>
      <c r="C9" s="83">
        <v>7</v>
      </c>
      <c r="D9" s="81"/>
      <c r="E9" s="73">
        <v>13</v>
      </c>
      <c r="F9" s="73">
        <v>8</v>
      </c>
      <c r="G9" s="73">
        <v>11</v>
      </c>
      <c r="H9" s="73">
        <v>20</v>
      </c>
      <c r="I9" s="73">
        <v>10</v>
      </c>
      <c r="J9" s="73">
        <v>1</v>
      </c>
      <c r="K9" s="74">
        <f t="shared" si="0"/>
        <v>0.95</v>
      </c>
      <c r="L9" s="75">
        <v>20</v>
      </c>
      <c r="M9" s="76">
        <f t="shared" si="1"/>
        <v>1.8</v>
      </c>
      <c r="N9" s="77">
        <v>2</v>
      </c>
      <c r="O9" s="77">
        <v>1</v>
      </c>
      <c r="P9" s="85">
        <v>0.3</v>
      </c>
      <c r="Q9" s="78">
        <v>0.6</v>
      </c>
      <c r="R9" s="79">
        <v>0.35</v>
      </c>
      <c r="S9" s="79">
        <f t="shared" si="2"/>
        <v>10</v>
      </c>
      <c r="T9" s="80">
        <v>0</v>
      </c>
      <c r="U9" s="80">
        <v>0.125</v>
      </c>
      <c r="V9" s="80">
        <v>0.3</v>
      </c>
      <c r="W9" s="80">
        <v>0.75</v>
      </c>
      <c r="X9" s="86" t="s">
        <v>364</v>
      </c>
      <c r="Y9" s="80" t="s">
        <v>252</v>
      </c>
      <c r="Z9" s="78" t="s">
        <v>253</v>
      </c>
      <c r="AA9" s="78" t="s">
        <v>254</v>
      </c>
    </row>
    <row r="10" spans="1:27" ht="22.5">
      <c r="A10" s="81"/>
      <c r="B10" s="82"/>
      <c r="C10" s="83">
        <v>8</v>
      </c>
      <c r="D10" s="81"/>
      <c r="E10" s="73">
        <v>12</v>
      </c>
      <c r="F10" s="73">
        <v>9</v>
      </c>
      <c r="G10" s="73">
        <v>11</v>
      </c>
      <c r="H10" s="73">
        <v>20</v>
      </c>
      <c r="I10" s="73">
        <v>10</v>
      </c>
      <c r="J10" s="73">
        <v>1</v>
      </c>
      <c r="K10" s="74">
        <f t="shared" si="0"/>
        <v>0.8999999999999999</v>
      </c>
      <c r="L10" s="75">
        <v>20</v>
      </c>
      <c r="M10" s="76">
        <f t="shared" si="1"/>
        <v>1.75</v>
      </c>
      <c r="N10" s="77">
        <v>2</v>
      </c>
      <c r="O10" s="77">
        <v>1</v>
      </c>
      <c r="P10" s="85">
        <v>0.3</v>
      </c>
      <c r="Q10" s="78">
        <v>0.6</v>
      </c>
      <c r="R10" s="79">
        <v>0.3</v>
      </c>
      <c r="S10" s="79">
        <f t="shared" si="2"/>
        <v>10</v>
      </c>
      <c r="T10" s="80">
        <v>0</v>
      </c>
      <c r="U10" s="80">
        <v>0.125</v>
      </c>
      <c r="V10" s="80">
        <v>0.3</v>
      </c>
      <c r="W10" s="80">
        <v>0.75</v>
      </c>
      <c r="X10" s="86" t="s">
        <v>364</v>
      </c>
      <c r="Y10" s="80" t="s">
        <v>252</v>
      </c>
      <c r="Z10" s="78" t="s">
        <v>253</v>
      </c>
      <c r="AA10" s="78" t="s">
        <v>254</v>
      </c>
    </row>
    <row r="11" ht="11.25" customHeight="1">
      <c r="U11" s="84"/>
    </row>
    <row r="12" ht="11.25" customHeight="1">
      <c r="U12" s="84"/>
    </row>
    <row r="13" ht="11.25" customHeight="1">
      <c r="U13" s="84"/>
    </row>
    <row r="14" ht="11.25" customHeight="1">
      <c r="U14" s="84"/>
    </row>
    <row r="15" ht="11.25" customHeight="1">
      <c r="U15" s="84"/>
    </row>
    <row r="16" ht="11.25" customHeight="1">
      <c r="U16" s="84"/>
    </row>
    <row r="17" ht="11.25" customHeight="1">
      <c r="U17" s="84"/>
    </row>
    <row r="18" ht="11.25" customHeight="1">
      <c r="U18" s="84"/>
    </row>
    <row r="22" ht="11.25" customHeight="1">
      <c r="U22" s="84"/>
    </row>
    <row r="23" ht="11.25" customHeight="1">
      <c r="U23" s="8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1"/>
  <sheetViews>
    <sheetView tabSelected="1" workbookViewId="0" topLeftCell="E49">
      <selection activeCell="E57" sqref="E57"/>
    </sheetView>
  </sheetViews>
  <sheetFormatPr defaultColWidth="9.140625" defaultRowHeight="12.75"/>
  <cols>
    <col min="3" max="3" width="46.8515625" style="0" bestFit="1" customWidth="1"/>
    <col min="4" max="4" width="44.140625" style="0" customWidth="1"/>
    <col min="5" max="5" width="23.140625" style="0" bestFit="1" customWidth="1"/>
    <col min="6" max="6" width="13.8515625" style="0" customWidth="1"/>
    <col min="7" max="8" width="14.00390625" style="0" customWidth="1"/>
    <col min="9" max="9" width="13.7109375" style="0" customWidth="1"/>
    <col min="10" max="10" width="15.28125" style="0" customWidth="1"/>
    <col min="11" max="11" width="14.00390625" style="29" customWidth="1"/>
    <col min="12" max="12" width="14.28125" style="29" customWidth="1"/>
    <col min="13" max="23" width="9.140625" style="29" customWidth="1"/>
  </cols>
  <sheetData>
    <row r="1" spans="1:4" ht="20.25">
      <c r="A1" s="1"/>
      <c r="B1" s="2"/>
      <c r="C1" s="2"/>
      <c r="D1" s="3" t="s">
        <v>0</v>
      </c>
    </row>
    <row r="2" spans="1:4" ht="18">
      <c r="A2" s="1"/>
      <c r="B2" s="2"/>
      <c r="C2" s="2"/>
      <c r="D2" s="4" t="s">
        <v>67</v>
      </c>
    </row>
    <row r="4" spans="1:4" ht="15.75">
      <c r="A4" s="1" t="s">
        <v>66</v>
      </c>
      <c r="B4" s="2"/>
      <c r="C4" s="2"/>
      <c r="D4" s="1"/>
    </row>
    <row r="5" spans="1:4" ht="15.75">
      <c r="A5" s="1" t="s">
        <v>165</v>
      </c>
      <c r="B5" s="2"/>
      <c r="C5" s="2"/>
      <c r="D5" s="1"/>
    </row>
    <row r="6" spans="1:3" ht="15.75">
      <c r="A6" s="5" t="s">
        <v>166</v>
      </c>
      <c r="B6" s="6"/>
      <c r="C6" s="6"/>
    </row>
    <row r="7" spans="1:3" ht="15.75">
      <c r="A7" s="5" t="s">
        <v>359</v>
      </c>
      <c r="B7" s="6"/>
      <c r="C7" s="6"/>
    </row>
    <row r="10" spans="1:4" ht="15.75">
      <c r="A10" s="1" t="s">
        <v>1</v>
      </c>
      <c r="B10" s="2"/>
      <c r="C10" s="2"/>
      <c r="D10" s="1"/>
    </row>
    <row r="11" spans="1:4" ht="15.75">
      <c r="A11" s="7"/>
      <c r="B11" s="2"/>
      <c r="C11" s="2"/>
      <c r="D11" s="1"/>
    </row>
    <row r="13" spans="1:4" ht="15.75">
      <c r="A13" s="1" t="s">
        <v>2</v>
      </c>
      <c r="B13" s="2"/>
      <c r="C13" s="2"/>
      <c r="D13" s="1"/>
    </row>
    <row r="14" spans="1:4" ht="15.75">
      <c r="A14" s="7"/>
      <c r="B14" s="2"/>
      <c r="C14" s="2"/>
      <c r="D14" s="1"/>
    </row>
    <row r="16" spans="1:4" ht="15.75">
      <c r="A16" s="1" t="s">
        <v>3</v>
      </c>
      <c r="B16" s="2"/>
      <c r="C16" s="2"/>
      <c r="D16" s="1"/>
    </row>
    <row r="19" spans="1:10" ht="15.75">
      <c r="A19" s="1" t="s">
        <v>4</v>
      </c>
      <c r="B19" s="2"/>
      <c r="C19" s="2"/>
      <c r="D19" s="1"/>
      <c r="E19" s="1"/>
      <c r="F19" s="1"/>
      <c r="G19" s="1"/>
      <c r="H19" s="1"/>
      <c r="I19" s="1"/>
      <c r="J19" s="1"/>
    </row>
    <row r="22" spans="1:10" ht="16.5" thickBot="1">
      <c r="A22" s="1" t="s">
        <v>64</v>
      </c>
      <c r="B22" s="2"/>
      <c r="C22" s="2"/>
      <c r="D22" s="1"/>
      <c r="E22" s="1"/>
      <c r="F22" s="1"/>
      <c r="G22" s="1"/>
      <c r="H22" s="1"/>
      <c r="I22" s="1"/>
      <c r="J22" s="1"/>
    </row>
    <row r="23" spans="1:12" ht="16.5" thickBot="1">
      <c r="A23" s="8" t="s">
        <v>5</v>
      </c>
      <c r="B23" s="9" t="s">
        <v>6</v>
      </c>
      <c r="C23" s="8" t="s">
        <v>33</v>
      </c>
      <c r="D23" s="8" t="s">
        <v>7</v>
      </c>
      <c r="E23" s="8" t="s">
        <v>8</v>
      </c>
      <c r="F23" s="8" t="s">
        <v>9</v>
      </c>
      <c r="G23" s="8" t="s">
        <v>10</v>
      </c>
      <c r="H23" s="8" t="s">
        <v>11</v>
      </c>
      <c r="I23" s="8" t="s">
        <v>12</v>
      </c>
      <c r="J23" s="8" t="s">
        <v>13</v>
      </c>
      <c r="K23" s="8" t="s">
        <v>255</v>
      </c>
      <c r="L23" s="8" t="s">
        <v>256</v>
      </c>
    </row>
    <row r="24" spans="1:12" ht="16.5" thickBot="1">
      <c r="A24" s="10" t="s">
        <v>14</v>
      </c>
      <c r="B24" s="11" t="s">
        <v>15</v>
      </c>
      <c r="C24" s="10" t="s">
        <v>50</v>
      </c>
      <c r="D24" s="10" t="s">
        <v>49</v>
      </c>
      <c r="E24" s="28">
        <f>HLOOKUP("pin 
Source",spec!$A$2:$W$426,COLUMN(B2),0)</f>
        <v>19</v>
      </c>
      <c r="F24" s="28">
        <f>HLOOKUP("pin 
Source",spec!$A$2:$W$426,COLUMN(C2),0)</f>
        <v>18</v>
      </c>
      <c r="G24" s="28">
        <f>HLOOKUP("pin 
Source",spec!$A$2:$W$426,COLUMN(D2),0)</f>
        <v>17</v>
      </c>
      <c r="H24" s="28">
        <f>HLOOKUP("pin 
Source",spec!$A$2:$W$426,COLUMN(E2),0)</f>
        <v>16</v>
      </c>
      <c r="I24" s="28">
        <f>HLOOKUP("pin 
Source",spec!$A$2:$W$426,COLUMN(F2),0)</f>
        <v>15</v>
      </c>
      <c r="J24" s="28">
        <f>HLOOKUP("pin 
Source",spec!$A$2:$W$426,COLUMN(G2),0)</f>
        <v>14</v>
      </c>
      <c r="K24" s="28">
        <f>HLOOKUP("pin 
Source",spec!$A$2:$W$426,COLUMN(H2),0)</f>
        <v>13</v>
      </c>
      <c r="L24" s="28">
        <f>HLOOKUP("pin 
Source",spec!$A$2:$W$426,COLUMN(I2),0)</f>
        <v>12</v>
      </c>
    </row>
    <row r="25" spans="1:12" ht="16.5" thickBot="1">
      <c r="A25" s="10" t="s">
        <v>14</v>
      </c>
      <c r="B25" s="11" t="s">
        <v>16</v>
      </c>
      <c r="C25" s="10" t="s">
        <v>51</v>
      </c>
      <c r="D25" s="10" t="s">
        <v>47</v>
      </c>
      <c r="E25" s="28">
        <f>HLOOKUP("pin 
Drain",spec!$A$2:$W$426,COLUMN(B3),0)</f>
        <v>2</v>
      </c>
      <c r="F25" s="28">
        <f>HLOOKUP("pin 
Drain",spec!$A$2:$W$426,COLUMN(C3),0)</f>
        <v>3</v>
      </c>
      <c r="G25" s="28">
        <f>HLOOKUP("pin 
Drain",spec!$A$2:$W$426,COLUMN(D3),0)</f>
        <v>4</v>
      </c>
      <c r="H25" s="28">
        <f>HLOOKUP("pin 
Drain",spec!$A$2:$W$426,COLUMN(E3),0)</f>
        <v>5</v>
      </c>
      <c r="I25" s="28">
        <f>HLOOKUP("pin 
Drain",spec!$A$2:$W$426,COLUMN(F3),0)</f>
        <v>6</v>
      </c>
      <c r="J25" s="28">
        <f>HLOOKUP("pin 
Drain",spec!$A$2:$W$426,COLUMN(G3),0)</f>
        <v>7</v>
      </c>
      <c r="K25" s="28">
        <f>HLOOKUP("pin 
Drain",spec!$A$2:$W$426,COLUMN(H3),0)</f>
        <v>8</v>
      </c>
      <c r="L25" s="28">
        <f>HLOOKUP("pin 
Drain",spec!$A$2:$W$426,COLUMN(I3),0)</f>
        <v>9</v>
      </c>
    </row>
    <row r="26" spans="1:12" ht="16.5" thickBot="1">
      <c r="A26" s="10" t="s">
        <v>14</v>
      </c>
      <c r="B26" s="11" t="s">
        <v>17</v>
      </c>
      <c r="C26" s="10" t="s">
        <v>52</v>
      </c>
      <c r="D26" s="10" t="s">
        <v>44</v>
      </c>
      <c r="E26" s="28">
        <f>HLOOKUP("pin 
Gate",spec!$A$2:$W$426,COLUMN(B4),0)</f>
        <v>11</v>
      </c>
      <c r="F26" s="28">
        <f>HLOOKUP("pin 
Gate",spec!$A$2:$W$426,COLUMN(C4),0)</f>
        <v>11</v>
      </c>
      <c r="G26" s="28">
        <f>HLOOKUP("pin 
Gate",spec!$A$2:$W$426,COLUMN(D4),0)</f>
        <v>11</v>
      </c>
      <c r="H26" s="28">
        <f>HLOOKUP("pin 
Gate",spec!$A$2:$W$426,COLUMN(E4),0)</f>
        <v>11</v>
      </c>
      <c r="I26" s="28">
        <f>HLOOKUP("pin 
Gate",spec!$A$2:$W$426,COLUMN(F4),0)</f>
        <v>11</v>
      </c>
      <c r="J26" s="28">
        <f>HLOOKUP("pin 
Gate",spec!$A$2:$W$426,COLUMN(G4),0)</f>
        <v>11</v>
      </c>
      <c r="K26" s="28">
        <f>HLOOKUP("pin 
Gate",spec!$A$2:$W$426,COLUMN(H4),0)</f>
        <v>11</v>
      </c>
      <c r="L26" s="28">
        <f>HLOOKUP("pin 
Gate",spec!$A$2:$W$426,COLUMN(I4),0)</f>
        <v>11</v>
      </c>
    </row>
    <row r="27" spans="1:12" ht="16.5" thickBot="1">
      <c r="A27" s="10" t="s">
        <v>14</v>
      </c>
      <c r="B27" s="11" t="s">
        <v>18</v>
      </c>
      <c r="C27" s="10" t="s">
        <v>53</v>
      </c>
      <c r="D27" s="10" t="s">
        <v>48</v>
      </c>
      <c r="E27" s="28">
        <f>HLOOKUP("pin Backgate",spec!$A$2:$W$426,COLUMN(B5),0)</f>
        <v>20</v>
      </c>
      <c r="F27" s="28">
        <f>HLOOKUP("pin Backgate",spec!$A$2:$W$426,COLUMN(C5),0)</f>
        <v>20</v>
      </c>
      <c r="G27" s="28">
        <f>HLOOKUP("pin Backgate",spec!$A$2:$W$426,COLUMN(D5),0)</f>
        <v>20</v>
      </c>
      <c r="H27" s="28">
        <f>HLOOKUP("pin Backgate",spec!$A$2:$W$426,COLUMN(E5),0)</f>
        <v>20</v>
      </c>
      <c r="I27" s="28">
        <f>HLOOKUP("pin Backgate",spec!$A$2:$W$426,COLUMN(F5),0)</f>
        <v>20</v>
      </c>
      <c r="J27" s="28">
        <f>HLOOKUP("pin Backgate",spec!$A$2:$W$426,COLUMN(G5),0)</f>
        <v>20</v>
      </c>
      <c r="K27" s="28">
        <f>HLOOKUP("pin Backgate",spec!$A$2:$W$426,COLUMN(H5),0)</f>
        <v>20</v>
      </c>
      <c r="L27" s="28">
        <f>HLOOKUP("pin Backgate",spec!$A$2:$W$426,COLUMN(I5),0)</f>
        <v>20</v>
      </c>
    </row>
    <row r="28" spans="1:12" ht="16.5" thickBot="1">
      <c r="A28" s="10" t="s">
        <v>14</v>
      </c>
      <c r="B28" s="11" t="s">
        <v>19</v>
      </c>
      <c r="C28" s="10" t="s">
        <v>53</v>
      </c>
      <c r="D28" s="10" t="s">
        <v>183</v>
      </c>
      <c r="E28" s="28">
        <f>HLOOKUP("pin tank",spec!$A$2:$W$426,COLUMN(B6),0)</f>
        <v>10</v>
      </c>
      <c r="F28" s="28">
        <f>HLOOKUP("pin tank",spec!$A$2:$W$426,COLUMN(C6),0)</f>
        <v>10</v>
      </c>
      <c r="G28" s="28">
        <f>HLOOKUP("pin tank",spec!$A$2:$W$426,COLUMN(D6),0)</f>
        <v>10</v>
      </c>
      <c r="H28" s="28">
        <f>HLOOKUP("pin tank",spec!$A$2:$W$426,COLUMN(E6),0)</f>
        <v>10</v>
      </c>
      <c r="I28" s="28">
        <f>HLOOKUP("pin tank",spec!$A$2:$W$426,COLUMN(F6),0)</f>
        <v>10</v>
      </c>
      <c r="J28" s="28">
        <f>HLOOKUP("pin tank",spec!$A$2:$W$426,COLUMN(G6),0)</f>
        <v>10</v>
      </c>
      <c r="K28" s="28">
        <f>HLOOKUP("pin tank",spec!$A$2:$W$426,COLUMN(H6),0)</f>
        <v>10</v>
      </c>
      <c r="L28" s="28">
        <f>HLOOKUP("pin tank",spec!$A$2:$W$426,COLUMN(I6),0)</f>
        <v>10</v>
      </c>
    </row>
    <row r="29" spans="1:12" ht="16.5" thickBot="1">
      <c r="A29" s="10" t="s">
        <v>14</v>
      </c>
      <c r="B29" s="11" t="s">
        <v>191</v>
      </c>
      <c r="C29" s="10" t="s">
        <v>54</v>
      </c>
      <c r="D29" s="10" t="s">
        <v>55</v>
      </c>
      <c r="E29" s="28">
        <f>HLOOKUP("pin Substrate",spec!$A$2:$W$426,COLUMN(B6),0)</f>
        <v>1</v>
      </c>
      <c r="F29" s="28">
        <f>HLOOKUP("pin Substrate",spec!$A$2:$W$426,COLUMN(C6),0)</f>
        <v>1</v>
      </c>
      <c r="G29" s="28">
        <f>HLOOKUP("pin Substrate",spec!$A$2:$W$426,COLUMN(D6),0)</f>
        <v>1</v>
      </c>
      <c r="H29" s="28">
        <f>HLOOKUP("pin Substrate",spec!$A$2:$W$426,COLUMN(E6),0)</f>
        <v>1</v>
      </c>
      <c r="I29" s="28">
        <f>HLOOKUP("pin Substrate",spec!$A$2:$W$426,COLUMN(F6),0)</f>
        <v>1</v>
      </c>
      <c r="J29" s="28">
        <f>HLOOKUP("pin Substrate",spec!$A$2:$W$426,COLUMN(G6),0)</f>
        <v>1</v>
      </c>
      <c r="K29" s="28">
        <f>HLOOKUP("pin Substrate",spec!$A$2:$W$426,COLUMN(H6),0)</f>
        <v>1</v>
      </c>
      <c r="L29" s="28">
        <f>HLOOKUP("pin Substrate",spec!$A$2:$W$426,COLUMN(I6),0)</f>
        <v>1</v>
      </c>
    </row>
    <row r="30" spans="1:10" ht="15.75">
      <c r="A30" s="13" t="s">
        <v>20</v>
      </c>
      <c r="B30" s="2"/>
      <c r="C30" s="2"/>
      <c r="D30" s="1"/>
      <c r="E30" s="1"/>
      <c r="F30" s="1"/>
      <c r="G30" s="1"/>
      <c r="H30" s="1"/>
      <c r="I30" s="1"/>
      <c r="J30" s="1"/>
    </row>
    <row r="33" spans="1:10" ht="15.75">
      <c r="A33" s="1" t="s">
        <v>21</v>
      </c>
      <c r="B33" s="2"/>
      <c r="C33" s="2"/>
      <c r="D33" s="1"/>
      <c r="E33" s="1"/>
      <c r="F33" s="1"/>
      <c r="G33" s="1"/>
      <c r="H33" s="1"/>
      <c r="I33" s="1"/>
      <c r="J33" s="1"/>
    </row>
    <row r="36" spans="1:10" ht="15.75">
      <c r="A36" s="1" t="s">
        <v>22</v>
      </c>
      <c r="B36" s="2"/>
      <c r="C36" s="2"/>
      <c r="D36" s="1"/>
      <c r="E36" s="1"/>
      <c r="F36" s="1"/>
      <c r="G36" s="1"/>
      <c r="H36" s="1"/>
      <c r="I36" s="1"/>
      <c r="J36" s="1"/>
    </row>
    <row r="40" spans="1:10" ht="16.5" thickBot="1">
      <c r="A40" s="1" t="s">
        <v>63</v>
      </c>
      <c r="B40" s="2"/>
      <c r="C40" s="2"/>
      <c r="D40" s="1"/>
      <c r="E40" s="1"/>
      <c r="F40" s="1"/>
      <c r="G40" s="1"/>
      <c r="H40" s="1"/>
      <c r="I40" s="1"/>
      <c r="J40" s="1"/>
    </row>
    <row r="41" spans="1:23" ht="15.75">
      <c r="A41" s="15" t="s">
        <v>5</v>
      </c>
      <c r="B41" s="43" t="s">
        <v>6</v>
      </c>
      <c r="C41" s="15" t="s">
        <v>33</v>
      </c>
      <c r="D41" s="44" t="s">
        <v>7</v>
      </c>
      <c r="E41" s="15" t="s">
        <v>8</v>
      </c>
      <c r="F41" s="15" t="s">
        <v>9</v>
      </c>
      <c r="G41" s="15" t="s">
        <v>10</v>
      </c>
      <c r="H41" s="15" t="s">
        <v>11</v>
      </c>
      <c r="I41" s="15" t="s">
        <v>12</v>
      </c>
      <c r="J41" s="15" t="s">
        <v>13</v>
      </c>
      <c r="K41" s="15" t="s">
        <v>255</v>
      </c>
      <c r="L41" s="15" t="s">
        <v>256</v>
      </c>
      <c r="P41"/>
      <c r="Q41"/>
      <c r="R41"/>
      <c r="S41"/>
      <c r="T41"/>
      <c r="U41"/>
      <c r="V41"/>
      <c r="W41"/>
    </row>
    <row r="42" spans="1:23" ht="15">
      <c r="A42" s="22" t="s">
        <v>6</v>
      </c>
      <c r="B42" s="42" t="s">
        <v>15</v>
      </c>
      <c r="C42" s="22" t="s">
        <v>75</v>
      </c>
      <c r="D42" s="49" t="s">
        <v>76</v>
      </c>
      <c r="E42" s="39" t="str">
        <f>HLOOKUP("Device Type",spec!$A$2:$W$426,COLUMN(B2),0)</f>
        <v>iso_denmos</v>
      </c>
      <c r="F42" s="39" t="str">
        <f>HLOOKUP("Device Type",spec!$A$2:$W$426,COLUMN(B2),0)</f>
        <v>iso_denmos</v>
      </c>
      <c r="G42" s="39" t="str">
        <f>HLOOKUP("Device Type",spec!$A$2:$W$426,COLUMN(B2),0)</f>
        <v>iso_denmos</v>
      </c>
      <c r="H42" s="39" t="str">
        <f>HLOOKUP("Device Type",spec!$A$2:$W$426,COLUMN(B2),0)</f>
        <v>iso_denmos</v>
      </c>
      <c r="I42" s="39" t="str">
        <f>HLOOKUP("Device Type",spec!$A$2:$W$426,COLUMN(B2),0)</f>
        <v>iso_denmos</v>
      </c>
      <c r="J42" s="39" t="str">
        <f>HLOOKUP("Device Type",spec!$A$2:$W$426,COLUMN(B2),0)</f>
        <v>iso_denmos</v>
      </c>
      <c r="K42" s="39" t="str">
        <f>HLOOKUP("Device Type",spec!$A$2:$W$426,COLUMN(B2),0)</f>
        <v>iso_denmos</v>
      </c>
      <c r="L42" s="39" t="str">
        <f>HLOOKUP("Device Type",spec!$A$2:$W$426,COLUMN(B2),0)</f>
        <v>iso_denmos</v>
      </c>
      <c r="P42"/>
      <c r="Q42"/>
      <c r="R42"/>
      <c r="S42"/>
      <c r="T42"/>
      <c r="U42"/>
      <c r="V42"/>
      <c r="W42"/>
    </row>
    <row r="43" spans="1:23" ht="15">
      <c r="A43" s="22" t="s">
        <v>6</v>
      </c>
      <c r="B43" s="42" t="s">
        <v>16</v>
      </c>
      <c r="C43" s="22" t="s">
        <v>78</v>
      </c>
      <c r="D43" s="49" t="s">
        <v>79</v>
      </c>
      <c r="E43" s="62">
        <f>ROUND(HLOOKUP("Nfi",spec!$A$2:$W$426,COLUMN(B2),0)/2,0)</f>
        <v>1</v>
      </c>
      <c r="F43" s="62">
        <f>ROUND(HLOOKUP("Nfi",spec!$A$2:$W$426,COLUMN(C2),0)/2,0)</f>
        <v>1</v>
      </c>
      <c r="G43" s="62">
        <f>ROUND(HLOOKUP("Nfi",spec!$A$2:$W$426,COLUMN(D2),0)/2,0)</f>
        <v>1</v>
      </c>
      <c r="H43" s="62">
        <f>ROUND(HLOOKUP("Nfi",spec!$A$2:$W$426,COLUMN(E2),0)/2,0)</f>
        <v>5</v>
      </c>
      <c r="I43" s="62">
        <f>ROUND(HLOOKUP("Nfi",spec!$A$2:$W$426,COLUMN(F2),0)/2,0)</f>
        <v>5</v>
      </c>
      <c r="J43" s="62">
        <f>ROUND(HLOOKUP("Nfi",spec!$A$2:$W$426,COLUMN(G2),0)/2,0)</f>
        <v>1</v>
      </c>
      <c r="K43" s="62">
        <f>ROUND(HLOOKUP("Nfi",spec!$A$2:$W$426,COLUMN(H2),0)/2,0)</f>
        <v>1</v>
      </c>
      <c r="L43" s="62">
        <f>ROUND(HLOOKUP("Nfi",spec!$A$2:$W$426,COLUMN(I2),0)/2,0)</f>
        <v>1</v>
      </c>
      <c r="P43"/>
      <c r="Q43"/>
      <c r="R43"/>
      <c r="S43"/>
      <c r="T43"/>
      <c r="U43"/>
      <c r="V43"/>
      <c r="W43"/>
    </row>
    <row r="44" spans="1:23" ht="15">
      <c r="A44" s="22" t="s">
        <v>6</v>
      </c>
      <c r="B44" s="42" t="s">
        <v>17</v>
      </c>
      <c r="C44" s="22" t="s">
        <v>80</v>
      </c>
      <c r="D44" s="49" t="s">
        <v>188</v>
      </c>
      <c r="E44" s="62">
        <f>HLOOKUP("Ndev",spec!$A$2:$W$426,COLUMN(B3),0)</f>
        <v>1</v>
      </c>
      <c r="F44" s="62">
        <f>HLOOKUP("Ndev",spec!$A$2:$W$426,COLUMN(C3),0)</f>
        <v>1</v>
      </c>
      <c r="G44" s="62">
        <f>HLOOKUP("Ndev",spec!$A$2:$W$426,COLUMN(D3),0)</f>
        <v>1</v>
      </c>
      <c r="H44" s="62">
        <f>HLOOKUP("Ndev",spec!$A$2:$W$426,COLUMN(E3),0)</f>
        <v>1</v>
      </c>
      <c r="I44" s="62">
        <f>HLOOKUP("Ndev",spec!$A$2:$W$426,COLUMN(F3),0)</f>
        <v>1</v>
      </c>
      <c r="J44" s="62">
        <f>HLOOKUP("Ndev",spec!$A$2:$W$426,COLUMN(G3),0)</f>
        <v>1</v>
      </c>
      <c r="K44" s="62">
        <f>HLOOKUP("Ndev",spec!$A$2:$W$426,COLUMN(H3),0)</f>
        <v>1</v>
      </c>
      <c r="L44" s="62">
        <f>HLOOKUP("Ndev",spec!$A$2:$W$426,COLUMN(I3),0)</f>
        <v>1</v>
      </c>
      <c r="P44"/>
      <c r="Q44"/>
      <c r="R44"/>
      <c r="S44"/>
      <c r="T44"/>
      <c r="U44"/>
      <c r="V44"/>
      <c r="W44"/>
    </row>
    <row r="45" spans="1:23" ht="12.75">
      <c r="A45" s="22" t="s">
        <v>6</v>
      </c>
      <c r="B45" s="42" t="s">
        <v>18</v>
      </c>
      <c r="C45" s="22" t="s">
        <v>176</v>
      </c>
      <c r="D45" s="49" t="s">
        <v>173</v>
      </c>
      <c r="E45" s="38" t="s">
        <v>174</v>
      </c>
      <c r="F45" s="38" t="s">
        <v>174</v>
      </c>
      <c r="G45" s="38" t="s">
        <v>174</v>
      </c>
      <c r="H45" s="38" t="s">
        <v>174</v>
      </c>
      <c r="I45" s="38" t="s">
        <v>174</v>
      </c>
      <c r="J45" s="38" t="s">
        <v>174</v>
      </c>
      <c r="K45" s="38" t="s">
        <v>174</v>
      </c>
      <c r="L45" s="38" t="s">
        <v>174</v>
      </c>
      <c r="P45"/>
      <c r="Q45"/>
      <c r="R45"/>
      <c r="S45"/>
      <c r="T45"/>
      <c r="U45"/>
      <c r="V45"/>
      <c r="W45"/>
    </row>
    <row r="46" spans="1:23" ht="12.75">
      <c r="A46" s="22" t="s">
        <v>6</v>
      </c>
      <c r="B46" s="42" t="s">
        <v>19</v>
      </c>
      <c r="C46" s="22" t="s">
        <v>177</v>
      </c>
      <c r="D46" s="49" t="s">
        <v>175</v>
      </c>
      <c r="E46" s="38" t="s">
        <v>172</v>
      </c>
      <c r="F46" s="38" t="s">
        <v>172</v>
      </c>
      <c r="G46" s="38" t="s">
        <v>172</v>
      </c>
      <c r="H46" s="38" t="s">
        <v>172</v>
      </c>
      <c r="I46" s="38" t="s">
        <v>172</v>
      </c>
      <c r="J46" s="38" t="s">
        <v>172</v>
      </c>
      <c r="K46" s="38" t="s">
        <v>172</v>
      </c>
      <c r="L46" s="38" t="s">
        <v>172</v>
      </c>
      <c r="P46"/>
      <c r="Q46"/>
      <c r="R46"/>
      <c r="S46"/>
      <c r="T46"/>
      <c r="U46"/>
      <c r="V46"/>
      <c r="W46"/>
    </row>
    <row r="47" spans="1:23" ht="15">
      <c r="A47" s="22" t="s">
        <v>6</v>
      </c>
      <c r="B47" s="42" t="s">
        <v>191</v>
      </c>
      <c r="C47" s="22" t="s">
        <v>77</v>
      </c>
      <c r="D47" s="49" t="s">
        <v>81</v>
      </c>
      <c r="E47" s="62">
        <f>HLOOKUP("L (du)",spec!$A$2:$W$426,COLUMN(B6),0)</f>
        <v>1</v>
      </c>
      <c r="F47" s="62">
        <f>HLOOKUP("L (du)",spec!$A$2:$W$426,COLUMN(C6),0)</f>
        <v>0.95</v>
      </c>
      <c r="G47" s="62">
        <f>HLOOKUP("L (du)",spec!$A$2:$W$426,COLUMN(D6),0)</f>
        <v>0.8999999999999999</v>
      </c>
      <c r="H47" s="62">
        <f>HLOOKUP("L (du)",spec!$A$2:$W$426,COLUMN(E6),0)</f>
        <v>1</v>
      </c>
      <c r="I47" s="62">
        <f>HLOOKUP("L (du)",spec!$A$2:$W$426,COLUMN(F6),0)</f>
        <v>1</v>
      </c>
      <c r="J47" s="62">
        <f>HLOOKUP("L (du)",spec!$A$2:$W$426,COLUMN(G6),0)</f>
        <v>1</v>
      </c>
      <c r="K47" s="62">
        <f>HLOOKUP("L (du)",spec!$A$2:$W$426,COLUMN(H6),0)</f>
        <v>0.95</v>
      </c>
      <c r="L47" s="62">
        <f>HLOOKUP("L (du)",spec!$A$2:$W$426,COLUMN(I6),0)</f>
        <v>0.8999999999999999</v>
      </c>
      <c r="P47"/>
      <c r="Q47"/>
      <c r="R47"/>
      <c r="S47"/>
      <c r="T47"/>
      <c r="U47"/>
      <c r="V47"/>
      <c r="W47"/>
    </row>
    <row r="48" spans="1:23" ht="15">
      <c r="A48" s="22" t="s">
        <v>6</v>
      </c>
      <c r="B48" s="42" t="s">
        <v>192</v>
      </c>
      <c r="C48" s="22" t="s">
        <v>82</v>
      </c>
      <c r="D48" s="49" t="s">
        <v>83</v>
      </c>
      <c r="E48" s="62">
        <f>HLOOKUP("Wactive",spec!$A$2:$W$426,COLUMN(B2),0)+2*E50</f>
        <v>10.3</v>
      </c>
      <c r="F48" s="62">
        <f>HLOOKUP("Wactive",spec!$A$2:$W$426,COLUMN(C7),0)+2*F50</f>
        <v>10.3</v>
      </c>
      <c r="G48" s="62">
        <f>HLOOKUP("Wactive",spec!$A$2:$W$426,COLUMN(D7),0)+2*G50</f>
        <v>10.3</v>
      </c>
      <c r="H48" s="62">
        <f>HLOOKUP("Wactive",spec!$A$2:$W$426,COLUMN(E7),0)+2*H50</f>
        <v>10.3</v>
      </c>
      <c r="I48" s="62">
        <f>HLOOKUP("Wactive",spec!$A$2:$W$426,COLUMN(F7),0)+2*I50</f>
        <v>10.3</v>
      </c>
      <c r="J48" s="62">
        <f>HLOOKUP("Wactive",spec!$A$2:$W$426,COLUMN(G7),0)+2*J50</f>
        <v>10.3</v>
      </c>
      <c r="K48" s="62">
        <f>HLOOKUP("Wactive",spec!$A$2:$W$426,COLUMN(H7),0)+2*K50</f>
        <v>10.3</v>
      </c>
      <c r="L48" s="62">
        <f>HLOOKUP("Wactive",spec!$A$2:$W$426,COLUMN(I7),0)+2*L50</f>
        <v>10.3</v>
      </c>
      <c r="P48"/>
      <c r="Q48"/>
      <c r="R48"/>
      <c r="S48"/>
      <c r="T48"/>
      <c r="U48"/>
      <c r="V48"/>
      <c r="W48"/>
    </row>
    <row r="49" spans="1:23" ht="15">
      <c r="A49" s="22" t="s">
        <v>6</v>
      </c>
      <c r="B49" s="42" t="s">
        <v>193</v>
      </c>
      <c r="C49" s="22" t="s">
        <v>261</v>
      </c>
      <c r="D49" s="49" t="s">
        <v>258</v>
      </c>
      <c r="E49" s="62">
        <f>IF(HLOOKUP("NSD_add,
SIBLK
space
SIBLK",spec!$A$2:$W$426,COLUMN(B3),0)&lt;&gt;"na",HLOOKUP("NSD_add,
SIBLK
space
SIBLK",spec!$A$2:$W$426,COLUMN(B3),0)+2*HLOOKUP("D (du)",spec!$A$2:$W$426,COLUMN(B2),0),1.55)</f>
        <v>1.35</v>
      </c>
      <c r="F49" s="62">
        <f>IF(HLOOKUP("NSD_add,
SIBLK
space
SIBLK",spec!$A$2:$W$426,COLUMN(C3),0)&lt;&gt;"na",HLOOKUP("NSD_add,
SIBLK
space
SIBLK",spec!$A$2:$W$426,COLUMN(C3),0)+2*HLOOKUP("D (du)",spec!$A$2:$W$426,COLUMN(C2),0),1.55)</f>
        <v>1.35</v>
      </c>
      <c r="G49" s="62">
        <f>IF(HLOOKUP("NSD_add,
SIBLK
space
SIBLK",spec!$A$2:$W$426,COLUMN(D3),0)&lt;&gt;"na",HLOOKUP("NSD_add,
SIBLK
space
SIBLK",spec!$A$2:$W$426,COLUMN(D3),0)+2*HLOOKUP("D (du)",spec!$A$2:$W$426,COLUMN(D2),0),1.55)</f>
        <v>1.35</v>
      </c>
      <c r="H49" s="62">
        <f>IF(HLOOKUP("NSD_add,
SIBLK
space
SIBLK",spec!$A$2:$W$426,COLUMN(E3),0)&lt;&gt;"na",HLOOKUP("NSD_add,
SIBLK
space
SIBLK",spec!$A$2:$W$426,COLUMN(E3),0)+2*HLOOKUP("D (du)",spec!$A$2:$W$426,COLUMN(E2),0),1.55)</f>
        <v>1.35</v>
      </c>
      <c r="I49" s="62">
        <f>IF(HLOOKUP("NSD_add,
SIBLK
space
SIBLK",spec!$A$2:$W$426,COLUMN(F3),0)&lt;&gt;"na",HLOOKUP("NSD_add,
SIBLK
space
SIBLK",spec!$A$2:$W$426,COLUMN(F3),0)+2*HLOOKUP("D (du)",spec!$A$2:$W$426,COLUMN(F2),0),1.55)</f>
        <v>1.35</v>
      </c>
      <c r="J49" s="62">
        <f>IF(HLOOKUP("NSD_add,
SIBLK
space
SIBLK",spec!$A$2:$W$426,COLUMN(G3),0)&lt;&gt;"na",HLOOKUP("NSD_add,
SIBLK
space
SIBLK",spec!$A$2:$W$426,COLUMN(G3),0)+2*HLOOKUP("D (du)",spec!$A$2:$W$426,COLUMN(G2),0),1.55)</f>
        <v>1.35</v>
      </c>
      <c r="K49" s="62">
        <f>IF(HLOOKUP("NSD_add,
SIBLK
space
SIBLK",spec!$A$2:$W$426,COLUMN(H3),0)&lt;&gt;"na",HLOOKUP("NSD_add,
SIBLK
space
SIBLK",spec!$A$2:$W$426,COLUMN(H3),0)+2*HLOOKUP("D (du)",spec!$A$2:$W$426,COLUMN(H2),0),1.55)</f>
        <v>1.35</v>
      </c>
      <c r="L49" s="62">
        <f>IF(HLOOKUP("NSD_add,
SIBLK
space
SIBLK",spec!$A$2:$W$426,COLUMN(I3),0)&lt;&gt;"na",HLOOKUP("NSD_add,
SIBLK
space
SIBLK",spec!$A$2:$W$426,COLUMN(I3),0)+2*HLOOKUP("D (du)",spec!$A$2:$W$426,COLUMN(I2),0),1.55)</f>
        <v>1.35</v>
      </c>
      <c r="P49"/>
      <c r="Q49"/>
      <c r="R49"/>
      <c r="S49"/>
      <c r="T49"/>
      <c r="U49"/>
      <c r="V49"/>
      <c r="W49"/>
    </row>
    <row r="50" spans="1:23" ht="15">
      <c r="A50" s="22" t="s">
        <v>6</v>
      </c>
      <c r="B50" s="42" t="s">
        <v>194</v>
      </c>
      <c r="C50" s="22" t="s">
        <v>84</v>
      </c>
      <c r="D50" s="49" t="s">
        <v>85</v>
      </c>
      <c r="E50" s="39">
        <v>0.15</v>
      </c>
      <c r="F50" s="39">
        <v>0.15</v>
      </c>
      <c r="G50" s="39">
        <v>0.15</v>
      </c>
      <c r="H50" s="39">
        <v>0.15</v>
      </c>
      <c r="I50" s="39">
        <v>0.15</v>
      </c>
      <c r="J50" s="39">
        <v>0.15</v>
      </c>
      <c r="K50" s="39">
        <v>0.15</v>
      </c>
      <c r="L50" s="39">
        <v>0.15</v>
      </c>
      <c r="P50"/>
      <c r="Q50"/>
      <c r="R50"/>
      <c r="S50"/>
      <c r="T50"/>
      <c r="U50"/>
      <c r="V50"/>
      <c r="W50"/>
    </row>
    <row r="51" spans="1:23" ht="15">
      <c r="A51" s="22" t="s">
        <v>6</v>
      </c>
      <c r="B51" s="42" t="s">
        <v>324</v>
      </c>
      <c r="C51" s="22" t="s">
        <v>323</v>
      </c>
      <c r="D51" s="49" t="s">
        <v>322</v>
      </c>
      <c r="E51" s="39">
        <v>0.375</v>
      </c>
      <c r="F51" s="39">
        <v>0.375</v>
      </c>
      <c r="G51" s="39">
        <v>0.375</v>
      </c>
      <c r="H51" s="39">
        <v>0.375</v>
      </c>
      <c r="I51" s="39">
        <v>0.375</v>
      </c>
      <c r="J51" s="39">
        <v>0.375</v>
      </c>
      <c r="K51" s="39">
        <v>0.375</v>
      </c>
      <c r="L51" s="39">
        <v>0.375</v>
      </c>
      <c r="P51"/>
      <c r="Q51"/>
      <c r="R51"/>
      <c r="S51"/>
      <c r="T51"/>
      <c r="U51"/>
      <c r="V51"/>
      <c r="W51"/>
    </row>
    <row r="52" spans="1:23" ht="15">
      <c r="A52" s="22" t="s">
        <v>6</v>
      </c>
      <c r="B52" s="42" t="s">
        <v>326</v>
      </c>
      <c r="C52" s="22" t="s">
        <v>327</v>
      </c>
      <c r="D52" s="49" t="s">
        <v>325</v>
      </c>
      <c r="E52" s="39">
        <v>0.05</v>
      </c>
      <c r="F52" s="39">
        <v>0.05</v>
      </c>
      <c r="G52" s="39">
        <v>0.05</v>
      </c>
      <c r="H52" s="39">
        <v>0.05</v>
      </c>
      <c r="I52" s="39">
        <v>0.05</v>
      </c>
      <c r="J52" s="39">
        <v>0.05</v>
      </c>
      <c r="K52" s="39">
        <v>0.05</v>
      </c>
      <c r="L52" s="39">
        <v>0.05</v>
      </c>
      <c r="P52"/>
      <c r="Q52"/>
      <c r="R52"/>
      <c r="S52"/>
      <c r="T52"/>
      <c r="U52"/>
      <c r="V52"/>
      <c r="W52"/>
    </row>
    <row r="53" spans="1:23" ht="15">
      <c r="A53" s="22" t="s">
        <v>6</v>
      </c>
      <c r="B53" s="42" t="s">
        <v>328</v>
      </c>
      <c r="C53" s="22" t="s">
        <v>330</v>
      </c>
      <c r="D53" s="49" t="s">
        <v>329</v>
      </c>
      <c r="E53" s="62">
        <f>E149</f>
        <v>0.4</v>
      </c>
      <c r="F53" s="62">
        <f>E149</f>
        <v>0.4</v>
      </c>
      <c r="G53" s="62">
        <f>E149</f>
        <v>0.4</v>
      </c>
      <c r="H53" s="62">
        <f>E149</f>
        <v>0.4</v>
      </c>
      <c r="I53" s="62">
        <f>E149</f>
        <v>0.4</v>
      </c>
      <c r="J53" s="62">
        <f>E149</f>
        <v>0.4</v>
      </c>
      <c r="K53" s="62">
        <f>E149</f>
        <v>0.4</v>
      </c>
      <c r="L53" s="62">
        <f>E149</f>
        <v>0.4</v>
      </c>
      <c r="P53"/>
      <c r="Q53"/>
      <c r="R53"/>
      <c r="S53"/>
      <c r="T53"/>
      <c r="U53"/>
      <c r="V53"/>
      <c r="W53"/>
    </row>
    <row r="54" spans="1:23" ht="12.75">
      <c r="A54" s="22" t="s">
        <v>6</v>
      </c>
      <c r="B54" s="42" t="s">
        <v>195</v>
      </c>
      <c r="C54" s="22" t="s">
        <v>86</v>
      </c>
      <c r="D54" s="50" t="s">
        <v>87</v>
      </c>
      <c r="E54" s="38">
        <v>0.15</v>
      </c>
      <c r="F54" s="38">
        <v>0.15</v>
      </c>
      <c r="G54" s="38">
        <v>0.15</v>
      </c>
      <c r="H54" s="38">
        <v>0.15</v>
      </c>
      <c r="I54" s="38">
        <v>0.15</v>
      </c>
      <c r="J54" s="38">
        <v>0.15</v>
      </c>
      <c r="K54" s="38">
        <v>0.15</v>
      </c>
      <c r="L54" s="38">
        <v>0.15</v>
      </c>
      <c r="P54"/>
      <c r="Q54"/>
      <c r="R54"/>
      <c r="S54"/>
      <c r="T54"/>
      <c r="U54"/>
      <c r="V54"/>
      <c r="W54"/>
    </row>
    <row r="55" spans="1:23" ht="12.75">
      <c r="A55" s="22" t="s">
        <v>6</v>
      </c>
      <c r="B55" s="42" t="s">
        <v>196</v>
      </c>
      <c r="C55" s="22" t="s">
        <v>88</v>
      </c>
      <c r="D55" s="50" t="s">
        <v>89</v>
      </c>
      <c r="E55" s="38">
        <v>0.225</v>
      </c>
      <c r="F55" s="38">
        <v>0.225</v>
      </c>
      <c r="G55" s="38">
        <v>0.225</v>
      </c>
      <c r="H55" s="38">
        <v>0.225</v>
      </c>
      <c r="I55" s="38">
        <v>0.225</v>
      </c>
      <c r="J55" s="38">
        <v>0.225</v>
      </c>
      <c r="K55" s="38">
        <v>0.225</v>
      </c>
      <c r="L55" s="38">
        <v>0.225</v>
      </c>
      <c r="P55"/>
      <c r="Q55"/>
      <c r="R55"/>
      <c r="S55"/>
      <c r="T55"/>
      <c r="U55"/>
      <c r="V55"/>
      <c r="W55"/>
    </row>
    <row r="56" spans="1:23" ht="12.75">
      <c r="A56" s="22" t="s">
        <v>6</v>
      </c>
      <c r="B56" s="42" t="s">
        <v>190</v>
      </c>
      <c r="C56" s="22" t="s">
        <v>91</v>
      </c>
      <c r="D56" s="50" t="s">
        <v>90</v>
      </c>
      <c r="E56" s="38">
        <v>1</v>
      </c>
      <c r="F56" s="38">
        <v>1</v>
      </c>
      <c r="G56" s="38">
        <v>1</v>
      </c>
      <c r="H56" s="38">
        <v>1</v>
      </c>
      <c r="I56" s="38">
        <v>1</v>
      </c>
      <c r="J56" s="38">
        <v>1</v>
      </c>
      <c r="K56" s="38">
        <v>1</v>
      </c>
      <c r="L56" s="38">
        <v>1</v>
      </c>
      <c r="P56"/>
      <c r="Q56"/>
      <c r="R56"/>
      <c r="S56"/>
      <c r="T56"/>
      <c r="U56"/>
      <c r="V56"/>
      <c r="W56"/>
    </row>
    <row r="57" spans="1:23" ht="12.75">
      <c r="A57" s="22" t="s">
        <v>6</v>
      </c>
      <c r="B57" s="42" t="s">
        <v>197</v>
      </c>
      <c r="C57" s="22" t="s">
        <v>92</v>
      </c>
      <c r="D57" s="50" t="s">
        <v>93</v>
      </c>
      <c r="E57" s="65">
        <f>FLOOR(((E48-2*E50)-E63-E64+E55)/(E54+E55),1)</f>
        <v>27</v>
      </c>
      <c r="F57" s="65">
        <v>27</v>
      </c>
      <c r="G57" s="65">
        <v>27</v>
      </c>
      <c r="H57" s="65">
        <v>27</v>
      </c>
      <c r="I57" s="65">
        <v>27</v>
      </c>
      <c r="J57" s="65">
        <v>27</v>
      </c>
      <c r="K57" s="65">
        <v>27</v>
      </c>
      <c r="L57" s="65">
        <v>27</v>
      </c>
      <c r="P57"/>
      <c r="Q57"/>
      <c r="R57"/>
      <c r="S57"/>
      <c r="T57"/>
      <c r="U57"/>
      <c r="V57"/>
      <c r="W57"/>
    </row>
    <row r="58" spans="1:23" ht="12.75">
      <c r="A58" s="22" t="s">
        <v>6</v>
      </c>
      <c r="B58" s="42" t="s">
        <v>198</v>
      </c>
      <c r="C58" s="22" t="s">
        <v>94</v>
      </c>
      <c r="D58" s="50" t="s">
        <v>96</v>
      </c>
      <c r="E58" s="38">
        <v>1</v>
      </c>
      <c r="F58" s="38">
        <v>1</v>
      </c>
      <c r="G58" s="38">
        <v>1</v>
      </c>
      <c r="H58" s="38">
        <v>1</v>
      </c>
      <c r="I58" s="38">
        <v>1</v>
      </c>
      <c r="J58" s="38">
        <v>1</v>
      </c>
      <c r="K58" s="38">
        <v>1</v>
      </c>
      <c r="L58" s="38">
        <v>1</v>
      </c>
      <c r="P58"/>
      <c r="Q58"/>
      <c r="R58"/>
      <c r="S58"/>
      <c r="T58"/>
      <c r="U58"/>
      <c r="V58"/>
      <c r="W58"/>
    </row>
    <row r="59" spans="1:23" ht="15">
      <c r="A59" s="22" t="s">
        <v>6</v>
      </c>
      <c r="B59" s="42" t="s">
        <v>199</v>
      </c>
      <c r="C59" s="22" t="s">
        <v>95</v>
      </c>
      <c r="D59" s="50" t="s">
        <v>97</v>
      </c>
      <c r="E59" s="62">
        <f aca="true" t="shared" si="0" ref="E59:L59">FLOOR(((E48-2*E50)-E65-E66+E55)/(E54+E55),1)</f>
        <v>26</v>
      </c>
      <c r="F59" s="62">
        <f t="shared" si="0"/>
        <v>26</v>
      </c>
      <c r="G59" s="62">
        <f t="shared" si="0"/>
        <v>26</v>
      </c>
      <c r="H59" s="62">
        <f t="shared" si="0"/>
        <v>26</v>
      </c>
      <c r="I59" s="62">
        <f t="shared" si="0"/>
        <v>26</v>
      </c>
      <c r="J59" s="62">
        <f t="shared" si="0"/>
        <v>26</v>
      </c>
      <c r="K59" s="62">
        <f t="shared" si="0"/>
        <v>26</v>
      </c>
      <c r="L59" s="62">
        <f t="shared" si="0"/>
        <v>26</v>
      </c>
      <c r="P59"/>
      <c r="Q59"/>
      <c r="R59"/>
      <c r="S59"/>
      <c r="T59"/>
      <c r="U59"/>
      <c r="V59"/>
      <c r="W59"/>
    </row>
    <row r="60" spans="1:23" ht="15">
      <c r="A60" s="22" t="s">
        <v>6</v>
      </c>
      <c r="B60" s="42" t="s">
        <v>200</v>
      </c>
      <c r="C60" s="22" t="s">
        <v>107</v>
      </c>
      <c r="D60" s="50" t="s">
        <v>105</v>
      </c>
      <c r="E60" s="62">
        <f>HLOOKUP("HP (du)",spec!$A$2:$W$426,COLUMN(B16),0)-(E58*E54+E55*(E58-1)+E61+E47)</f>
        <v>0.10000000000000009</v>
      </c>
      <c r="F60" s="62">
        <f>HLOOKUP("HP (du)",spec!$A$2:$W$426,COLUMN(C16),0)-(F58*F54+F55*(F58-1)+F61+F47)</f>
        <v>0.09999999999999987</v>
      </c>
      <c r="G60" s="62">
        <f>HLOOKUP("HP (du)",spec!$A$2:$W$426,COLUMN(D16),0)-(G58*G54+G55*(G58-1)+G61+G47)</f>
        <v>0.10000000000000009</v>
      </c>
      <c r="H60" s="62">
        <f>HLOOKUP("HP (du)",spec!$A$2:$W$426,COLUMN(E16),0)-(H58*H54+H55*(H58-1)+H61+H47)</f>
        <v>0.10000000000000009</v>
      </c>
      <c r="I60" s="62">
        <f>HLOOKUP("HP (du)",spec!$A$2:$W$426,COLUMN(F16),0)-(I58*I54+I55*(I58-1)+I61+I47)</f>
        <v>0.10000000000000009</v>
      </c>
      <c r="J60" s="62">
        <f>HLOOKUP("HP (du)",spec!$A$2:$W$426,COLUMN(G16),0)-(J58*J54+J55*(J58-1)+J61+J47)</f>
        <v>0.10000000000000009</v>
      </c>
      <c r="K60" s="62">
        <f>HLOOKUP("HP (du)",spec!$A$2:$W$426,COLUMN(H16),0)-(K58*K54+K55*(K58-1)+K61+K47)</f>
        <v>0.09999999999999987</v>
      </c>
      <c r="L60" s="62">
        <f>HLOOKUP("HP (du)",spec!$A$2:$W$426,COLUMN(I16),0)-(L58*L54+L55*(L58-1)+L61+L47)</f>
        <v>0.10000000000000009</v>
      </c>
      <c r="P60"/>
      <c r="Q60"/>
      <c r="R60"/>
      <c r="S60"/>
      <c r="T60"/>
      <c r="U60"/>
      <c r="V60"/>
      <c r="W60"/>
    </row>
    <row r="61" spans="1:23" ht="15">
      <c r="A61" s="22" t="s">
        <v>6</v>
      </c>
      <c r="B61" s="42" t="s">
        <v>201</v>
      </c>
      <c r="C61" s="22" t="s">
        <v>108</v>
      </c>
      <c r="D61" s="50" t="s">
        <v>106</v>
      </c>
      <c r="E61" s="62">
        <f aca="true" t="shared" si="1" ref="E61:L61">(E49-(E58*E54+E55*(E58-1)))/2</f>
        <v>0.6000000000000001</v>
      </c>
      <c r="F61" s="62">
        <f t="shared" si="1"/>
        <v>0.6000000000000001</v>
      </c>
      <c r="G61" s="62">
        <f t="shared" si="1"/>
        <v>0.6000000000000001</v>
      </c>
      <c r="H61" s="62">
        <f t="shared" si="1"/>
        <v>0.6000000000000001</v>
      </c>
      <c r="I61" s="62">
        <f t="shared" si="1"/>
        <v>0.6000000000000001</v>
      </c>
      <c r="J61" s="62">
        <f t="shared" si="1"/>
        <v>0.6000000000000001</v>
      </c>
      <c r="K61" s="62">
        <f t="shared" si="1"/>
        <v>0.6000000000000001</v>
      </c>
      <c r="L61" s="62">
        <f t="shared" si="1"/>
        <v>0.6000000000000001</v>
      </c>
      <c r="P61"/>
      <c r="Q61"/>
      <c r="R61"/>
      <c r="S61"/>
      <c r="T61"/>
      <c r="U61"/>
      <c r="V61"/>
      <c r="W61"/>
    </row>
    <row r="62" spans="1:23" ht="15">
      <c r="A62" s="22" t="s">
        <v>6</v>
      </c>
      <c r="B62" s="42" t="s">
        <v>202</v>
      </c>
      <c r="C62" s="22" t="s">
        <v>109</v>
      </c>
      <c r="D62" s="51" t="s">
        <v>98</v>
      </c>
      <c r="E62" s="39">
        <v>0.05</v>
      </c>
      <c r="F62" s="39">
        <v>0.05</v>
      </c>
      <c r="G62" s="39">
        <v>0.05</v>
      </c>
      <c r="H62" s="39">
        <v>0.05</v>
      </c>
      <c r="I62" s="39">
        <v>0.05</v>
      </c>
      <c r="J62" s="39">
        <v>0.05</v>
      </c>
      <c r="K62" s="39">
        <v>0.05</v>
      </c>
      <c r="L62" s="39">
        <v>0.05</v>
      </c>
      <c r="P62"/>
      <c r="Q62"/>
      <c r="R62"/>
      <c r="S62"/>
      <c r="T62"/>
      <c r="U62"/>
      <c r="V62"/>
      <c r="W62"/>
    </row>
    <row r="63" spans="1:23" ht="15">
      <c r="A63" s="22" t="s">
        <v>6</v>
      </c>
      <c r="B63" s="42" t="s">
        <v>203</v>
      </c>
      <c r="C63" s="22" t="s">
        <v>119</v>
      </c>
      <c r="D63" s="51" t="s">
        <v>117</v>
      </c>
      <c r="E63" s="39">
        <v>0.05</v>
      </c>
      <c r="F63" s="39">
        <v>0.05</v>
      </c>
      <c r="G63" s="39">
        <v>0.05</v>
      </c>
      <c r="H63" s="39">
        <v>0.05</v>
      </c>
      <c r="I63" s="39">
        <v>0.05</v>
      </c>
      <c r="J63" s="39">
        <v>0.05</v>
      </c>
      <c r="K63" s="39">
        <v>0.05</v>
      </c>
      <c r="L63" s="39">
        <v>0.05</v>
      </c>
      <c r="P63"/>
      <c r="Q63"/>
      <c r="R63"/>
      <c r="S63"/>
      <c r="T63"/>
      <c r="U63"/>
      <c r="V63"/>
      <c r="W63"/>
    </row>
    <row r="64" spans="1:23" ht="15">
      <c r="A64" s="22" t="s">
        <v>6</v>
      </c>
      <c r="B64" s="45" t="s">
        <v>204</v>
      </c>
      <c r="C64" s="23" t="s">
        <v>120</v>
      </c>
      <c r="D64" s="52" t="s">
        <v>118</v>
      </c>
      <c r="E64" s="40">
        <v>0.05</v>
      </c>
      <c r="F64" s="40">
        <v>0.05</v>
      </c>
      <c r="G64" s="40">
        <v>0.05</v>
      </c>
      <c r="H64" s="40">
        <v>0.05</v>
      </c>
      <c r="I64" s="40">
        <v>0.05</v>
      </c>
      <c r="J64" s="40">
        <v>0.05</v>
      </c>
      <c r="K64" s="40">
        <v>0.05</v>
      </c>
      <c r="L64" s="40">
        <v>0.05</v>
      </c>
      <c r="P64"/>
      <c r="Q64"/>
      <c r="R64"/>
      <c r="S64"/>
      <c r="T64"/>
      <c r="U64"/>
      <c r="V64"/>
      <c r="W64"/>
    </row>
    <row r="65" spans="1:15" s="37" customFormat="1" ht="15">
      <c r="A65" s="22" t="s">
        <v>6</v>
      </c>
      <c r="B65" s="42" t="s">
        <v>205</v>
      </c>
      <c r="C65" s="22" t="s">
        <v>123</v>
      </c>
      <c r="D65" s="53" t="s">
        <v>121</v>
      </c>
      <c r="E65" s="39">
        <v>0.25</v>
      </c>
      <c r="F65" s="39">
        <v>0.25</v>
      </c>
      <c r="G65" s="39">
        <v>0.25</v>
      </c>
      <c r="H65" s="39">
        <v>0.25</v>
      </c>
      <c r="I65" s="39">
        <v>0.25</v>
      </c>
      <c r="J65" s="39">
        <v>0.25</v>
      </c>
      <c r="K65" s="39">
        <v>0.25</v>
      </c>
      <c r="L65" s="39">
        <v>0.25</v>
      </c>
      <c r="M65" s="36"/>
      <c r="N65" s="36"/>
      <c r="O65" s="36"/>
    </row>
    <row r="66" spans="1:15" s="37" customFormat="1" ht="15">
      <c r="A66" s="46" t="s">
        <v>6</v>
      </c>
      <c r="B66" s="47" t="s">
        <v>206</v>
      </c>
      <c r="C66" s="22" t="s">
        <v>124</v>
      </c>
      <c r="D66" s="53" t="s">
        <v>122</v>
      </c>
      <c r="E66" s="48">
        <v>0.225</v>
      </c>
      <c r="F66" s="48">
        <v>0.225</v>
      </c>
      <c r="G66" s="48">
        <v>0.225</v>
      </c>
      <c r="H66" s="48">
        <v>0.225</v>
      </c>
      <c r="I66" s="48">
        <v>0.225</v>
      </c>
      <c r="J66" s="48">
        <v>0.225</v>
      </c>
      <c r="K66" s="48">
        <v>0.225</v>
      </c>
      <c r="L66" s="48">
        <v>0.225</v>
      </c>
      <c r="M66" s="36"/>
      <c r="N66" s="36"/>
      <c r="O66" s="36"/>
    </row>
    <row r="67" spans="1:23" ht="12.75">
      <c r="A67" s="22" t="s">
        <v>6</v>
      </c>
      <c r="B67" s="47" t="s">
        <v>207</v>
      </c>
      <c r="C67" s="46" t="s">
        <v>100</v>
      </c>
      <c r="D67" s="54" t="s">
        <v>99</v>
      </c>
      <c r="E67" s="41" t="s">
        <v>167</v>
      </c>
      <c r="F67" s="41" t="s">
        <v>167</v>
      </c>
      <c r="G67" s="41" t="s">
        <v>167</v>
      </c>
      <c r="H67" s="41" t="s">
        <v>167</v>
      </c>
      <c r="I67" s="41" t="s">
        <v>167</v>
      </c>
      <c r="J67" s="41" t="s">
        <v>167</v>
      </c>
      <c r="K67" s="41" t="s">
        <v>167</v>
      </c>
      <c r="L67" s="41" t="s">
        <v>167</v>
      </c>
      <c r="P67"/>
      <c r="Q67"/>
      <c r="R67"/>
      <c r="S67"/>
      <c r="T67"/>
      <c r="U67"/>
      <c r="V67"/>
      <c r="W67"/>
    </row>
    <row r="68" spans="1:23" ht="12.75">
      <c r="A68" s="22" t="s">
        <v>6</v>
      </c>
      <c r="B68" s="42" t="s">
        <v>208</v>
      </c>
      <c r="C68" s="22" t="s">
        <v>103</v>
      </c>
      <c r="D68" s="55" t="s">
        <v>101</v>
      </c>
      <c r="E68" s="38">
        <v>0.05</v>
      </c>
      <c r="F68" s="38">
        <v>0.05</v>
      </c>
      <c r="G68" s="38">
        <v>0.05</v>
      </c>
      <c r="H68" s="38">
        <v>0.05</v>
      </c>
      <c r="I68" s="38">
        <v>0.05</v>
      </c>
      <c r="J68" s="38">
        <v>0.05</v>
      </c>
      <c r="K68" s="38">
        <v>0.05</v>
      </c>
      <c r="L68" s="38">
        <v>0.05</v>
      </c>
      <c r="P68"/>
      <c r="Q68"/>
      <c r="R68"/>
      <c r="S68"/>
      <c r="T68"/>
      <c r="U68"/>
      <c r="V68"/>
      <c r="W68"/>
    </row>
    <row r="69" spans="1:23" ht="12.75">
      <c r="A69" s="22" t="s">
        <v>6</v>
      </c>
      <c r="B69" s="42" t="s">
        <v>266</v>
      </c>
      <c r="C69" s="22" t="s">
        <v>104</v>
      </c>
      <c r="D69" s="55" t="s">
        <v>102</v>
      </c>
      <c r="E69" s="38">
        <v>0.075</v>
      </c>
      <c r="F69" s="38">
        <v>0.075</v>
      </c>
      <c r="G69" s="38">
        <v>0.075</v>
      </c>
      <c r="H69" s="38">
        <v>0.075</v>
      </c>
      <c r="I69" s="38">
        <v>0.075</v>
      </c>
      <c r="J69" s="38">
        <v>0.075</v>
      </c>
      <c r="K69" s="38">
        <v>0.075</v>
      </c>
      <c r="L69" s="38">
        <v>0.075</v>
      </c>
      <c r="P69"/>
      <c r="Q69"/>
      <c r="R69"/>
      <c r="S69"/>
      <c r="T69"/>
      <c r="U69"/>
      <c r="V69"/>
      <c r="W69"/>
    </row>
    <row r="70" spans="1:23" ht="12.75">
      <c r="A70" s="22" t="s">
        <v>189</v>
      </c>
      <c r="B70" s="42" t="s">
        <v>209</v>
      </c>
      <c r="C70" s="22" t="s">
        <v>113</v>
      </c>
      <c r="D70" s="56" t="s">
        <v>110</v>
      </c>
      <c r="E70" s="38" t="str">
        <f>IF(HLOOKUP("NLDD2
coincident
with 
SDBLK",spec!$A$2:$Z$418,COLUMN(B2),0)&lt;&gt;"na",HLOOKUP("NLDD2
coincident
with 
SDBLK",spec!$A$2:$Z$418,COLUMN(B2),0),"NOLAYER")</f>
        <v>NOLAYER</v>
      </c>
      <c r="F70" s="38" t="str">
        <f>IF(HLOOKUP("NLDD2
coincident
with 
SDBLK",spec!$A$2:$Z$418,COLUMN(C2),0)&lt;&gt;"na",HLOOKUP("NLDD2
coincident
with 
SDBLK",spec!$A$2:$Z$418,COLUMN(C2),0),"NOLAYER")</f>
        <v>NOLAYER</v>
      </c>
      <c r="G70" s="38" t="str">
        <f>IF(HLOOKUP("NLDD2
coincident
with 
SDBLK",spec!$A$2:$Z$418,COLUMN(D2),0)&lt;&gt;"na",HLOOKUP("NLDD2
coincident
with 
SDBLK",spec!$A$2:$Z$418,COLUMN(D2),0),"NOLAYER")</f>
        <v>NOLAYER</v>
      </c>
      <c r="H70" s="38" t="str">
        <f>IF(HLOOKUP("NLDD2
coincident
with 
SDBLK",spec!$A$2:$Z$418,COLUMN(E2),0)&lt;&gt;"na",HLOOKUP("NLDD2
coincident
with 
SDBLK",spec!$A$2:$Z$418,COLUMN(E2),0),"NOLAYER")</f>
        <v>NOLAYER</v>
      </c>
      <c r="I70" s="38" t="str">
        <f>IF(HLOOKUP("NLDD2
coincident
with 
SDBLK",spec!$A$2:$Z$418,COLUMN(F2),0)&lt;&gt;"na",HLOOKUP("NLDD2
coincident
with 
SDBLK",spec!$A$2:$Z$418,COLUMN(F2),0),"NOLAYER")</f>
        <v>NLDD2_add</v>
      </c>
      <c r="J70" s="38" t="str">
        <f>IF(HLOOKUP("NLDD2
coincident
with 
SDBLK",spec!$A$2:$Z$418,COLUMN(G2),0)&lt;&gt;"na",HLOOKUP("NLDD2
coincident
with 
SDBLK",spec!$A$2:$Z$418,COLUMN(G2),0),"NOLAYER")</f>
        <v>NLDD2_add</v>
      </c>
      <c r="K70" s="38" t="str">
        <f>IF(HLOOKUP("NLDD2
coincident
with 
SDBLK",spec!$A$2:$Z$418,COLUMN(H2),0)&lt;&gt;"na",HLOOKUP("NLDD2
coincident
with 
SDBLK",spec!$A$2:$Z$418,COLUMN(H2),0),"NOLAYER")</f>
        <v>NLDD2_add</v>
      </c>
      <c r="L70" s="38" t="str">
        <f>IF(HLOOKUP("NLDD2
coincident
with 
SDBLK",spec!$A$2:$Z$418,COLUMN(I2),0)&lt;&gt;"na",HLOOKUP("NLDD2
coincident
with 
SDBLK",spec!$A$2:$Z$418,COLUMN(I2),0),"NOLAYER")</f>
        <v>NLDD2_add</v>
      </c>
      <c r="P70"/>
      <c r="Q70"/>
      <c r="R70"/>
      <c r="S70"/>
      <c r="T70"/>
      <c r="U70"/>
      <c r="V70"/>
      <c r="W70"/>
    </row>
    <row r="71" spans="1:23" ht="15">
      <c r="A71" s="22" t="s">
        <v>6</v>
      </c>
      <c r="B71" s="42" t="s">
        <v>210</v>
      </c>
      <c r="C71" s="22" t="s">
        <v>114</v>
      </c>
      <c r="D71" s="56" t="s">
        <v>111</v>
      </c>
      <c r="E71" s="39">
        <v>0.3</v>
      </c>
      <c r="F71" s="39">
        <v>0.3</v>
      </c>
      <c r="G71" s="39">
        <v>0.3</v>
      </c>
      <c r="H71" s="39">
        <v>0.3</v>
      </c>
      <c r="I71" s="39">
        <v>0.3</v>
      </c>
      <c r="J71" s="39">
        <v>0.3</v>
      </c>
      <c r="K71" s="39">
        <v>0.3</v>
      </c>
      <c r="L71" s="39">
        <v>0.3</v>
      </c>
      <c r="P71"/>
      <c r="Q71"/>
      <c r="R71"/>
      <c r="S71"/>
      <c r="T71"/>
      <c r="U71"/>
      <c r="V71"/>
      <c r="W71"/>
    </row>
    <row r="72" spans="1:23" ht="15">
      <c r="A72" s="22" t="s">
        <v>6</v>
      </c>
      <c r="B72" s="42" t="s">
        <v>211</v>
      </c>
      <c r="C72" s="22" t="s">
        <v>115</v>
      </c>
      <c r="D72" s="56" t="s">
        <v>112</v>
      </c>
      <c r="E72" s="62">
        <f>E60-E68+E93</f>
        <v>0.75</v>
      </c>
      <c r="F72" s="62">
        <f aca="true" t="shared" si="2" ref="F72:L72">F60-F68+F93</f>
        <v>0.6999999999999997</v>
      </c>
      <c r="G72" s="62">
        <f t="shared" si="2"/>
        <v>0.6499999999999999</v>
      </c>
      <c r="H72" s="62">
        <f t="shared" si="2"/>
        <v>0.75</v>
      </c>
      <c r="I72" s="62">
        <f t="shared" si="2"/>
        <v>0.75</v>
      </c>
      <c r="J72" s="62">
        <f t="shared" si="2"/>
        <v>0.75</v>
      </c>
      <c r="K72" s="62">
        <f t="shared" si="2"/>
        <v>0.6999999999999997</v>
      </c>
      <c r="L72" s="62">
        <f t="shared" si="2"/>
        <v>0.6499999999999999</v>
      </c>
      <c r="P72"/>
      <c r="Q72"/>
      <c r="R72"/>
      <c r="S72"/>
      <c r="T72"/>
      <c r="U72"/>
      <c r="V72"/>
      <c r="W72"/>
    </row>
    <row r="73" spans="1:23" ht="12.75">
      <c r="A73" s="22" t="s">
        <v>6</v>
      </c>
      <c r="B73" s="42" t="s">
        <v>212</v>
      </c>
      <c r="C73" s="22" t="s">
        <v>127</v>
      </c>
      <c r="D73" s="56" t="s">
        <v>125</v>
      </c>
      <c r="E73" s="38">
        <v>0.3</v>
      </c>
      <c r="F73" s="38">
        <v>0.3</v>
      </c>
      <c r="G73" s="38">
        <v>0.3</v>
      </c>
      <c r="H73" s="38">
        <v>0.3</v>
      </c>
      <c r="I73" s="38">
        <v>0.3</v>
      </c>
      <c r="J73" s="38">
        <v>0.3</v>
      </c>
      <c r="K73" s="38">
        <v>0.3</v>
      </c>
      <c r="L73" s="38">
        <v>0.3</v>
      </c>
      <c r="P73"/>
      <c r="Q73"/>
      <c r="R73"/>
      <c r="S73"/>
      <c r="T73"/>
      <c r="U73"/>
      <c r="V73"/>
      <c r="W73"/>
    </row>
    <row r="74" spans="1:23" ht="12.75">
      <c r="A74" s="22" t="s">
        <v>6</v>
      </c>
      <c r="B74" s="42" t="s">
        <v>213</v>
      </c>
      <c r="C74" s="22" t="s">
        <v>128</v>
      </c>
      <c r="D74" s="56" t="s">
        <v>126</v>
      </c>
      <c r="E74" s="38">
        <v>0.3</v>
      </c>
      <c r="F74" s="38">
        <v>0.3</v>
      </c>
      <c r="G74" s="38">
        <v>0.3</v>
      </c>
      <c r="H74" s="38">
        <v>0.3</v>
      </c>
      <c r="I74" s="38">
        <v>0.3</v>
      </c>
      <c r="J74" s="38">
        <v>0.3</v>
      </c>
      <c r="K74" s="38">
        <v>0.3</v>
      </c>
      <c r="L74" s="38">
        <v>0.3</v>
      </c>
      <c r="P74"/>
      <c r="Q74"/>
      <c r="R74"/>
      <c r="S74"/>
      <c r="T74"/>
      <c r="U74"/>
      <c r="V74"/>
      <c r="W74"/>
    </row>
    <row r="75" spans="1:23" ht="15">
      <c r="A75" s="22" t="s">
        <v>189</v>
      </c>
      <c r="B75" s="42" t="s">
        <v>214</v>
      </c>
      <c r="C75" s="22" t="s">
        <v>129</v>
      </c>
      <c r="D75" s="57" t="s">
        <v>116</v>
      </c>
      <c r="E75" s="66" t="str">
        <f aca="true" t="shared" si="3" ref="E75:L75">IF(E98="SIBLK","NSD_add","NOLAYER")</f>
        <v>NSD_add</v>
      </c>
      <c r="F75" s="66" t="str">
        <f t="shared" si="3"/>
        <v>NSD_add</v>
      </c>
      <c r="G75" s="66" t="str">
        <f t="shared" si="3"/>
        <v>NSD_add</v>
      </c>
      <c r="H75" s="66" t="str">
        <f t="shared" si="3"/>
        <v>NSD_add</v>
      </c>
      <c r="I75" s="66" t="str">
        <f t="shared" si="3"/>
        <v>NSD_add</v>
      </c>
      <c r="J75" s="66" t="str">
        <f t="shared" si="3"/>
        <v>NSD_add</v>
      </c>
      <c r="K75" s="66" t="str">
        <f t="shared" si="3"/>
        <v>NSD_add</v>
      </c>
      <c r="L75" s="66" t="str">
        <f t="shared" si="3"/>
        <v>NSD_add</v>
      </c>
      <c r="P75"/>
      <c r="Q75"/>
      <c r="R75"/>
      <c r="S75"/>
      <c r="T75"/>
      <c r="U75"/>
      <c r="V75"/>
      <c r="W75"/>
    </row>
    <row r="76" spans="1:23" ht="15">
      <c r="A76" s="22" t="s">
        <v>6</v>
      </c>
      <c r="B76" s="42" t="s">
        <v>215</v>
      </c>
      <c r="C76" s="22" t="s">
        <v>130</v>
      </c>
      <c r="D76" s="57" t="s">
        <v>184</v>
      </c>
      <c r="E76" s="62">
        <f aca="true" t="shared" si="4" ref="E76:L76">E61-E69-E100</f>
        <v>0.22500000000000014</v>
      </c>
      <c r="F76" s="62">
        <f t="shared" si="4"/>
        <v>0.22500000000000014</v>
      </c>
      <c r="G76" s="62">
        <f t="shared" si="4"/>
        <v>0.22500000000000014</v>
      </c>
      <c r="H76" s="62">
        <f t="shared" si="4"/>
        <v>0.22500000000000014</v>
      </c>
      <c r="I76" s="62">
        <f t="shared" si="4"/>
        <v>0.22500000000000014</v>
      </c>
      <c r="J76" s="62">
        <f t="shared" si="4"/>
        <v>0.22500000000000014</v>
      </c>
      <c r="K76" s="62">
        <f t="shared" si="4"/>
        <v>0.22500000000000014</v>
      </c>
      <c r="L76" s="62">
        <f t="shared" si="4"/>
        <v>0.22500000000000014</v>
      </c>
      <c r="P76"/>
      <c r="Q76"/>
      <c r="R76"/>
      <c r="S76"/>
      <c r="T76"/>
      <c r="U76"/>
      <c r="V76"/>
      <c r="W76"/>
    </row>
    <row r="77" spans="1:23" ht="15">
      <c r="A77" s="22" t="s">
        <v>6</v>
      </c>
      <c r="B77" s="42" t="s">
        <v>216</v>
      </c>
      <c r="C77" s="22" t="s">
        <v>131</v>
      </c>
      <c r="D77" s="57" t="s">
        <v>185</v>
      </c>
      <c r="E77" s="62">
        <f aca="true" t="shared" si="5" ref="E77:L77">E76</f>
        <v>0.22500000000000014</v>
      </c>
      <c r="F77" s="62">
        <f t="shared" si="5"/>
        <v>0.22500000000000014</v>
      </c>
      <c r="G77" s="62">
        <f t="shared" si="5"/>
        <v>0.22500000000000014</v>
      </c>
      <c r="H77" s="62">
        <f t="shared" si="5"/>
        <v>0.22500000000000014</v>
      </c>
      <c r="I77" s="62">
        <f t="shared" si="5"/>
        <v>0.22500000000000014</v>
      </c>
      <c r="J77" s="62">
        <f t="shared" si="5"/>
        <v>0.22500000000000014</v>
      </c>
      <c r="K77" s="62">
        <f t="shared" si="5"/>
        <v>0.22500000000000014</v>
      </c>
      <c r="L77" s="62">
        <f t="shared" si="5"/>
        <v>0.22500000000000014</v>
      </c>
      <c r="P77"/>
      <c r="Q77"/>
      <c r="R77"/>
      <c r="S77"/>
      <c r="T77"/>
      <c r="U77"/>
      <c r="V77"/>
      <c r="W77"/>
    </row>
    <row r="78" spans="1:23" ht="12.75">
      <c r="A78" s="22" t="s">
        <v>6</v>
      </c>
      <c r="B78" s="42" t="s">
        <v>267</v>
      </c>
      <c r="C78" s="22" t="s">
        <v>132</v>
      </c>
      <c r="D78" s="57" t="s">
        <v>186</v>
      </c>
      <c r="E78" s="65">
        <f aca="true" t="shared" si="6" ref="E78:L78">E65-E69+E50+E101</f>
        <v>0.475</v>
      </c>
      <c r="F78" s="65">
        <f t="shared" si="6"/>
        <v>0.475</v>
      </c>
      <c r="G78" s="65">
        <f t="shared" si="6"/>
        <v>0.475</v>
      </c>
      <c r="H78" s="65">
        <f t="shared" si="6"/>
        <v>0.475</v>
      </c>
      <c r="I78" s="65">
        <f t="shared" si="6"/>
        <v>0.475</v>
      </c>
      <c r="J78" s="65">
        <f t="shared" si="6"/>
        <v>0.475</v>
      </c>
      <c r="K78" s="65">
        <f t="shared" si="6"/>
        <v>0.475</v>
      </c>
      <c r="L78" s="65">
        <f t="shared" si="6"/>
        <v>0.475</v>
      </c>
      <c r="P78"/>
      <c r="Q78"/>
      <c r="R78"/>
      <c r="S78"/>
      <c r="T78"/>
      <c r="U78"/>
      <c r="V78"/>
      <c r="W78"/>
    </row>
    <row r="79" spans="1:23" ht="12.75">
      <c r="A79" s="22" t="s">
        <v>6</v>
      </c>
      <c r="B79" s="42" t="s">
        <v>268</v>
      </c>
      <c r="C79" s="22" t="s">
        <v>133</v>
      </c>
      <c r="D79" s="57" t="s">
        <v>187</v>
      </c>
      <c r="E79" s="65">
        <f aca="true" t="shared" si="7" ref="E79:L79">E66-E69+E50+E101</f>
        <v>0.45000000000000007</v>
      </c>
      <c r="F79" s="65">
        <f t="shared" si="7"/>
        <v>0.45000000000000007</v>
      </c>
      <c r="G79" s="65">
        <f t="shared" si="7"/>
        <v>0.45000000000000007</v>
      </c>
      <c r="H79" s="65">
        <f t="shared" si="7"/>
        <v>0.45000000000000007</v>
      </c>
      <c r="I79" s="65">
        <f t="shared" si="7"/>
        <v>0.45000000000000007</v>
      </c>
      <c r="J79" s="65">
        <f t="shared" si="7"/>
        <v>0.45000000000000007</v>
      </c>
      <c r="K79" s="65">
        <f t="shared" si="7"/>
        <v>0.45000000000000007</v>
      </c>
      <c r="L79" s="65">
        <f t="shared" si="7"/>
        <v>0.45000000000000007</v>
      </c>
      <c r="P79"/>
      <c r="Q79"/>
      <c r="R79"/>
      <c r="S79"/>
      <c r="T79"/>
      <c r="U79"/>
      <c r="V79"/>
      <c r="W79"/>
    </row>
    <row r="80" spans="1:23" ht="12.75">
      <c r="A80" s="22" t="s">
        <v>189</v>
      </c>
      <c r="B80" s="42" t="s">
        <v>217</v>
      </c>
      <c r="C80" s="22" t="s">
        <v>226</v>
      </c>
      <c r="D80" s="51" t="s">
        <v>227</v>
      </c>
      <c r="E80" s="38" t="s">
        <v>45</v>
      </c>
      <c r="F80" s="38" t="s">
        <v>45</v>
      </c>
      <c r="G80" s="38" t="s">
        <v>45</v>
      </c>
      <c r="H80" s="38" t="s">
        <v>45</v>
      </c>
      <c r="I80" s="38" t="s">
        <v>45</v>
      </c>
      <c r="J80" s="38" t="s">
        <v>45</v>
      </c>
      <c r="K80" s="38" t="s">
        <v>45</v>
      </c>
      <c r="L80" s="38" t="s">
        <v>45</v>
      </c>
      <c r="P80"/>
      <c r="Q80"/>
      <c r="R80"/>
      <c r="S80"/>
      <c r="T80"/>
      <c r="U80"/>
      <c r="V80"/>
      <c r="W80"/>
    </row>
    <row r="81" spans="1:23" ht="12.75">
      <c r="A81" s="22" t="s">
        <v>6</v>
      </c>
      <c r="B81" s="42" t="s">
        <v>218</v>
      </c>
      <c r="C81" s="22" t="s">
        <v>228</v>
      </c>
      <c r="D81" s="51" t="s">
        <v>229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P81"/>
      <c r="Q81"/>
      <c r="R81"/>
      <c r="S81"/>
      <c r="T81"/>
      <c r="U81"/>
      <c r="V81"/>
      <c r="W81"/>
    </row>
    <row r="82" spans="1:23" ht="12.75">
      <c r="A82" s="22" t="s">
        <v>6</v>
      </c>
      <c r="B82" s="42" t="s">
        <v>219</v>
      </c>
      <c r="C82" s="22" t="s">
        <v>230</v>
      </c>
      <c r="D82" s="51" t="s">
        <v>231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P82"/>
      <c r="Q82"/>
      <c r="R82"/>
      <c r="S82"/>
      <c r="T82"/>
      <c r="U82"/>
      <c r="V82"/>
      <c r="W82"/>
    </row>
    <row r="83" spans="1:23" ht="15">
      <c r="A83" s="22" t="s">
        <v>189</v>
      </c>
      <c r="B83" s="42" t="s">
        <v>220</v>
      </c>
      <c r="C83" s="22" t="s">
        <v>135</v>
      </c>
      <c r="D83" s="58" t="s">
        <v>134</v>
      </c>
      <c r="E83" s="39" t="s">
        <v>168</v>
      </c>
      <c r="F83" s="39" t="s">
        <v>168</v>
      </c>
      <c r="G83" s="39" t="s">
        <v>168</v>
      </c>
      <c r="H83" s="39" t="s">
        <v>168</v>
      </c>
      <c r="I83" s="39" t="s">
        <v>168</v>
      </c>
      <c r="J83" s="39" t="s">
        <v>168</v>
      </c>
      <c r="K83" s="39" t="s">
        <v>168</v>
      </c>
      <c r="L83" s="39" t="s">
        <v>168</v>
      </c>
      <c r="P83"/>
      <c r="Q83"/>
      <c r="R83"/>
      <c r="S83"/>
      <c r="T83"/>
      <c r="U83"/>
      <c r="V83"/>
      <c r="W83"/>
    </row>
    <row r="84" spans="1:23" ht="15">
      <c r="A84" s="22" t="s">
        <v>6</v>
      </c>
      <c r="B84" s="42" t="s">
        <v>221</v>
      </c>
      <c r="C84" s="22" t="s">
        <v>136</v>
      </c>
      <c r="D84" s="58" t="s">
        <v>137</v>
      </c>
      <c r="E84" s="39">
        <v>1.2</v>
      </c>
      <c r="F84" s="39">
        <v>1.2</v>
      </c>
      <c r="G84" s="39">
        <v>1.2</v>
      </c>
      <c r="H84" s="39">
        <v>1.2</v>
      </c>
      <c r="I84" s="39">
        <v>1.2</v>
      </c>
      <c r="J84" s="39">
        <v>1.2</v>
      </c>
      <c r="K84" s="39">
        <v>1.2</v>
      </c>
      <c r="L84" s="39">
        <v>1.2</v>
      </c>
      <c r="P84"/>
      <c r="Q84"/>
      <c r="R84"/>
      <c r="S84"/>
      <c r="T84"/>
      <c r="U84"/>
      <c r="V84"/>
      <c r="W84"/>
    </row>
    <row r="85" spans="1:23" ht="15">
      <c r="A85" s="22" t="s">
        <v>6</v>
      </c>
      <c r="B85" s="42" t="s">
        <v>222</v>
      </c>
      <c r="C85" s="22" t="s">
        <v>138</v>
      </c>
      <c r="D85" s="58" t="s">
        <v>139</v>
      </c>
      <c r="E85" s="39">
        <v>1.5</v>
      </c>
      <c r="F85" s="39">
        <v>1.5</v>
      </c>
      <c r="G85" s="39">
        <v>1.5</v>
      </c>
      <c r="H85" s="39">
        <v>1.5</v>
      </c>
      <c r="I85" s="39">
        <v>1.5</v>
      </c>
      <c r="J85" s="39">
        <v>1.5</v>
      </c>
      <c r="K85" s="39">
        <v>1.5</v>
      </c>
      <c r="L85" s="39">
        <v>1.5</v>
      </c>
      <c r="P85"/>
      <c r="Q85"/>
      <c r="R85"/>
      <c r="S85"/>
      <c r="T85"/>
      <c r="U85"/>
      <c r="V85"/>
      <c r="W85"/>
    </row>
    <row r="86" spans="1:23" ht="12.75">
      <c r="A86" s="22" t="s">
        <v>189</v>
      </c>
      <c r="B86" s="42" t="s">
        <v>223</v>
      </c>
      <c r="C86" s="22" t="s">
        <v>263</v>
      </c>
      <c r="D86" s="59" t="s">
        <v>259</v>
      </c>
      <c r="E86" s="65" t="str">
        <f>IF(HLOOKUP("PWELL
to S-side
of POLY",spec!$A$2:$W$426,COLUMN(B16),0)&lt;&gt;"na","PWELL_BLK","NOLAYER")</f>
        <v>PWELL_BLK</v>
      </c>
      <c r="F86" s="65" t="str">
        <f>IF(HLOOKUP("PWELL
to S-side
of POLY",spec!$A$2:$W$426,COLUMN(C16),0)&lt;&gt;"na","PWELL_BLK","NOLAYER")</f>
        <v>PWELL_BLK</v>
      </c>
      <c r="G86" s="65" t="str">
        <f>IF(HLOOKUP("PWELL
to S-side
of POLY",spec!$A$2:$W$426,COLUMN(D16),0)&lt;&gt;"na","PWELL_BLK","NOLAYER")</f>
        <v>PWELL_BLK</v>
      </c>
      <c r="H86" s="65" t="str">
        <f>IF(HLOOKUP("PWELL
to S-side
of POLY",spec!$A$2:$W$426,COLUMN(E16),0)&lt;&gt;"na","PWELL_BLK","NOLAYER")</f>
        <v>PWELL_BLK</v>
      </c>
      <c r="I86" s="65" t="str">
        <f>IF(HLOOKUP("PWELL
to S-side
of POLY",spec!$A$2:$W$426,COLUMN(F16),0)&lt;&gt;"na","PWELL_BLK","NOLAYER")</f>
        <v>PWELL_BLK</v>
      </c>
      <c r="J86" s="65" t="str">
        <f>IF(HLOOKUP("PWELL
to S-side
of POLY",spec!$A$2:$W$426,COLUMN(G16),0)&lt;&gt;"na","PWELL_BLK","NOLAYER")</f>
        <v>PWELL_BLK</v>
      </c>
      <c r="K86" s="65" t="str">
        <f>IF(HLOOKUP("PWELL
to S-side
of POLY",spec!$A$2:$W$426,COLUMN(H16),0)&lt;&gt;"na","PWELL_BLK","NOLAYER")</f>
        <v>PWELL_BLK</v>
      </c>
      <c r="L86" s="65" t="str">
        <f>IF(HLOOKUP("PWELL
to S-side
of POLY",spec!$A$2:$W$426,COLUMN(I16),0)&lt;&gt;"na","PWELL_BLK","NOLAYER")</f>
        <v>PWELL_BLK</v>
      </c>
      <c r="P86"/>
      <c r="Q86"/>
      <c r="R86"/>
      <c r="S86"/>
      <c r="T86"/>
      <c r="U86"/>
      <c r="V86"/>
      <c r="W86"/>
    </row>
    <row r="87" spans="1:23" ht="12.75">
      <c r="A87" s="22" t="s">
        <v>6</v>
      </c>
      <c r="B87" s="42" t="s">
        <v>224</v>
      </c>
      <c r="C87" s="22" t="s">
        <v>264</v>
      </c>
      <c r="D87" s="59" t="s">
        <v>309</v>
      </c>
      <c r="E87" s="65">
        <f>HLOOKUP("PWELL
to S-side
of POLY",spec!$A$2:$W$426,COLUMN(B15),0)</f>
        <v>0.4</v>
      </c>
      <c r="F87" s="65">
        <f>HLOOKUP("PWELL
to S-side
of POLY",spec!$A$2:$W$426,COLUMN(C15),0)</f>
        <v>0.35</v>
      </c>
      <c r="G87" s="65">
        <f>HLOOKUP("PWELL
to S-side
of POLY",spec!$A$2:$W$426,COLUMN(D15),0)</f>
        <v>0.3</v>
      </c>
      <c r="H87" s="65">
        <f>HLOOKUP("PWELL
to S-side
of POLY",spec!$A$2:$W$426,COLUMN(E15),0)</f>
        <v>0.4</v>
      </c>
      <c r="I87" s="65">
        <f>HLOOKUP("PWELL
to S-side
of POLY",spec!$A$2:$W$426,COLUMN(F15),0)</f>
        <v>0.4</v>
      </c>
      <c r="J87" s="65">
        <f>HLOOKUP("PWELL
to S-side
of POLY",spec!$A$2:$W$426,COLUMN(G15),0)</f>
        <v>0.4</v>
      </c>
      <c r="K87" s="65">
        <f>HLOOKUP("PWELL
to S-side
of POLY",spec!$A$2:$W$426,COLUMN(H15),0)</f>
        <v>0.35</v>
      </c>
      <c r="L87" s="65">
        <f>HLOOKUP("PWELL
to S-side
of POLY",spec!$A$2:$W$426,COLUMN(I15),0)</f>
        <v>0.3</v>
      </c>
      <c r="P87"/>
      <c r="Q87"/>
      <c r="R87"/>
      <c r="S87"/>
      <c r="T87"/>
      <c r="U87"/>
      <c r="V87"/>
      <c r="W87"/>
    </row>
    <row r="88" spans="1:23" ht="12.75">
      <c r="A88" s="22" t="s">
        <v>6</v>
      </c>
      <c r="B88" s="42" t="s">
        <v>232</v>
      </c>
      <c r="C88" s="22" t="s">
        <v>265</v>
      </c>
      <c r="D88" s="59" t="s">
        <v>260</v>
      </c>
      <c r="E88" s="38">
        <v>0.55</v>
      </c>
      <c r="F88" s="38">
        <v>0.55</v>
      </c>
      <c r="G88" s="38">
        <v>0.55</v>
      </c>
      <c r="H88" s="38">
        <v>0.55</v>
      </c>
      <c r="I88" s="38">
        <v>0.55</v>
      </c>
      <c r="J88" s="38">
        <v>0.55</v>
      </c>
      <c r="K88" s="38">
        <v>0.55</v>
      </c>
      <c r="L88" s="38">
        <v>0.55</v>
      </c>
      <c r="P88"/>
      <c r="Q88"/>
      <c r="R88"/>
      <c r="S88"/>
      <c r="T88"/>
      <c r="U88"/>
      <c r="V88"/>
      <c r="W88"/>
    </row>
    <row r="89" spans="1:23" ht="12.75">
      <c r="A89" s="22" t="s">
        <v>189</v>
      </c>
      <c r="B89" s="42" t="s">
        <v>233</v>
      </c>
      <c r="C89" s="22" t="s">
        <v>263</v>
      </c>
      <c r="D89" s="59" t="s">
        <v>259</v>
      </c>
      <c r="E89" s="38" t="s">
        <v>169</v>
      </c>
      <c r="F89" s="38" t="s">
        <v>169</v>
      </c>
      <c r="G89" s="38" t="s">
        <v>169</v>
      </c>
      <c r="H89" s="38" t="s">
        <v>169</v>
      </c>
      <c r="I89" s="38" t="s">
        <v>169</v>
      </c>
      <c r="J89" s="38" t="s">
        <v>169</v>
      </c>
      <c r="K89" s="38" t="s">
        <v>169</v>
      </c>
      <c r="L89" s="38" t="s">
        <v>169</v>
      </c>
      <c r="P89"/>
      <c r="Q89"/>
      <c r="R89"/>
      <c r="S89"/>
      <c r="T89"/>
      <c r="U89"/>
      <c r="V89"/>
      <c r="W89"/>
    </row>
    <row r="90" spans="1:23" ht="12.75">
      <c r="A90" s="22" t="s">
        <v>6</v>
      </c>
      <c r="B90" s="42" t="s">
        <v>234</v>
      </c>
      <c r="C90" s="22" t="s">
        <v>264</v>
      </c>
      <c r="D90" s="59" t="s">
        <v>309</v>
      </c>
      <c r="E90" s="65">
        <f>IF(HLOOKUP("NDRN
extend
-beyond 
SOURCE",spec!$A$2:$Z$426,COLUMN(B18),0)="na",IF(HLOOKUP("PWELL
to S-side
of POLY",spec!$A$2:$W$426,COLUMN(B18),0)&lt;&gt;"na",HLOOKUP("PWELL
to S-side
of POLY",spec!$A$2:$W$426,COLUMN(B18),0)+HLOOKUP("G (du)",spec!$A$2:$W$426,COLUMN(B16),0),E47-HLOOKUP("X (du)",spec!$A$2:$W$426,COLUMN(B16),0)),E87-HLOOKUP("NDRN
extend
-beyond 
SOURCE",spec!$A$2:$Z$426,COLUMN(B18),0))</f>
        <v>0.4</v>
      </c>
      <c r="F90" s="65">
        <f>IF(HLOOKUP("NDRN
extend
-beyond 
SOURCE",spec!$A$2:$Z$426,COLUMN(C18),0)="na",IF(HLOOKUP("PWELL
to S-side
of POLY",spec!$A$2:$W$426,COLUMN(C18),0)&lt;&gt;"na",HLOOKUP("PWELL
to S-side
of POLY",spec!$A$2:$W$426,COLUMN(C18),0)+HLOOKUP("G (du)",spec!$A$2:$W$426,COLUMN(C16),0),F47-HLOOKUP("X (du)",spec!$A$2:$W$426,COLUMN(C16),0)),F87-HLOOKUP("NDRN
extend
-beyond 
SOURCE",spec!$A$2:$Z$426,COLUMN(C18),0))</f>
        <v>0.35</v>
      </c>
      <c r="G90" s="65">
        <f>IF(HLOOKUP("NDRN
extend
-beyond 
SOURCE",spec!$A$2:$Z$426,COLUMN(D18),0)="na",IF(HLOOKUP("PWELL
to S-side
of POLY",spec!$A$2:$W$426,COLUMN(D18),0)&lt;&gt;"na",HLOOKUP("PWELL
to S-side
of POLY",spec!$A$2:$W$426,COLUMN(D18),0)+HLOOKUP("G (du)",spec!$A$2:$W$426,COLUMN(D16),0),G47-HLOOKUP("X (du)",spec!$A$2:$W$426,COLUMN(D16),0)),G87-HLOOKUP("NDRN
extend
-beyond 
SOURCE",spec!$A$2:$Z$426,COLUMN(D18),0))</f>
        <v>0.3</v>
      </c>
      <c r="H90" s="65">
        <f>IF(HLOOKUP("NDRN
extend
-beyond 
SOURCE",spec!$A$2:$Z$426,COLUMN(E18),0)="na",IF(HLOOKUP("PWELL
to S-side
of POLY",spec!$A$2:$W$426,COLUMN(E18),0)&lt;&gt;"na",HLOOKUP("PWELL
to S-side
of POLY",spec!$A$2:$W$426,COLUMN(E18),0)+HLOOKUP("G (du)",spec!$A$2:$W$426,COLUMN(E16),0),H47-HLOOKUP("X (du)",spec!$A$2:$W$426,COLUMN(E16),0)),H87-HLOOKUP("NDRN
extend
-beyond 
SOURCE",spec!$A$2:$Z$426,COLUMN(E18),0))</f>
        <v>0.4</v>
      </c>
      <c r="I90" s="65">
        <f>IF(HLOOKUP("NDRN
extend
-beyond 
SOURCE",spec!$A$2:$Z$426,COLUMN(F18),0)="na",IF(HLOOKUP("PWELL
to S-side
of POLY",spec!$A$2:$W$426,COLUMN(F18),0)&lt;&gt;"na",HLOOKUP("PWELL
to S-side
of POLY",spec!$A$2:$W$426,COLUMN(F18),0)+HLOOKUP("G (du)",spec!$A$2:$W$426,COLUMN(F16),0),I47-HLOOKUP("X (du)",spec!$A$2:$W$426,COLUMN(F16),0)),I87-HLOOKUP("NDRN
extend
-beyond 
SOURCE",spec!$A$2:$Z$426,COLUMN(F18),0))</f>
        <v>0.4</v>
      </c>
      <c r="J90" s="65">
        <f>IF(HLOOKUP("NDRN
extend
-beyond 
SOURCE",spec!$A$2:$Z$426,COLUMN(G18),0)="na",IF(HLOOKUP("PWELL
to S-side
of POLY",spec!$A$2:$W$426,COLUMN(G18),0)&lt;&gt;"na",HLOOKUP("PWELL
to S-side
of POLY",spec!$A$2:$W$426,COLUMN(G18),0)+HLOOKUP("G (du)",spec!$A$2:$W$426,COLUMN(G16),0),J47-HLOOKUP("X (du)",spec!$A$2:$W$426,COLUMN(G16),0)),J87-HLOOKUP("NDRN
extend
-beyond 
SOURCE",spec!$A$2:$Z$426,COLUMN(G18),0))</f>
        <v>0.4</v>
      </c>
      <c r="K90" s="65">
        <f>IF(HLOOKUP("NDRN
extend
-beyond 
SOURCE",spec!$A$2:$Z$426,COLUMN(H18),0)="na",IF(HLOOKUP("PWELL
to S-side
of POLY",spec!$A$2:$W$426,COLUMN(H18),0)&lt;&gt;"na",HLOOKUP("PWELL
to S-side
of POLY",spec!$A$2:$W$426,COLUMN(H18),0)+HLOOKUP("G (du)",spec!$A$2:$W$426,COLUMN(H16),0),K47-HLOOKUP("X (du)",spec!$A$2:$W$426,COLUMN(H16),0)),K87-HLOOKUP("NDRN
extend
-beyond 
SOURCE",spec!$A$2:$Z$426,COLUMN(H18),0))</f>
        <v>0.35</v>
      </c>
      <c r="L90" s="65">
        <f>IF(HLOOKUP("NDRN
extend
-beyond 
SOURCE",spec!$A$2:$Z$426,COLUMN(I18),0)="na",IF(HLOOKUP("PWELL
to S-side
of POLY",spec!$A$2:$W$426,COLUMN(I18),0)&lt;&gt;"na",HLOOKUP("PWELL
to S-side
of POLY",spec!$A$2:$W$426,COLUMN(I18),0)+HLOOKUP("G (du)",spec!$A$2:$W$426,COLUMN(I16),0),L47-HLOOKUP("X (du)",spec!$A$2:$W$426,COLUMN(I16),0)),L87-HLOOKUP("NDRN
extend
-beyond 
SOURCE",spec!$A$2:$Z$426,COLUMN(I18),0))</f>
        <v>0.3</v>
      </c>
      <c r="P90"/>
      <c r="Q90"/>
      <c r="R90"/>
      <c r="S90"/>
      <c r="T90"/>
      <c r="U90"/>
      <c r="V90"/>
      <c r="W90"/>
    </row>
    <row r="91" spans="1:23" ht="12.75">
      <c r="A91" s="22" t="s">
        <v>6</v>
      </c>
      <c r="B91" s="42" t="s">
        <v>235</v>
      </c>
      <c r="C91" s="22" t="s">
        <v>265</v>
      </c>
      <c r="D91" s="59" t="s">
        <v>260</v>
      </c>
      <c r="E91" s="38">
        <v>0.55</v>
      </c>
      <c r="F91" s="38">
        <v>0.55</v>
      </c>
      <c r="G91" s="38">
        <v>0.55</v>
      </c>
      <c r="H91" s="38">
        <v>0.55</v>
      </c>
      <c r="I91" s="38">
        <v>0.55</v>
      </c>
      <c r="J91" s="38">
        <v>0.55</v>
      </c>
      <c r="K91" s="38">
        <v>0.55</v>
      </c>
      <c r="L91" s="38">
        <v>0.55</v>
      </c>
      <c r="P91"/>
      <c r="Q91"/>
      <c r="R91"/>
      <c r="S91"/>
      <c r="T91"/>
      <c r="U91"/>
      <c r="V91"/>
      <c r="W91"/>
    </row>
    <row r="92" spans="1:23" ht="12.75">
      <c r="A92" s="22" t="s">
        <v>189</v>
      </c>
      <c r="B92" s="42" t="s">
        <v>269</v>
      </c>
      <c r="C92" s="22" t="s">
        <v>263</v>
      </c>
      <c r="D92" s="59" t="s">
        <v>259</v>
      </c>
      <c r="E92" s="65" t="str">
        <f aca="true" t="shared" si="8" ref="E92:L92">IF(E98="SIBLK","SDBLK","NOLAYER")</f>
        <v>SDBLK</v>
      </c>
      <c r="F92" s="65" t="str">
        <f t="shared" si="8"/>
        <v>SDBLK</v>
      </c>
      <c r="G92" s="65" t="str">
        <f t="shared" si="8"/>
        <v>SDBLK</v>
      </c>
      <c r="H92" s="65" t="str">
        <f t="shared" si="8"/>
        <v>SDBLK</v>
      </c>
      <c r="I92" s="65" t="str">
        <f t="shared" si="8"/>
        <v>SDBLK</v>
      </c>
      <c r="J92" s="65" t="str">
        <f t="shared" si="8"/>
        <v>SDBLK</v>
      </c>
      <c r="K92" s="65" t="str">
        <f t="shared" si="8"/>
        <v>SDBLK</v>
      </c>
      <c r="L92" s="65" t="str">
        <f t="shared" si="8"/>
        <v>SDBLK</v>
      </c>
      <c r="P92"/>
      <c r="Q92"/>
      <c r="R92"/>
      <c r="S92"/>
      <c r="T92"/>
      <c r="U92"/>
      <c r="V92"/>
      <c r="W92"/>
    </row>
    <row r="93" spans="1:23" ht="12.75">
      <c r="A93" s="22" t="s">
        <v>6</v>
      </c>
      <c r="B93" s="42" t="s">
        <v>270</v>
      </c>
      <c r="C93" s="22" t="s">
        <v>264</v>
      </c>
      <c r="D93" s="59" t="s">
        <v>309</v>
      </c>
      <c r="E93" s="65">
        <f>E47-IF(HLOOKUP("SDBLK
/SIBLK
extend into
POLY",spec!$A$2:$W$426,COLUMN(B56),0)="na",0,HLOOKUP("SDBLK
/SIBLK
extend into
POLY",spec!$A$2:$W$426,COLUMN(B56),0))</f>
        <v>0.7</v>
      </c>
      <c r="F93" s="65">
        <f>F47-IF(HLOOKUP("SDBLK
/SIBLK
extend into
POLY",spec!$A$2:$W$426,COLUMN(C56),0)="na",0,HLOOKUP("SDBLK
/SIBLK
extend into
POLY",spec!$A$2:$W$426,COLUMN(C56),0))</f>
        <v>0.6499999999999999</v>
      </c>
      <c r="G93" s="65">
        <f>G47-IF(HLOOKUP("SDBLK
/SIBLK
extend into
POLY",spec!$A$2:$W$426,COLUMN(D56),0)="na",0,HLOOKUP("SDBLK
/SIBLK
extend into
POLY",spec!$A$2:$W$426,COLUMN(D56),0))</f>
        <v>0.5999999999999999</v>
      </c>
      <c r="H93" s="65">
        <f>H47-IF(HLOOKUP("SDBLK
/SIBLK
extend into
POLY",spec!$A$2:$W$426,COLUMN(E56),0)="na",0,HLOOKUP("SDBLK
/SIBLK
extend into
POLY",spec!$A$2:$W$426,COLUMN(E56),0))</f>
        <v>0.7</v>
      </c>
      <c r="I93" s="65">
        <f>I47-IF(HLOOKUP("SDBLK
/SIBLK
extend into
POLY",spec!$A$2:$W$426,COLUMN(F56),0)="na",0,HLOOKUP("SDBLK
/SIBLK
extend into
POLY",spec!$A$2:$W$426,COLUMN(F56),0))</f>
        <v>0.7</v>
      </c>
      <c r="J93" s="65">
        <f>J47-IF(HLOOKUP("SDBLK
/SIBLK
extend into
POLY",spec!$A$2:$W$426,COLUMN(G56),0)="na",0,HLOOKUP("SDBLK
/SIBLK
extend into
POLY",spec!$A$2:$W$426,COLUMN(G56),0))</f>
        <v>0.7</v>
      </c>
      <c r="K93" s="65">
        <f>K47-IF(HLOOKUP("SDBLK
/SIBLK
extend into
POLY",spec!$A$2:$W$426,COLUMN(H56),0)="na",0,HLOOKUP("SDBLK
/SIBLK
extend into
POLY",spec!$A$2:$W$426,COLUMN(H56),0))</f>
        <v>0.6499999999999999</v>
      </c>
      <c r="L93" s="65">
        <f>L47-IF(HLOOKUP("SDBLK
/SIBLK
extend into
POLY",spec!$A$2:$W$426,COLUMN(I56),0)="na",0,HLOOKUP("SDBLK
/SIBLK
extend into
POLY",spec!$A$2:$W$426,COLUMN(I56),0))</f>
        <v>0.5999999999999999</v>
      </c>
      <c r="P93"/>
      <c r="Q93"/>
      <c r="R93"/>
      <c r="S93"/>
      <c r="T93"/>
      <c r="U93"/>
      <c r="V93"/>
      <c r="W93"/>
    </row>
    <row r="94" spans="1:23" ht="12.75">
      <c r="A94" s="22" t="s">
        <v>6</v>
      </c>
      <c r="B94" s="42" t="s">
        <v>271</v>
      </c>
      <c r="C94" s="22" t="s">
        <v>265</v>
      </c>
      <c r="D94" s="59" t="s">
        <v>260</v>
      </c>
      <c r="E94" s="38">
        <v>0.15</v>
      </c>
      <c r="F94" s="38">
        <v>0.15</v>
      </c>
      <c r="G94" s="38">
        <v>0.15</v>
      </c>
      <c r="H94" s="38">
        <v>0.15</v>
      </c>
      <c r="I94" s="38">
        <v>0.15</v>
      </c>
      <c r="J94" s="38">
        <v>0.15</v>
      </c>
      <c r="K94" s="38">
        <v>0.15</v>
      </c>
      <c r="L94" s="38">
        <v>0.15</v>
      </c>
      <c r="P94"/>
      <c r="Q94"/>
      <c r="R94"/>
      <c r="S94"/>
      <c r="T94"/>
      <c r="U94"/>
      <c r="V94"/>
      <c r="W94"/>
    </row>
    <row r="95" spans="1:23" ht="30">
      <c r="A95" s="22" t="s">
        <v>189</v>
      </c>
      <c r="B95" s="42" t="s">
        <v>269</v>
      </c>
      <c r="C95" s="22" t="s">
        <v>263</v>
      </c>
      <c r="D95" s="59" t="s">
        <v>259</v>
      </c>
      <c r="E95" s="62" t="str">
        <f>IF(HLOOKUP("NLDD2
coincident
with 
SDBLK",spec!$A$2:$Z$426,COLUMN(B2),0)&lt;&gt;"na",HLOOKUP("NLDD2
coincident
with 
SDBLK",spec!$A$2:$Z$426,COLUMN(B2),0),"NOLAYER")</f>
        <v>NOLAYER</v>
      </c>
      <c r="F95" s="62" t="str">
        <f>IF(HLOOKUP("NLDD2
coincident
with 
SDBLK",spec!$A$2:$Z$426,COLUMN(C2),0)&lt;&gt;"na",HLOOKUP("NLDD2
coincident
with 
SDBLK",spec!$A$2:$Z$426,COLUMN(C2),0),"NOLAYER")</f>
        <v>NOLAYER</v>
      </c>
      <c r="G95" s="62" t="str">
        <f>IF(HLOOKUP("NLDD2
coincident
with 
SDBLK",spec!$A$2:$Z$426,COLUMN(D2),0)&lt;&gt;"na",HLOOKUP("NLDD2
coincident
with 
SDBLK",spec!$A$2:$Z$426,COLUMN(D2),0),"NOLAYER")</f>
        <v>NOLAYER</v>
      </c>
      <c r="H95" s="62" t="str">
        <f>IF(HLOOKUP("NLDD2
coincident
with 
SDBLK",spec!$A$2:$Z$426,COLUMN(E2),0)&lt;&gt;"na",HLOOKUP("NLDD2
coincident
with 
SDBLK",spec!$A$2:$Z$426,COLUMN(E2),0),"NOLAYER")</f>
        <v>NOLAYER</v>
      </c>
      <c r="I95" s="62" t="str">
        <f>IF(HLOOKUP("NLDD2
coincident
with 
SDBLK",spec!$A$2:$Z$426,COLUMN(F2),0)&lt;&gt;"na",HLOOKUP("NLDD2
coincident
with 
SDBLK",spec!$A$2:$Z$426,COLUMN(F2),0),"NOLAYER")</f>
        <v>NLDD2_add</v>
      </c>
      <c r="J95" s="62" t="str">
        <f>IF(HLOOKUP("NLDD2
coincident
with 
SDBLK",spec!$A$2:$Z$426,COLUMN(G2),0)&lt;&gt;"na",HLOOKUP("NLDD2
coincident
with 
SDBLK",spec!$A$2:$Z$426,COLUMN(G2),0),"NOLAYER")</f>
        <v>NLDD2_add</v>
      </c>
      <c r="K95" s="62" t="str">
        <f>IF(HLOOKUP("NLDD2
coincident
with 
SDBLK",spec!$A$2:$Z$426,COLUMN(H2),0)&lt;&gt;"na",HLOOKUP("NLDD2
coincident
with 
SDBLK",spec!$A$2:$Z$426,COLUMN(H2),0),"NOLAYER")</f>
        <v>NLDD2_add</v>
      </c>
      <c r="L95" s="62" t="str">
        <f>IF(HLOOKUP("NLDD2
coincident
with 
SDBLK",spec!$A$2:$Z$426,COLUMN(I2),0)&lt;&gt;"na",HLOOKUP("NLDD2
coincident
with 
SDBLK",spec!$A$2:$Z$426,COLUMN(I2),0),"NOLAYER")</f>
        <v>NLDD2_add</v>
      </c>
      <c r="P95"/>
      <c r="Q95"/>
      <c r="R95"/>
      <c r="S95"/>
      <c r="T95"/>
      <c r="U95"/>
      <c r="V95"/>
      <c r="W95"/>
    </row>
    <row r="96" spans="1:23" ht="12.75">
      <c r="A96" s="22" t="s">
        <v>6</v>
      </c>
      <c r="B96" s="42" t="s">
        <v>270</v>
      </c>
      <c r="C96" s="22" t="s">
        <v>264</v>
      </c>
      <c r="D96" s="59" t="s">
        <v>309</v>
      </c>
      <c r="E96" s="65">
        <f aca="true" t="shared" si="9" ref="E96:L96">IF(E95="NOLAYER",0,E93)</f>
        <v>0</v>
      </c>
      <c r="F96" s="65">
        <f t="shared" si="9"/>
        <v>0</v>
      </c>
      <c r="G96" s="65">
        <f t="shared" si="9"/>
        <v>0</v>
      </c>
      <c r="H96" s="65">
        <f t="shared" si="9"/>
        <v>0</v>
      </c>
      <c r="I96" s="65">
        <f t="shared" si="9"/>
        <v>0.7</v>
      </c>
      <c r="J96" s="65">
        <f t="shared" si="9"/>
        <v>0.7</v>
      </c>
      <c r="K96" s="65">
        <f t="shared" si="9"/>
        <v>0.6499999999999999</v>
      </c>
      <c r="L96" s="65">
        <f t="shared" si="9"/>
        <v>0.5999999999999999</v>
      </c>
      <c r="P96"/>
      <c r="Q96"/>
      <c r="R96"/>
      <c r="S96"/>
      <c r="T96"/>
      <c r="U96"/>
      <c r="V96"/>
      <c r="W96"/>
    </row>
    <row r="97" spans="1:23" ht="12.75">
      <c r="A97" s="22" t="s">
        <v>6</v>
      </c>
      <c r="B97" s="42" t="s">
        <v>271</v>
      </c>
      <c r="C97" s="22" t="s">
        <v>265</v>
      </c>
      <c r="D97" s="59" t="s">
        <v>260</v>
      </c>
      <c r="E97" s="65">
        <f aca="true" t="shared" si="10" ref="E97:L97">IF(E95="NOLAYER",0,E94)</f>
        <v>0</v>
      </c>
      <c r="F97" s="65">
        <f t="shared" si="10"/>
        <v>0</v>
      </c>
      <c r="G97" s="65">
        <f t="shared" si="10"/>
        <v>0</v>
      </c>
      <c r="H97" s="65">
        <f t="shared" si="10"/>
        <v>0</v>
      </c>
      <c r="I97" s="65">
        <f t="shared" si="10"/>
        <v>0.15</v>
      </c>
      <c r="J97" s="65">
        <f t="shared" si="10"/>
        <v>0.15</v>
      </c>
      <c r="K97" s="65">
        <f t="shared" si="10"/>
        <v>0.15</v>
      </c>
      <c r="L97" s="65">
        <f t="shared" si="10"/>
        <v>0.15</v>
      </c>
      <c r="P97"/>
      <c r="Q97"/>
      <c r="R97"/>
      <c r="S97"/>
      <c r="T97"/>
      <c r="U97"/>
      <c r="V97"/>
      <c r="W97"/>
    </row>
    <row r="98" spans="1:12" s="64" customFormat="1" ht="12.75">
      <c r="A98" s="22" t="s">
        <v>189</v>
      </c>
      <c r="B98" s="42" t="s">
        <v>236</v>
      </c>
      <c r="C98" s="22" t="s">
        <v>142</v>
      </c>
      <c r="D98" s="63" t="s">
        <v>140</v>
      </c>
      <c r="E98" s="65" t="str">
        <f>IF(HLOOKUP("NSD_add,
SIBLK
space
SIBLK",spec!$A$2:$W$426,COLUMN(B16),0)&lt;&gt;"na","SIBLK","NOLAYER")</f>
        <v>SIBLK</v>
      </c>
      <c r="F98" s="65" t="str">
        <f>IF(HLOOKUP("NSD_add,
SIBLK
space
SIBLK",spec!$A$2:$W$426,COLUMN(C16),0)&lt;&gt;"na","SIBLK","NOLAYER")</f>
        <v>SIBLK</v>
      </c>
      <c r="G98" s="65" t="str">
        <f>IF(HLOOKUP("NSD_add,
SIBLK
space
SIBLK",spec!$A$2:$W$426,COLUMN(D16),0)&lt;&gt;"na","SIBLK","NOLAYER")</f>
        <v>SIBLK</v>
      </c>
      <c r="H98" s="65" t="str">
        <f>IF(HLOOKUP("NSD_add,
SIBLK
space
SIBLK",spec!$A$2:$W$426,COLUMN(E16),0)&lt;&gt;"na","SIBLK","NOLAYER")</f>
        <v>SIBLK</v>
      </c>
      <c r="I98" s="65" t="str">
        <f>IF(HLOOKUP("NSD_add,
SIBLK
space
SIBLK",spec!$A$2:$W$426,COLUMN(F16),0)&lt;&gt;"na","SIBLK","NOLAYER")</f>
        <v>SIBLK</v>
      </c>
      <c r="J98" s="65" t="str">
        <f>IF(HLOOKUP("NSD_add,
SIBLK
space
SIBLK",spec!$A$2:$W$426,COLUMN(G16),0)&lt;&gt;"na","SIBLK","NOLAYER")</f>
        <v>SIBLK</v>
      </c>
      <c r="K98" s="65" t="str">
        <f>IF(HLOOKUP("NSD_add,
SIBLK
space
SIBLK",spec!$A$2:$W$426,COLUMN(H16),0)&lt;&gt;"na","SIBLK","NOLAYER")</f>
        <v>SIBLK</v>
      </c>
      <c r="L98" s="65" t="str">
        <f>IF(HLOOKUP("NSD_add,
SIBLK
space
SIBLK",spec!$A$2:$W$426,COLUMN(I16),0)&lt;&gt;"na","SIBLK","NOLAYER")</f>
        <v>SIBLK</v>
      </c>
    </row>
    <row r="99" spans="1:12" s="64" customFormat="1" ht="12.75">
      <c r="A99" s="22" t="s">
        <v>6</v>
      </c>
      <c r="B99" s="42" t="s">
        <v>272</v>
      </c>
      <c r="C99" s="22" t="s">
        <v>262</v>
      </c>
      <c r="D99" s="63" t="s">
        <v>307</v>
      </c>
      <c r="E99" s="65">
        <f>E47-IF(HLOOKUP("SDBLK
/SIBLK
extend into
POLY",spec!$A$2:$W$426,COLUMN(B3),0)="na",0,HLOOKUP("SDBLK
/SIBLK
extend into
POLY",spec!$A$2:$W$426,COLUMN(B3),0))</f>
        <v>0.7</v>
      </c>
      <c r="F99" s="65">
        <f>F47-IF(HLOOKUP("SDBLK
/SIBLK
extend into
POLY",spec!$A$2:$W$426,COLUMN(C3),0)="na",0,HLOOKUP("SDBLK
/SIBLK
extend into
POLY",spec!$A$2:$W$426,COLUMN(C3),0))</f>
        <v>0.6499999999999999</v>
      </c>
      <c r="G99" s="65">
        <f>G47-IF(HLOOKUP("SDBLK
/SIBLK
extend into
POLY",spec!$A$2:$W$426,COLUMN(D3),0)="na",0,HLOOKUP("SDBLK
/SIBLK
extend into
POLY",spec!$A$2:$W$426,COLUMN(D3),0))</f>
        <v>0.5999999999999999</v>
      </c>
      <c r="H99" s="65">
        <f>H47-IF(HLOOKUP("SDBLK
/SIBLK
extend into
POLY",spec!$A$2:$W$426,COLUMN(E3),0)="na",0,HLOOKUP("SDBLK
/SIBLK
extend into
POLY",spec!$A$2:$W$426,COLUMN(E3),0))</f>
        <v>0.7</v>
      </c>
      <c r="I99" s="65">
        <f>I47-IF(HLOOKUP("SDBLK
/SIBLK
extend into
POLY",spec!$A$2:$W$426,COLUMN(F3),0)="na",0,HLOOKUP("SDBLK
/SIBLK
extend into
POLY",spec!$A$2:$W$426,COLUMN(F3),0))</f>
        <v>0.7</v>
      </c>
      <c r="J99" s="65">
        <f>J47-IF(HLOOKUP("SDBLK
/SIBLK
extend into
POLY",spec!$A$2:$W$426,COLUMN(G3),0)="na",0,HLOOKUP("SDBLK
/SIBLK
extend into
POLY",spec!$A$2:$W$426,COLUMN(G3),0))</f>
        <v>0.7</v>
      </c>
      <c r="K99" s="65">
        <f>K47-IF(HLOOKUP("SDBLK
/SIBLK
extend into
POLY",spec!$A$2:$W$426,COLUMN(H3),0)="na",0,HLOOKUP("SDBLK
/SIBLK
extend into
POLY",spec!$A$2:$W$426,COLUMN(H3),0))</f>
        <v>0.6499999999999999</v>
      </c>
      <c r="L99" s="65">
        <f>L47-IF(HLOOKUP("SDBLK
/SIBLK
extend into
POLY",spec!$A$2:$W$426,COLUMN(I3),0)="na",0,HLOOKUP("SDBLK
/SIBLK
extend into
POLY",spec!$A$2:$W$426,COLUMN(I3),0))</f>
        <v>0.5999999999999999</v>
      </c>
    </row>
    <row r="100" spans="1:12" s="64" customFormat="1" ht="15">
      <c r="A100" s="22" t="s">
        <v>6</v>
      </c>
      <c r="B100" s="42" t="s">
        <v>273</v>
      </c>
      <c r="C100" s="22" t="s">
        <v>143</v>
      </c>
      <c r="D100" s="63" t="s">
        <v>308</v>
      </c>
      <c r="E100" s="62">
        <f>HLOOKUP("D (du)",spec!$A$2:$W$426,COLUMN(B56),0)</f>
        <v>0.3</v>
      </c>
      <c r="F100" s="62">
        <f>HLOOKUP("D (du)",spec!$A$2:$W$426,COLUMN(C56),0)</f>
        <v>0.3</v>
      </c>
      <c r="G100" s="62">
        <f>HLOOKUP("D (du)",spec!$A$2:$W$426,COLUMN(D56),0)</f>
        <v>0.3</v>
      </c>
      <c r="H100" s="62">
        <f>HLOOKUP("D (du)",spec!$A$2:$W$426,COLUMN(E56),0)</f>
        <v>0.3</v>
      </c>
      <c r="I100" s="62">
        <f>HLOOKUP("D (du)",spec!$A$2:$W$426,COLUMN(F56),0)</f>
        <v>0.3</v>
      </c>
      <c r="J100" s="62">
        <f>HLOOKUP("D (du)",spec!$A$2:$W$426,COLUMN(G56),0)</f>
        <v>0.3</v>
      </c>
      <c r="K100" s="62">
        <f>HLOOKUP("D (du)",spec!$A$2:$W$426,COLUMN(H56),0)</f>
        <v>0.3</v>
      </c>
      <c r="L100" s="62">
        <f>HLOOKUP("D (du)",spec!$A$2:$W$426,COLUMN(I56),0)</f>
        <v>0.3</v>
      </c>
    </row>
    <row r="101" spans="1:12" s="64" customFormat="1" ht="12.75">
      <c r="A101" s="22" t="s">
        <v>6</v>
      </c>
      <c r="B101" s="42" t="s">
        <v>274</v>
      </c>
      <c r="C101" s="22" t="s">
        <v>144</v>
      </c>
      <c r="D101" s="63" t="s">
        <v>141</v>
      </c>
      <c r="E101" s="38">
        <v>0.15</v>
      </c>
      <c r="F101" s="38">
        <v>0.15</v>
      </c>
      <c r="G101" s="38">
        <v>0.15</v>
      </c>
      <c r="H101" s="38">
        <v>0.15</v>
      </c>
      <c r="I101" s="38">
        <v>0.15</v>
      </c>
      <c r="J101" s="38">
        <v>0.15</v>
      </c>
      <c r="K101" s="38">
        <v>0.15</v>
      </c>
      <c r="L101" s="38">
        <v>0.15</v>
      </c>
    </row>
    <row r="102" spans="1:23" ht="15">
      <c r="A102" s="22" t="s">
        <v>189</v>
      </c>
      <c r="B102" s="42" t="s">
        <v>275</v>
      </c>
      <c r="C102" s="22" t="s">
        <v>65</v>
      </c>
      <c r="D102" s="60" t="s">
        <v>145</v>
      </c>
      <c r="E102" s="39" t="s">
        <v>48</v>
      </c>
      <c r="F102" s="39" t="s">
        <v>48</v>
      </c>
      <c r="G102" s="39" t="s">
        <v>48</v>
      </c>
      <c r="H102" s="39" t="s">
        <v>48</v>
      </c>
      <c r="I102" s="39" t="s">
        <v>48</v>
      </c>
      <c r="J102" s="39" t="s">
        <v>48</v>
      </c>
      <c r="K102" s="39" t="s">
        <v>48</v>
      </c>
      <c r="L102" s="39" t="s">
        <v>48</v>
      </c>
      <c r="P102"/>
      <c r="Q102"/>
      <c r="R102"/>
      <c r="S102"/>
      <c r="T102"/>
      <c r="U102"/>
      <c r="V102"/>
      <c r="W102"/>
    </row>
    <row r="103" spans="1:23" ht="12.75">
      <c r="A103" s="22" t="s">
        <v>6</v>
      </c>
      <c r="B103" s="42" t="s">
        <v>276</v>
      </c>
      <c r="C103" s="22" t="s">
        <v>156</v>
      </c>
      <c r="D103" s="60" t="s">
        <v>146</v>
      </c>
      <c r="E103" s="38" t="s">
        <v>172</v>
      </c>
      <c r="F103" s="38" t="s">
        <v>172</v>
      </c>
      <c r="G103" s="38" t="s">
        <v>172</v>
      </c>
      <c r="H103" s="38" t="s">
        <v>172</v>
      </c>
      <c r="I103" s="38" t="s">
        <v>172</v>
      </c>
      <c r="J103" s="38" t="s">
        <v>172</v>
      </c>
      <c r="K103" s="38" t="s">
        <v>172</v>
      </c>
      <c r="L103" s="38" t="s">
        <v>172</v>
      </c>
      <c r="P103"/>
      <c r="Q103"/>
      <c r="R103"/>
      <c r="S103"/>
      <c r="T103"/>
      <c r="U103"/>
      <c r="V103"/>
      <c r="W103"/>
    </row>
    <row r="104" spans="1:23" ht="15">
      <c r="A104" s="22" t="s">
        <v>6</v>
      </c>
      <c r="B104" s="42" t="s">
        <v>277</v>
      </c>
      <c r="C104" s="22" t="s">
        <v>157</v>
      </c>
      <c r="D104" s="60" t="s">
        <v>153</v>
      </c>
      <c r="E104" s="39">
        <v>0.25</v>
      </c>
      <c r="F104" s="39">
        <v>0.25</v>
      </c>
      <c r="G104" s="39">
        <v>0.25</v>
      </c>
      <c r="H104" s="39">
        <v>0.25</v>
      </c>
      <c r="I104" s="39">
        <v>0.25</v>
      </c>
      <c r="J104" s="39">
        <v>0.25</v>
      </c>
      <c r="K104" s="39">
        <v>0.25</v>
      </c>
      <c r="L104" s="39">
        <v>0.25</v>
      </c>
      <c r="P104"/>
      <c r="Q104"/>
      <c r="R104"/>
      <c r="S104"/>
      <c r="T104"/>
      <c r="U104"/>
      <c r="V104"/>
      <c r="W104"/>
    </row>
    <row r="105" spans="1:23" ht="12.75">
      <c r="A105" s="35" t="s">
        <v>6</v>
      </c>
      <c r="B105" s="35" t="s">
        <v>279</v>
      </c>
      <c r="C105" s="22" t="s">
        <v>158</v>
      </c>
      <c r="D105" s="60" t="s">
        <v>154</v>
      </c>
      <c r="E105" s="38">
        <v>0.425</v>
      </c>
      <c r="F105" s="38">
        <v>0.425</v>
      </c>
      <c r="G105" s="38">
        <v>0.425</v>
      </c>
      <c r="H105" s="38">
        <v>0.425</v>
      </c>
      <c r="I105" s="38">
        <v>0.425</v>
      </c>
      <c r="J105" s="38">
        <v>0.425</v>
      </c>
      <c r="K105" s="38">
        <v>0.425</v>
      </c>
      <c r="L105" s="38">
        <v>0.425</v>
      </c>
      <c r="P105"/>
      <c r="Q105"/>
      <c r="R105"/>
      <c r="S105"/>
      <c r="T105"/>
      <c r="U105"/>
      <c r="V105"/>
      <c r="W105"/>
    </row>
    <row r="106" spans="1:23" ht="15">
      <c r="A106" s="35" t="s">
        <v>6</v>
      </c>
      <c r="B106" s="35" t="s">
        <v>278</v>
      </c>
      <c r="C106" s="22" t="s">
        <v>159</v>
      </c>
      <c r="D106" s="60" t="s">
        <v>155</v>
      </c>
      <c r="E106" s="39">
        <v>1.4</v>
      </c>
      <c r="F106" s="39">
        <v>1.4</v>
      </c>
      <c r="G106" s="39">
        <v>1.4</v>
      </c>
      <c r="H106" s="39">
        <v>1.4</v>
      </c>
      <c r="I106" s="39">
        <v>1.4</v>
      </c>
      <c r="J106" s="39">
        <v>1.4</v>
      </c>
      <c r="K106" s="39">
        <v>1.4</v>
      </c>
      <c r="L106" s="39">
        <v>1.4</v>
      </c>
      <c r="P106"/>
      <c r="Q106"/>
      <c r="R106"/>
      <c r="S106"/>
      <c r="T106"/>
      <c r="U106"/>
      <c r="V106"/>
      <c r="W106"/>
    </row>
    <row r="107" spans="1:23" ht="12.75">
      <c r="A107" s="22" t="s">
        <v>189</v>
      </c>
      <c r="B107" s="42" t="s">
        <v>280</v>
      </c>
      <c r="C107" s="22" t="s">
        <v>160</v>
      </c>
      <c r="D107" s="60" t="s">
        <v>147</v>
      </c>
      <c r="E107" s="38" t="s">
        <v>167</v>
      </c>
      <c r="F107" s="38" t="s">
        <v>167</v>
      </c>
      <c r="G107" s="38" t="s">
        <v>167</v>
      </c>
      <c r="H107" s="38" t="s">
        <v>167</v>
      </c>
      <c r="I107" s="38" t="s">
        <v>167</v>
      </c>
      <c r="J107" s="38" t="s">
        <v>167</v>
      </c>
      <c r="K107" s="38" t="s">
        <v>167</v>
      </c>
      <c r="L107" s="38" t="s">
        <v>167</v>
      </c>
      <c r="P107"/>
      <c r="Q107"/>
      <c r="R107"/>
      <c r="S107"/>
      <c r="T107"/>
      <c r="U107"/>
      <c r="V107"/>
      <c r="W107"/>
    </row>
    <row r="108" spans="1:23" ht="15">
      <c r="A108" s="22" t="s">
        <v>6</v>
      </c>
      <c r="B108" s="42" t="s">
        <v>281</v>
      </c>
      <c r="C108" s="22" t="s">
        <v>161</v>
      </c>
      <c r="D108" s="60" t="s">
        <v>148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P108"/>
      <c r="Q108"/>
      <c r="R108"/>
      <c r="S108"/>
      <c r="T108"/>
      <c r="U108"/>
      <c r="V108"/>
      <c r="W108"/>
    </row>
    <row r="109" spans="1:23" ht="12.75">
      <c r="A109" s="22" t="s">
        <v>189</v>
      </c>
      <c r="B109" s="42" t="s">
        <v>282</v>
      </c>
      <c r="C109" s="22" t="s">
        <v>160</v>
      </c>
      <c r="D109" s="60" t="s">
        <v>147</v>
      </c>
      <c r="E109" s="38" t="s">
        <v>182</v>
      </c>
      <c r="F109" s="38" t="s">
        <v>182</v>
      </c>
      <c r="G109" s="38" t="s">
        <v>182</v>
      </c>
      <c r="H109" s="38" t="s">
        <v>182</v>
      </c>
      <c r="I109" s="38" t="s">
        <v>182</v>
      </c>
      <c r="J109" s="38" t="s">
        <v>182</v>
      </c>
      <c r="K109" s="38" t="s">
        <v>182</v>
      </c>
      <c r="L109" s="38" t="s">
        <v>182</v>
      </c>
      <c r="P109"/>
      <c r="Q109"/>
      <c r="R109"/>
      <c r="S109"/>
      <c r="T109"/>
      <c r="U109"/>
      <c r="V109"/>
      <c r="W109"/>
    </row>
    <row r="110" spans="1:23" ht="15">
      <c r="A110" s="22" t="s">
        <v>6</v>
      </c>
      <c r="B110" s="42" t="s">
        <v>283</v>
      </c>
      <c r="C110" s="22" t="s">
        <v>161</v>
      </c>
      <c r="D110" s="60" t="s">
        <v>148</v>
      </c>
      <c r="E110" s="39">
        <v>0.05</v>
      </c>
      <c r="F110" s="39">
        <v>0.05</v>
      </c>
      <c r="G110" s="39">
        <v>0.05</v>
      </c>
      <c r="H110" s="39">
        <v>0.05</v>
      </c>
      <c r="I110" s="39">
        <v>0.05</v>
      </c>
      <c r="J110" s="39">
        <v>0.05</v>
      </c>
      <c r="K110" s="39">
        <v>0.05</v>
      </c>
      <c r="L110" s="39">
        <v>0.05</v>
      </c>
      <c r="P110"/>
      <c r="Q110"/>
      <c r="R110"/>
      <c r="S110"/>
      <c r="T110"/>
      <c r="U110"/>
      <c r="V110"/>
      <c r="W110"/>
    </row>
    <row r="111" spans="1:23" ht="15">
      <c r="A111" s="22" t="s">
        <v>189</v>
      </c>
      <c r="B111" s="42" t="s">
        <v>284</v>
      </c>
      <c r="C111" s="22" t="s">
        <v>58</v>
      </c>
      <c r="D111" s="60" t="s">
        <v>149</v>
      </c>
      <c r="E111" s="39" t="s">
        <v>45</v>
      </c>
      <c r="F111" s="39" t="s">
        <v>45</v>
      </c>
      <c r="G111" s="39" t="s">
        <v>45</v>
      </c>
      <c r="H111" s="39" t="s">
        <v>45</v>
      </c>
      <c r="I111" s="39" t="s">
        <v>45</v>
      </c>
      <c r="J111" s="39" t="s">
        <v>45</v>
      </c>
      <c r="K111" s="39" t="s">
        <v>45</v>
      </c>
      <c r="L111" s="39" t="s">
        <v>45</v>
      </c>
      <c r="P111"/>
      <c r="Q111"/>
      <c r="R111"/>
      <c r="S111"/>
      <c r="T111"/>
      <c r="U111"/>
      <c r="V111"/>
      <c r="W111"/>
    </row>
    <row r="112" spans="1:23" ht="15">
      <c r="A112" s="22" t="s">
        <v>6</v>
      </c>
      <c r="B112" s="42" t="s">
        <v>285</v>
      </c>
      <c r="C112" s="22" t="s">
        <v>162</v>
      </c>
      <c r="D112" s="60" t="s">
        <v>150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P112"/>
      <c r="Q112"/>
      <c r="R112"/>
      <c r="S112"/>
      <c r="T112"/>
      <c r="U112"/>
      <c r="V112"/>
      <c r="W112"/>
    </row>
    <row r="113" spans="1:23" ht="15">
      <c r="A113" s="22" t="s">
        <v>6</v>
      </c>
      <c r="B113" s="42" t="s">
        <v>286</v>
      </c>
      <c r="C113" s="22" t="s">
        <v>163</v>
      </c>
      <c r="D113" s="60" t="s">
        <v>151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P113"/>
      <c r="Q113"/>
      <c r="R113"/>
      <c r="S113"/>
      <c r="T113"/>
      <c r="U113"/>
      <c r="V113"/>
      <c r="W113"/>
    </row>
    <row r="114" spans="1:23" ht="15">
      <c r="A114" s="22" t="s">
        <v>6</v>
      </c>
      <c r="B114" s="42" t="s">
        <v>287</v>
      </c>
      <c r="C114" s="22" t="s">
        <v>164</v>
      </c>
      <c r="D114" s="60" t="s">
        <v>152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P114"/>
      <c r="Q114"/>
      <c r="R114"/>
      <c r="S114"/>
      <c r="T114"/>
      <c r="U114"/>
      <c r="V114"/>
      <c r="W114"/>
    </row>
    <row r="115" spans="1:23" ht="15">
      <c r="A115" s="22" t="s">
        <v>189</v>
      </c>
      <c r="B115" s="42" t="s">
        <v>288</v>
      </c>
      <c r="C115" s="22" t="s">
        <v>65</v>
      </c>
      <c r="D115" s="60" t="s">
        <v>145</v>
      </c>
      <c r="E115" s="39" t="s">
        <v>183</v>
      </c>
      <c r="F115" s="39" t="s">
        <v>183</v>
      </c>
      <c r="G115" s="39" t="s">
        <v>183</v>
      </c>
      <c r="H115" s="39" t="s">
        <v>183</v>
      </c>
      <c r="I115" s="39" t="s">
        <v>183</v>
      </c>
      <c r="J115" s="39" t="s">
        <v>183</v>
      </c>
      <c r="K115" s="39" t="s">
        <v>183</v>
      </c>
      <c r="L115" s="39" t="s">
        <v>183</v>
      </c>
      <c r="P115"/>
      <c r="Q115"/>
      <c r="R115"/>
      <c r="S115"/>
      <c r="T115"/>
      <c r="U115"/>
      <c r="V115"/>
      <c r="W115"/>
    </row>
    <row r="116" spans="1:23" ht="12.75">
      <c r="A116" s="22" t="s">
        <v>6</v>
      </c>
      <c r="B116" s="42" t="s">
        <v>289</v>
      </c>
      <c r="C116" s="22" t="s">
        <v>156</v>
      </c>
      <c r="D116" s="60" t="s">
        <v>146</v>
      </c>
      <c r="E116" s="38" t="s">
        <v>172</v>
      </c>
      <c r="F116" s="38" t="s">
        <v>172</v>
      </c>
      <c r="G116" s="38" t="s">
        <v>172</v>
      </c>
      <c r="H116" s="38" t="s">
        <v>172</v>
      </c>
      <c r="I116" s="38" t="s">
        <v>172</v>
      </c>
      <c r="J116" s="38" t="s">
        <v>172</v>
      </c>
      <c r="K116" s="38" t="s">
        <v>172</v>
      </c>
      <c r="L116" s="38" t="s">
        <v>172</v>
      </c>
      <c r="P116"/>
      <c r="Q116"/>
      <c r="R116"/>
      <c r="S116"/>
      <c r="T116"/>
      <c r="U116"/>
      <c r="V116"/>
      <c r="W116"/>
    </row>
    <row r="117" spans="1:23" ht="15">
      <c r="A117" s="22" t="s">
        <v>6</v>
      </c>
      <c r="B117" s="42" t="s">
        <v>290</v>
      </c>
      <c r="C117" s="22" t="s">
        <v>157</v>
      </c>
      <c r="D117" s="60" t="s">
        <v>153</v>
      </c>
      <c r="E117" s="39">
        <v>0.4</v>
      </c>
      <c r="F117" s="39">
        <v>0.4</v>
      </c>
      <c r="G117" s="39">
        <v>0.4</v>
      </c>
      <c r="H117" s="39">
        <v>0.4</v>
      </c>
      <c r="I117" s="39">
        <v>0.4</v>
      </c>
      <c r="J117" s="39">
        <v>0.4</v>
      </c>
      <c r="K117" s="39">
        <v>0.4</v>
      </c>
      <c r="L117" s="39">
        <v>0.4</v>
      </c>
      <c r="P117"/>
      <c r="Q117"/>
      <c r="R117"/>
      <c r="S117"/>
      <c r="T117"/>
      <c r="U117"/>
      <c r="V117"/>
      <c r="W117"/>
    </row>
    <row r="118" spans="1:23" ht="12.75">
      <c r="A118" s="35" t="s">
        <v>6</v>
      </c>
      <c r="B118" s="35" t="s">
        <v>291</v>
      </c>
      <c r="C118" s="22" t="s">
        <v>158</v>
      </c>
      <c r="D118" s="60" t="s">
        <v>154</v>
      </c>
      <c r="E118" s="38">
        <v>2.075</v>
      </c>
      <c r="F118" s="38">
        <v>2.075</v>
      </c>
      <c r="G118" s="38">
        <v>2.075</v>
      </c>
      <c r="H118" s="38">
        <v>2.075</v>
      </c>
      <c r="I118" s="38">
        <v>2.075</v>
      </c>
      <c r="J118" s="38">
        <v>2.075</v>
      </c>
      <c r="K118" s="38">
        <v>2.075</v>
      </c>
      <c r="L118" s="38">
        <v>2.075</v>
      </c>
      <c r="P118"/>
      <c r="Q118"/>
      <c r="R118"/>
      <c r="S118"/>
      <c r="T118"/>
      <c r="U118"/>
      <c r="V118"/>
      <c r="W118"/>
    </row>
    <row r="119" spans="1:23" ht="15">
      <c r="A119" s="35" t="s">
        <v>6</v>
      </c>
      <c r="B119" s="35" t="s">
        <v>292</v>
      </c>
      <c r="C119" s="22" t="s">
        <v>159</v>
      </c>
      <c r="D119" s="60" t="s">
        <v>155</v>
      </c>
      <c r="E119" s="39">
        <v>3.05</v>
      </c>
      <c r="F119" s="39">
        <v>3.05</v>
      </c>
      <c r="G119" s="39">
        <v>3.05</v>
      </c>
      <c r="H119" s="39">
        <v>3.05</v>
      </c>
      <c r="I119" s="39">
        <v>3.05</v>
      </c>
      <c r="J119" s="39">
        <v>3.05</v>
      </c>
      <c r="K119" s="39">
        <v>3.05</v>
      </c>
      <c r="L119" s="39">
        <v>3.05</v>
      </c>
      <c r="P119"/>
      <c r="Q119"/>
      <c r="R119"/>
      <c r="S119"/>
      <c r="T119"/>
      <c r="U119"/>
      <c r="V119"/>
      <c r="W119"/>
    </row>
    <row r="120" spans="1:23" ht="12.75">
      <c r="A120" s="22" t="s">
        <v>189</v>
      </c>
      <c r="B120" s="42" t="s">
        <v>293</v>
      </c>
      <c r="C120" s="22" t="s">
        <v>160</v>
      </c>
      <c r="D120" s="60" t="s">
        <v>147</v>
      </c>
      <c r="E120" s="38" t="s">
        <v>167</v>
      </c>
      <c r="F120" s="38" t="s">
        <v>167</v>
      </c>
      <c r="G120" s="38" t="s">
        <v>167</v>
      </c>
      <c r="H120" s="38" t="s">
        <v>167</v>
      </c>
      <c r="I120" s="38" t="s">
        <v>167</v>
      </c>
      <c r="J120" s="38" t="s">
        <v>167</v>
      </c>
      <c r="K120" s="38" t="s">
        <v>167</v>
      </c>
      <c r="L120" s="38" t="s">
        <v>167</v>
      </c>
      <c r="P120"/>
      <c r="Q120"/>
      <c r="R120"/>
      <c r="S120"/>
      <c r="T120"/>
      <c r="U120"/>
      <c r="V120"/>
      <c r="W120"/>
    </row>
    <row r="121" spans="1:23" ht="15">
      <c r="A121" s="22" t="s">
        <v>6</v>
      </c>
      <c r="B121" s="42" t="s">
        <v>294</v>
      </c>
      <c r="C121" s="22" t="s">
        <v>161</v>
      </c>
      <c r="D121" s="60" t="s">
        <v>148</v>
      </c>
      <c r="E121" s="39">
        <v>-0.025</v>
      </c>
      <c r="F121" s="39">
        <v>-0.025</v>
      </c>
      <c r="G121" s="39">
        <v>-0.025</v>
      </c>
      <c r="H121" s="39">
        <v>-0.025</v>
      </c>
      <c r="I121" s="39">
        <v>-0.025</v>
      </c>
      <c r="J121" s="39">
        <v>-0.025</v>
      </c>
      <c r="K121" s="39">
        <v>-0.025</v>
      </c>
      <c r="L121" s="39">
        <v>-0.025</v>
      </c>
      <c r="P121"/>
      <c r="Q121"/>
      <c r="R121"/>
      <c r="S121"/>
      <c r="T121"/>
      <c r="U121"/>
      <c r="V121"/>
      <c r="W121"/>
    </row>
    <row r="122" spans="1:23" ht="12.75">
      <c r="A122" s="22" t="s">
        <v>189</v>
      </c>
      <c r="B122" s="42" t="s">
        <v>295</v>
      </c>
      <c r="C122" s="22" t="s">
        <v>160</v>
      </c>
      <c r="D122" s="60" t="s">
        <v>147</v>
      </c>
      <c r="E122" s="38" t="s">
        <v>182</v>
      </c>
      <c r="F122" s="38" t="s">
        <v>182</v>
      </c>
      <c r="G122" s="38" t="s">
        <v>182</v>
      </c>
      <c r="H122" s="38" t="s">
        <v>182</v>
      </c>
      <c r="I122" s="38" t="s">
        <v>182</v>
      </c>
      <c r="J122" s="38" t="s">
        <v>182</v>
      </c>
      <c r="K122" s="38" t="s">
        <v>182</v>
      </c>
      <c r="L122" s="38" t="s">
        <v>182</v>
      </c>
      <c r="P122"/>
      <c r="Q122"/>
      <c r="R122"/>
      <c r="S122"/>
      <c r="T122"/>
      <c r="U122"/>
      <c r="V122"/>
      <c r="W122"/>
    </row>
    <row r="123" spans="1:23" ht="15">
      <c r="A123" s="22" t="s">
        <v>6</v>
      </c>
      <c r="B123" s="42" t="s">
        <v>296</v>
      </c>
      <c r="C123" s="22" t="s">
        <v>161</v>
      </c>
      <c r="D123" s="60" t="s">
        <v>148</v>
      </c>
      <c r="E123" s="39">
        <v>0.2</v>
      </c>
      <c r="F123" s="39">
        <v>0.2</v>
      </c>
      <c r="G123" s="39">
        <v>0.2</v>
      </c>
      <c r="H123" s="39">
        <v>0.2</v>
      </c>
      <c r="I123" s="39">
        <v>0.2</v>
      </c>
      <c r="J123" s="39">
        <v>0.2</v>
      </c>
      <c r="K123" s="39">
        <v>0.2</v>
      </c>
      <c r="L123" s="39">
        <v>0.2</v>
      </c>
      <c r="P123"/>
      <c r="Q123"/>
      <c r="R123"/>
      <c r="S123"/>
      <c r="T123"/>
      <c r="U123"/>
      <c r="V123"/>
      <c r="W123"/>
    </row>
    <row r="124" spans="1:23" ht="12.75">
      <c r="A124" s="22" t="s">
        <v>189</v>
      </c>
      <c r="B124" s="42" t="s">
        <v>297</v>
      </c>
      <c r="C124" s="22" t="s">
        <v>160</v>
      </c>
      <c r="D124" s="60" t="s">
        <v>147</v>
      </c>
      <c r="E124" s="38" t="s">
        <v>237</v>
      </c>
      <c r="F124" s="38" t="s">
        <v>237</v>
      </c>
      <c r="G124" s="38" t="s">
        <v>237</v>
      </c>
      <c r="H124" s="38" t="s">
        <v>237</v>
      </c>
      <c r="I124" s="38" t="s">
        <v>237</v>
      </c>
      <c r="J124" s="38" t="s">
        <v>237</v>
      </c>
      <c r="K124" s="38" t="s">
        <v>237</v>
      </c>
      <c r="L124" s="38" t="s">
        <v>237</v>
      </c>
      <c r="P124"/>
      <c r="Q124"/>
      <c r="R124"/>
      <c r="S124"/>
      <c r="T124"/>
      <c r="U124"/>
      <c r="V124"/>
      <c r="W124"/>
    </row>
    <row r="125" spans="1:23" ht="15">
      <c r="A125" s="22" t="s">
        <v>6</v>
      </c>
      <c r="B125" s="42" t="s">
        <v>298</v>
      </c>
      <c r="C125" s="22" t="s">
        <v>161</v>
      </c>
      <c r="D125" s="60" t="s">
        <v>148</v>
      </c>
      <c r="E125" s="39">
        <v>0.7</v>
      </c>
      <c r="F125" s="39">
        <v>0.7</v>
      </c>
      <c r="G125" s="39">
        <v>0.7</v>
      </c>
      <c r="H125" s="39">
        <v>0.7</v>
      </c>
      <c r="I125" s="39">
        <v>0.7</v>
      </c>
      <c r="J125" s="39">
        <v>0.7</v>
      </c>
      <c r="K125" s="39">
        <v>0.7</v>
      </c>
      <c r="L125" s="39">
        <v>0.7</v>
      </c>
      <c r="P125"/>
      <c r="Q125"/>
      <c r="R125"/>
      <c r="S125"/>
      <c r="T125"/>
      <c r="U125"/>
      <c r="V125"/>
      <c r="W125"/>
    </row>
    <row r="126" spans="1:23" ht="15">
      <c r="A126" s="22" t="s">
        <v>189</v>
      </c>
      <c r="B126" s="42" t="s">
        <v>299</v>
      </c>
      <c r="C126" s="22" t="s">
        <v>58</v>
      </c>
      <c r="D126" s="60" t="s">
        <v>149</v>
      </c>
      <c r="E126" s="39" t="s">
        <v>45</v>
      </c>
      <c r="F126" s="39" t="s">
        <v>45</v>
      </c>
      <c r="G126" s="39" t="s">
        <v>45</v>
      </c>
      <c r="H126" s="39" t="s">
        <v>45</v>
      </c>
      <c r="I126" s="39" t="s">
        <v>45</v>
      </c>
      <c r="J126" s="39" t="s">
        <v>45</v>
      </c>
      <c r="K126" s="39" t="s">
        <v>45</v>
      </c>
      <c r="L126" s="39" t="s">
        <v>45</v>
      </c>
      <c r="P126"/>
      <c r="Q126"/>
      <c r="R126"/>
      <c r="S126"/>
      <c r="T126"/>
      <c r="U126"/>
      <c r="V126"/>
      <c r="W126"/>
    </row>
    <row r="127" spans="1:23" ht="15">
      <c r="A127" s="22" t="s">
        <v>6</v>
      </c>
      <c r="B127" s="42" t="s">
        <v>300</v>
      </c>
      <c r="C127" s="22" t="s">
        <v>162</v>
      </c>
      <c r="D127" s="60" t="s">
        <v>150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P127"/>
      <c r="Q127"/>
      <c r="R127"/>
      <c r="S127"/>
      <c r="T127"/>
      <c r="U127"/>
      <c r="V127"/>
      <c r="W127"/>
    </row>
    <row r="128" spans="1:23" ht="15">
      <c r="A128" s="22" t="s">
        <v>6</v>
      </c>
      <c r="B128" s="42" t="s">
        <v>301</v>
      </c>
      <c r="C128" s="22" t="s">
        <v>163</v>
      </c>
      <c r="D128" s="60" t="s">
        <v>151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P128"/>
      <c r="Q128"/>
      <c r="R128"/>
      <c r="S128"/>
      <c r="T128"/>
      <c r="U128"/>
      <c r="V128"/>
      <c r="W128"/>
    </row>
    <row r="129" spans="1:23" ht="15">
      <c r="A129" s="22" t="s">
        <v>6</v>
      </c>
      <c r="B129" s="42" t="s">
        <v>302</v>
      </c>
      <c r="C129" s="22" t="s">
        <v>164</v>
      </c>
      <c r="D129" s="60" t="s">
        <v>152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P129"/>
      <c r="Q129"/>
      <c r="R129"/>
      <c r="S129"/>
      <c r="T129"/>
      <c r="U129"/>
      <c r="V129"/>
      <c r="W129"/>
    </row>
    <row r="130" spans="1:23" ht="15">
      <c r="A130" s="22" t="s">
        <v>189</v>
      </c>
      <c r="B130" s="42" t="s">
        <v>303</v>
      </c>
      <c r="C130" s="22" t="s">
        <v>171</v>
      </c>
      <c r="D130" s="61" t="s">
        <v>170</v>
      </c>
      <c r="E130" s="39" t="s">
        <v>238</v>
      </c>
      <c r="F130" s="39" t="s">
        <v>238</v>
      </c>
      <c r="G130" s="39" t="s">
        <v>238</v>
      </c>
      <c r="H130" s="39" t="s">
        <v>238</v>
      </c>
      <c r="I130" s="39" t="s">
        <v>238</v>
      </c>
      <c r="J130" s="39" t="s">
        <v>238</v>
      </c>
      <c r="K130" s="39" t="s">
        <v>238</v>
      </c>
      <c r="L130" s="39" t="s">
        <v>238</v>
      </c>
      <c r="P130"/>
      <c r="Q130"/>
      <c r="R130"/>
      <c r="S130"/>
      <c r="T130"/>
      <c r="U130"/>
      <c r="V130"/>
      <c r="W130"/>
    </row>
    <row r="131" spans="1:23" ht="15">
      <c r="A131" s="22" t="s">
        <v>6</v>
      </c>
      <c r="B131" s="42" t="s">
        <v>304</v>
      </c>
      <c r="C131" s="22" t="s">
        <v>225</v>
      </c>
      <c r="D131" s="61" t="s">
        <v>318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P131"/>
      <c r="Q131"/>
      <c r="R131"/>
      <c r="S131"/>
      <c r="T131"/>
      <c r="U131"/>
      <c r="V131"/>
      <c r="W131"/>
    </row>
    <row r="132" spans="1:23" ht="15">
      <c r="A132" s="22" t="s">
        <v>6</v>
      </c>
      <c r="B132" s="42" t="s">
        <v>319</v>
      </c>
      <c r="C132" s="22" t="s">
        <v>320</v>
      </c>
      <c r="D132" s="61" t="s">
        <v>321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P132"/>
      <c r="Q132"/>
      <c r="R132"/>
      <c r="S132"/>
      <c r="T132"/>
      <c r="U132"/>
      <c r="V132"/>
      <c r="W132"/>
    </row>
    <row r="133" spans="1:23" ht="15">
      <c r="A133" s="22" t="s">
        <v>6</v>
      </c>
      <c r="B133" s="42" t="s">
        <v>305</v>
      </c>
      <c r="C133" s="22" t="s">
        <v>178</v>
      </c>
      <c r="D133" s="55" t="s">
        <v>179</v>
      </c>
      <c r="E133" s="39" t="s">
        <v>352</v>
      </c>
      <c r="F133" s="39" t="s">
        <v>352</v>
      </c>
      <c r="G133" s="39" t="s">
        <v>352</v>
      </c>
      <c r="H133" s="39" t="s">
        <v>352</v>
      </c>
      <c r="I133" s="39" t="s">
        <v>352</v>
      </c>
      <c r="J133" s="39" t="s">
        <v>352</v>
      </c>
      <c r="K133" s="39" t="s">
        <v>352</v>
      </c>
      <c r="L133" s="39" t="s">
        <v>352</v>
      </c>
      <c r="P133"/>
      <c r="Q133"/>
      <c r="R133"/>
      <c r="S133"/>
      <c r="T133"/>
      <c r="U133"/>
      <c r="V133"/>
      <c r="W133"/>
    </row>
    <row r="134" spans="1:23" ht="15">
      <c r="A134" s="22" t="s">
        <v>6</v>
      </c>
      <c r="B134" s="42" t="s">
        <v>306</v>
      </c>
      <c r="C134" s="22" t="s">
        <v>180</v>
      </c>
      <c r="D134" s="55" t="s">
        <v>181</v>
      </c>
      <c r="E134" s="39" t="s">
        <v>352</v>
      </c>
      <c r="F134" s="39" t="s">
        <v>352</v>
      </c>
      <c r="G134" s="39" t="s">
        <v>352</v>
      </c>
      <c r="H134" s="39" t="s">
        <v>352</v>
      </c>
      <c r="I134" s="39" t="s">
        <v>352</v>
      </c>
      <c r="J134" s="39" t="s">
        <v>352</v>
      </c>
      <c r="K134" s="39" t="s">
        <v>352</v>
      </c>
      <c r="L134" s="39" t="s">
        <v>352</v>
      </c>
      <c r="P134"/>
      <c r="Q134"/>
      <c r="R134"/>
      <c r="S134"/>
      <c r="T134"/>
      <c r="U134"/>
      <c r="V134"/>
      <c r="W134"/>
    </row>
    <row r="135" spans="1:23" ht="15">
      <c r="A135" s="22" t="s">
        <v>6</v>
      </c>
      <c r="B135" s="42" t="s">
        <v>331</v>
      </c>
      <c r="C135" s="22" t="s">
        <v>332</v>
      </c>
      <c r="D135" s="55" t="s">
        <v>333</v>
      </c>
      <c r="E135" s="39" t="s">
        <v>311</v>
      </c>
      <c r="F135" s="39" t="s">
        <v>311</v>
      </c>
      <c r="G135" s="39" t="s">
        <v>311</v>
      </c>
      <c r="H135" s="39" t="s">
        <v>311</v>
      </c>
      <c r="I135" s="39" t="s">
        <v>311</v>
      </c>
      <c r="J135" s="39" t="s">
        <v>311</v>
      </c>
      <c r="K135" s="39" t="s">
        <v>311</v>
      </c>
      <c r="L135" s="39" t="s">
        <v>311</v>
      </c>
      <c r="P135"/>
      <c r="Q135"/>
      <c r="R135"/>
      <c r="S135"/>
      <c r="T135"/>
      <c r="U135"/>
      <c r="V135"/>
      <c r="W135"/>
    </row>
    <row r="136" spans="1:23" ht="15">
      <c r="A136" s="22" t="s">
        <v>6</v>
      </c>
      <c r="B136" s="42" t="s">
        <v>335</v>
      </c>
      <c r="C136" s="22" t="s">
        <v>332</v>
      </c>
      <c r="D136" s="55" t="s">
        <v>334</v>
      </c>
      <c r="E136" s="39" t="s">
        <v>311</v>
      </c>
      <c r="F136" s="39" t="s">
        <v>311</v>
      </c>
      <c r="G136" s="39" t="s">
        <v>311</v>
      </c>
      <c r="H136" s="39" t="s">
        <v>311</v>
      </c>
      <c r="I136" s="39" t="s">
        <v>311</v>
      </c>
      <c r="J136" s="39" t="s">
        <v>311</v>
      </c>
      <c r="K136" s="39" t="s">
        <v>311</v>
      </c>
      <c r="L136" s="39" t="s">
        <v>311</v>
      </c>
      <c r="P136"/>
      <c r="Q136"/>
      <c r="R136"/>
      <c r="S136"/>
      <c r="T136"/>
      <c r="U136"/>
      <c r="V136"/>
      <c r="W136"/>
    </row>
    <row r="137" spans="1:23" ht="15">
      <c r="A137" s="22" t="s">
        <v>6</v>
      </c>
      <c r="B137" s="42" t="s">
        <v>336</v>
      </c>
      <c r="C137" s="22" t="s">
        <v>338</v>
      </c>
      <c r="D137" s="55" t="s">
        <v>337</v>
      </c>
      <c r="E137" s="62">
        <f>E150</f>
        <v>0.4</v>
      </c>
      <c r="F137" s="62">
        <f>E150</f>
        <v>0.4</v>
      </c>
      <c r="G137" s="62">
        <f>E150</f>
        <v>0.4</v>
      </c>
      <c r="H137" s="62">
        <f>E150</f>
        <v>0.4</v>
      </c>
      <c r="I137" s="62">
        <f>E150</f>
        <v>0.4</v>
      </c>
      <c r="J137" s="62">
        <f>E150</f>
        <v>0.4</v>
      </c>
      <c r="K137" s="62">
        <f>E150</f>
        <v>0.4</v>
      </c>
      <c r="L137" s="62">
        <f>E150</f>
        <v>0.4</v>
      </c>
      <c r="P137"/>
      <c r="Q137"/>
      <c r="R137"/>
      <c r="S137"/>
      <c r="T137"/>
      <c r="U137"/>
      <c r="V137"/>
      <c r="W137"/>
    </row>
    <row r="138" spans="1:23" ht="15">
      <c r="A138" s="22" t="s">
        <v>6</v>
      </c>
      <c r="B138" s="42" t="s">
        <v>339</v>
      </c>
      <c r="C138" s="22" t="s">
        <v>347</v>
      </c>
      <c r="D138" s="55" t="s">
        <v>346</v>
      </c>
      <c r="E138" s="39" t="s">
        <v>311</v>
      </c>
      <c r="F138" s="39" t="s">
        <v>311</v>
      </c>
      <c r="G138" s="39" t="s">
        <v>311</v>
      </c>
      <c r="H138" s="39" t="s">
        <v>311</v>
      </c>
      <c r="I138" s="39" t="s">
        <v>311</v>
      </c>
      <c r="J138" s="39" t="s">
        <v>311</v>
      </c>
      <c r="K138" s="39" t="s">
        <v>311</v>
      </c>
      <c r="L138" s="39" t="s">
        <v>311</v>
      </c>
      <c r="P138"/>
      <c r="Q138"/>
      <c r="R138"/>
      <c r="S138"/>
      <c r="T138"/>
      <c r="U138"/>
      <c r="V138"/>
      <c r="W138"/>
    </row>
    <row r="139" spans="1:23" ht="15">
      <c r="A139" s="22" t="s">
        <v>6</v>
      </c>
      <c r="B139" s="42" t="s">
        <v>341</v>
      </c>
      <c r="C139" s="22" t="s">
        <v>343</v>
      </c>
      <c r="D139" s="55" t="s">
        <v>340</v>
      </c>
      <c r="E139" s="39">
        <v>7</v>
      </c>
      <c r="F139" s="39">
        <v>7</v>
      </c>
      <c r="G139" s="39">
        <v>7</v>
      </c>
      <c r="H139" s="39">
        <v>7</v>
      </c>
      <c r="I139" s="39">
        <v>7</v>
      </c>
      <c r="J139" s="39">
        <v>7</v>
      </c>
      <c r="K139" s="39">
        <v>7</v>
      </c>
      <c r="L139" s="39">
        <v>7</v>
      </c>
      <c r="P139"/>
      <c r="Q139"/>
      <c r="R139"/>
      <c r="S139"/>
      <c r="T139"/>
      <c r="U139"/>
      <c r="V139"/>
      <c r="W139"/>
    </row>
    <row r="140" spans="1:23" ht="15">
      <c r="A140" s="22" t="s">
        <v>6</v>
      </c>
      <c r="B140" s="42" t="s">
        <v>342</v>
      </c>
      <c r="C140" s="22" t="s">
        <v>351</v>
      </c>
      <c r="D140" s="55" t="s">
        <v>349</v>
      </c>
      <c r="E140" s="39" t="s">
        <v>350</v>
      </c>
      <c r="F140" s="39" t="s">
        <v>350</v>
      </c>
      <c r="G140" s="39" t="s">
        <v>350</v>
      </c>
      <c r="H140" s="39" t="s">
        <v>350</v>
      </c>
      <c r="I140" s="39" t="s">
        <v>350</v>
      </c>
      <c r="J140" s="39" t="s">
        <v>350</v>
      </c>
      <c r="K140" s="39" t="s">
        <v>350</v>
      </c>
      <c r="L140" s="39" t="s">
        <v>350</v>
      </c>
      <c r="P140"/>
      <c r="Q140"/>
      <c r="R140"/>
      <c r="S140"/>
      <c r="T140"/>
      <c r="U140"/>
      <c r="V140"/>
      <c r="W140"/>
    </row>
    <row r="141" spans="1:23" ht="15">
      <c r="A141" s="22" t="s">
        <v>6</v>
      </c>
      <c r="B141" s="42" t="s">
        <v>348</v>
      </c>
      <c r="C141" s="22" t="s">
        <v>344</v>
      </c>
      <c r="D141" s="55" t="s">
        <v>345</v>
      </c>
      <c r="E141" s="39">
        <f>IF(E48&gt;=1.1*2,1.1,0.25)</f>
        <v>1.1</v>
      </c>
      <c r="F141" s="39">
        <f aca="true" t="shared" si="11" ref="F141:L141">IF(F48&gt;=1.1*2,1.1,0.25)</f>
        <v>1.1</v>
      </c>
      <c r="G141" s="39">
        <f t="shared" si="11"/>
        <v>1.1</v>
      </c>
      <c r="H141" s="39">
        <f t="shared" si="11"/>
        <v>1.1</v>
      </c>
      <c r="I141" s="39">
        <f t="shared" si="11"/>
        <v>1.1</v>
      </c>
      <c r="J141" s="39">
        <f t="shared" si="11"/>
        <v>1.1</v>
      </c>
      <c r="K141" s="39">
        <f t="shared" si="11"/>
        <v>1.1</v>
      </c>
      <c r="L141" s="39">
        <f t="shared" si="11"/>
        <v>1.1</v>
      </c>
      <c r="P141"/>
      <c r="Q141"/>
      <c r="R141"/>
      <c r="S141"/>
      <c r="T141"/>
      <c r="U141"/>
      <c r="V141"/>
      <c r="W141"/>
    </row>
    <row r="142" spans="1:23" ht="15">
      <c r="A142" s="22" t="s">
        <v>6</v>
      </c>
      <c r="B142" s="42" t="s">
        <v>354</v>
      </c>
      <c r="C142" s="22" t="s">
        <v>358</v>
      </c>
      <c r="D142" s="55" t="s">
        <v>357</v>
      </c>
      <c r="E142" s="39">
        <v>2.15</v>
      </c>
      <c r="F142" s="39">
        <v>2.15</v>
      </c>
      <c r="G142" s="39">
        <v>2.15</v>
      </c>
      <c r="H142" s="39">
        <v>2.15</v>
      </c>
      <c r="I142" s="39">
        <v>2.15</v>
      </c>
      <c r="J142" s="39">
        <v>2.15</v>
      </c>
      <c r="K142" s="39">
        <v>2.15</v>
      </c>
      <c r="L142" s="39">
        <v>2.15</v>
      </c>
      <c r="P142"/>
      <c r="Q142"/>
      <c r="R142"/>
      <c r="S142"/>
      <c r="T142"/>
      <c r="U142"/>
      <c r="V142"/>
      <c r="W142"/>
    </row>
    <row r="143" spans="1:23" ht="15">
      <c r="A143" s="22" t="s">
        <v>6</v>
      </c>
      <c r="B143" s="42" t="s">
        <v>356</v>
      </c>
      <c r="C143" s="22" t="s">
        <v>355</v>
      </c>
      <c r="D143" s="55" t="s">
        <v>353</v>
      </c>
      <c r="E143" s="39">
        <v>2</v>
      </c>
      <c r="F143" s="39">
        <v>2</v>
      </c>
      <c r="G143" s="39">
        <v>2</v>
      </c>
      <c r="H143" s="39">
        <v>2</v>
      </c>
      <c r="I143" s="39">
        <v>2</v>
      </c>
      <c r="J143" s="39">
        <v>2</v>
      </c>
      <c r="K143" s="39">
        <v>2</v>
      </c>
      <c r="L143" s="39">
        <v>2</v>
      </c>
      <c r="P143"/>
      <c r="Q143"/>
      <c r="R143"/>
      <c r="S143"/>
      <c r="T143"/>
      <c r="U143"/>
      <c r="V143"/>
      <c r="W143"/>
    </row>
    <row r="144" spans="1:9" ht="15.75">
      <c r="A144" s="13" t="s">
        <v>20</v>
      </c>
      <c r="B144" s="2"/>
      <c r="C144" s="2"/>
      <c r="D144" s="1"/>
      <c r="E144" s="1"/>
      <c r="F144" s="1"/>
      <c r="G144" s="1"/>
      <c r="H144" s="1"/>
      <c r="I144" s="1"/>
    </row>
    <row r="145" spans="1:9" ht="16.5" thickBot="1">
      <c r="A145" s="1" t="s">
        <v>23</v>
      </c>
      <c r="B145" s="2"/>
      <c r="C145" s="2"/>
      <c r="D145" s="1"/>
      <c r="E145" s="1"/>
      <c r="F145" s="1"/>
      <c r="G145" s="1"/>
      <c r="H145" s="1"/>
      <c r="I145" s="1"/>
    </row>
    <row r="146" spans="1:9" ht="16.5" thickBot="1">
      <c r="A146" s="8" t="s">
        <v>5</v>
      </c>
      <c r="B146" s="9" t="s">
        <v>6</v>
      </c>
      <c r="C146" s="8" t="s">
        <v>33</v>
      </c>
      <c r="D146" s="8" t="s">
        <v>7</v>
      </c>
      <c r="E146" s="15" t="s">
        <v>24</v>
      </c>
      <c r="F146" s="1"/>
      <c r="G146" s="1"/>
      <c r="H146" s="1"/>
      <c r="I146" s="1"/>
    </row>
    <row r="147" spans="1:9" ht="16.5" thickBot="1">
      <c r="A147" s="16" t="s">
        <v>25</v>
      </c>
      <c r="B147" s="17">
        <v>1</v>
      </c>
      <c r="C147" s="16" t="s">
        <v>61</v>
      </c>
      <c r="D147" s="16" t="s">
        <v>62</v>
      </c>
      <c r="E147" s="12">
        <v>0.025</v>
      </c>
      <c r="F147" s="1"/>
      <c r="G147" s="1"/>
      <c r="H147" s="1"/>
      <c r="I147" s="1"/>
    </row>
    <row r="148" spans="1:9" ht="16.5" thickBot="1">
      <c r="A148" s="16" t="s">
        <v>25</v>
      </c>
      <c r="B148" s="17">
        <v>2</v>
      </c>
      <c r="C148" s="16" t="s">
        <v>34</v>
      </c>
      <c r="D148" s="18" t="s">
        <v>310</v>
      </c>
      <c r="E148" s="12">
        <v>1.5</v>
      </c>
      <c r="F148" s="1"/>
      <c r="G148" s="1"/>
      <c r="H148" s="1"/>
      <c r="I148" s="1"/>
    </row>
    <row r="149" spans="1:9" ht="16.5" thickBot="1">
      <c r="A149" s="16" t="s">
        <v>25</v>
      </c>
      <c r="B149" s="17">
        <v>3</v>
      </c>
      <c r="C149" s="16" t="s">
        <v>46</v>
      </c>
      <c r="D149" s="18" t="s">
        <v>39</v>
      </c>
      <c r="E149" s="12">
        <v>0.4</v>
      </c>
      <c r="F149" s="1"/>
      <c r="G149" s="1"/>
      <c r="H149" s="1"/>
      <c r="I149" s="1"/>
    </row>
    <row r="150" spans="1:9" ht="16.5" thickBot="1">
      <c r="A150" s="16" t="s">
        <v>25</v>
      </c>
      <c r="B150" s="17">
        <v>4</v>
      </c>
      <c r="C150" s="16" t="s">
        <v>56</v>
      </c>
      <c r="D150" s="18" t="s">
        <v>57</v>
      </c>
      <c r="E150" s="12">
        <v>0.4</v>
      </c>
      <c r="F150" s="1"/>
      <c r="G150" s="1"/>
      <c r="H150" s="1"/>
      <c r="I150" s="1"/>
    </row>
    <row r="151" spans="1:9" ht="16.5" thickBot="1">
      <c r="A151" s="16" t="s">
        <v>25</v>
      </c>
      <c r="B151" s="17">
        <v>5</v>
      </c>
      <c r="C151" s="16" t="s">
        <v>35</v>
      </c>
      <c r="D151" s="18" t="s">
        <v>32</v>
      </c>
      <c r="E151" s="12">
        <v>0.4</v>
      </c>
      <c r="F151" s="1"/>
      <c r="G151" s="1"/>
      <c r="H151" s="1"/>
      <c r="I151" s="1"/>
    </row>
    <row r="152" spans="1:8" s="32" customFormat="1" ht="16.5" thickBot="1">
      <c r="A152" s="16" t="s">
        <v>25</v>
      </c>
      <c r="B152" s="17">
        <v>6</v>
      </c>
      <c r="C152" s="16" t="s">
        <v>68</v>
      </c>
      <c r="D152" s="16" t="s">
        <v>69</v>
      </c>
      <c r="E152" s="12" t="s">
        <v>360</v>
      </c>
      <c r="F152" s="31"/>
      <c r="G152" s="31"/>
      <c r="H152" s="31"/>
    </row>
    <row r="153" spans="1:8" s="32" customFormat="1" ht="16.5" thickBot="1">
      <c r="A153" s="16" t="s">
        <v>25</v>
      </c>
      <c r="B153" s="17">
        <v>7</v>
      </c>
      <c r="C153" s="16" t="s">
        <v>68</v>
      </c>
      <c r="D153" s="16" t="s">
        <v>70</v>
      </c>
      <c r="E153" s="12" t="s">
        <v>360</v>
      </c>
      <c r="F153" s="31"/>
      <c r="G153" s="31"/>
      <c r="H153" s="31"/>
    </row>
    <row r="154" spans="1:8" s="32" customFormat="1" ht="16.5" thickBot="1">
      <c r="A154" s="16" t="s">
        <v>25</v>
      </c>
      <c r="B154" s="17">
        <v>8</v>
      </c>
      <c r="C154" s="16" t="s">
        <v>71</v>
      </c>
      <c r="D154" s="16" t="s">
        <v>72</v>
      </c>
      <c r="E154" s="30">
        <v>0.9</v>
      </c>
      <c r="F154" s="31"/>
      <c r="G154" s="31"/>
      <c r="H154" s="31"/>
    </row>
    <row r="155" spans="1:8" s="32" customFormat="1" ht="16.5" thickBot="1">
      <c r="A155" s="16" t="s">
        <v>25</v>
      </c>
      <c r="B155" s="17">
        <v>9</v>
      </c>
      <c r="C155" s="16" t="s">
        <v>73</v>
      </c>
      <c r="D155" s="16" t="s">
        <v>74</v>
      </c>
      <c r="E155" s="33" t="str">
        <f>HLOOKUP("Module name",spec!$A$2:$AE$703,COLUMN(B27),0)</f>
        <v>den_5v_dr_a</v>
      </c>
      <c r="F155" s="31"/>
      <c r="G155" s="31"/>
      <c r="H155" s="31"/>
    </row>
    <row r="156" spans="1:9" ht="16.5" thickBot="1">
      <c r="A156" s="10" t="s">
        <v>36</v>
      </c>
      <c r="B156" s="34">
        <v>10</v>
      </c>
      <c r="C156" s="10" t="s">
        <v>37</v>
      </c>
      <c r="D156" s="19" t="s">
        <v>38</v>
      </c>
      <c r="E156" s="14" t="s">
        <v>45</v>
      </c>
      <c r="F156" s="1"/>
      <c r="G156" s="1"/>
      <c r="H156" s="1"/>
      <c r="I156" s="1"/>
    </row>
    <row r="157" spans="1:9" ht="15.75">
      <c r="A157" s="13" t="s">
        <v>20</v>
      </c>
      <c r="B157" s="2"/>
      <c r="C157" s="2"/>
      <c r="D157" s="1"/>
      <c r="E157" s="1"/>
      <c r="F157" s="1"/>
      <c r="G157" s="1"/>
      <c r="H157" s="1"/>
      <c r="I157" s="1"/>
    </row>
    <row r="159" spans="1:9" ht="15.75">
      <c r="A159" s="1"/>
      <c r="B159" s="2"/>
      <c r="C159" s="2"/>
      <c r="D159" s="1"/>
      <c r="E159" s="1"/>
      <c r="F159" s="1"/>
      <c r="G159" s="1"/>
      <c r="H159" s="1"/>
      <c r="I159" s="1"/>
    </row>
    <row r="160" spans="1:9" ht="15.75">
      <c r="A160" s="1" t="s">
        <v>26</v>
      </c>
      <c r="B160" s="2"/>
      <c r="C160" s="2"/>
      <c r="D160" s="1"/>
      <c r="E160" s="1"/>
      <c r="F160" s="1"/>
      <c r="G160" s="1"/>
      <c r="H160" s="1"/>
      <c r="I160" s="1"/>
    </row>
    <row r="161" spans="1:9" ht="15.75">
      <c r="A161" s="20" t="s">
        <v>27</v>
      </c>
      <c r="B161" s="21"/>
      <c r="C161" s="21"/>
      <c r="D161" s="20"/>
      <c r="E161" s="20"/>
      <c r="F161" s="20"/>
      <c r="G161" s="20"/>
      <c r="H161" s="20"/>
      <c r="I161" s="20"/>
    </row>
  </sheetData>
  <printOptions/>
  <pageMargins left="0.75" right="0.75" top="1" bottom="1" header="0.5" footer="0.5"/>
  <pageSetup horizontalDpi="600" verticalDpi="600" orientation="portrait" r:id="rId1"/>
  <ignoredErrors>
    <ignoredError sqref="B24:B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ADS-IS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sv.minh</dc:creator>
  <cp:keywords/>
  <dc:description/>
  <cp:lastModifiedBy>kimphuong</cp:lastModifiedBy>
  <dcterms:created xsi:type="dcterms:W3CDTF">2009-03-20T02:30:17Z</dcterms:created>
  <dcterms:modified xsi:type="dcterms:W3CDTF">2009-08-06T04:52:28Z</dcterms:modified>
  <cp:category/>
  <cp:version/>
  <cp:contentType/>
  <cp:contentStatus/>
</cp:coreProperties>
</file>