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comments29.xml" ContentType="application/vnd.openxmlformats-officedocument.spreadsheetml.comments+xml"/>
  <Override PartName="/xl/worksheets/sheet30.xml" ContentType="application/vnd.openxmlformats-officedocument.spreadsheetml.worksheet+xml"/>
  <Override PartName="/xl/comments30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270" windowWidth="12120" windowHeight="8835" tabRatio="919" activeTab="0"/>
  </bookViews>
  <sheets>
    <sheet name="Input" sheetId="1" r:id="rId1"/>
    <sheet name="Rates and Factors" sheetId="2" r:id="rId2"/>
    <sheet name="Output" sheetId="3" r:id="rId3"/>
    <sheet name="BI" sheetId="4" r:id="rId4"/>
    <sheet name="PD" sheetId="5" r:id="rId5"/>
    <sheet name="MI-PPI" sheetId="6" r:id="rId6"/>
    <sheet name="PIP" sheetId="7" r:id="rId7"/>
    <sheet name="Medical" sheetId="8" r:id="rId8"/>
    <sheet name="UM" sheetId="9" r:id="rId9"/>
    <sheet name="UIM" sheetId="10" r:id="rId10"/>
    <sheet name="UMUIM" sheetId="11" r:id="rId11"/>
    <sheet name="COMP" sheetId="12" r:id="rId12"/>
    <sheet name="COLL" sheetId="13" r:id="rId13"/>
    <sheet name="AutoLoan" sheetId="14" r:id="rId14"/>
    <sheet name="Towing" sheetId="15" r:id="rId15"/>
    <sheet name="Extn Transportation Expenses" sheetId="16" r:id="rId16"/>
    <sheet name="Comm Equipment" sheetId="17" r:id="rId17"/>
    <sheet name="Ext NonOwned" sheetId="18" r:id="rId18"/>
    <sheet name="Named Non-owner" sheetId="19" r:id="rId19"/>
    <sheet name="MotorHome" sheetId="20" r:id="rId20"/>
    <sheet name="Recreational Trailer" sheetId="21" r:id="rId21"/>
    <sheet name="NC Recreational Trailer" sheetId="22" r:id="rId22"/>
    <sheet name="BI Other" sheetId="23" r:id="rId23"/>
    <sheet name="PD Other" sheetId="24" r:id="rId24"/>
    <sheet name="Medical Other" sheetId="25" r:id="rId25"/>
    <sheet name="UM Other" sheetId="26" r:id="rId26"/>
    <sheet name="COMP Other" sheetId="27" r:id="rId27"/>
    <sheet name="COLL Other" sheetId="28" r:id="rId28"/>
    <sheet name="Classification" sheetId="29" r:id="rId29"/>
    <sheet name="Veh Applicability" sheetId="30" r:id="rId30"/>
  </sheets>
  <externalReferences>
    <externalReference r:id="rId33"/>
  </externalReferences>
  <definedNames>
    <definedName name="ABS_Discount_Factor">'Rates and Factors'!$B$182:$G$182</definedName>
    <definedName name="Accident_Prevention_Course_Discount?">'Input'!$B$142:$G$142</definedName>
    <definedName name="Accident_Prevention_Discount_Factor">'Rates and Factors'!$B$184:$G$184</definedName>
    <definedName name="Accidental_Death_Benefit">'Input'!$B$90</definedName>
    <definedName name="Accidental_Death_Benefit_Factor">'Rates and Factors'!$B$112:$G$112</definedName>
    <definedName name="Active_Disabling_Devices_1">'Input'!$B$218:$G$218</definedName>
    <definedName name="Active_Disabling_Devices_2">'Input'!$B$219:$G$219</definedName>
    <definedName name="Active_Disabling_Devices_3">'Input'!$B$220:$G$220</definedName>
    <definedName name="Active_fuel_ignition_disabling">'Input'!$B$214:$G$214</definedName>
    <definedName name="Actual_COLL_NC_RT_Deductible_Rate">'Rates and Factors'!$B$353:$G$353</definedName>
    <definedName name="Additional_PIP">'Input'!$B$69</definedName>
    <definedName name="Additional_PIP_Charges">'PIP'!$C$56:$H$56</definedName>
    <definedName name="Additional_PIP_Factor">'Rates and Factors'!$B$108:$G$108</definedName>
    <definedName name="Age">'Input'!$B$117:$G$117</definedName>
    <definedName name="Age_Of_Primary_Driver">'Input'!$B$178:$G$178</definedName>
    <definedName name="Air_bag_Discount_Factor">'Rates and Factors'!$B$183:$G$183</definedName>
    <definedName name="Air_bags">'Input'!$B$227:$G$227</definedName>
    <definedName name="Airbag_Discount_MEDP">'Medical'!$C$24:$H$24</definedName>
    <definedName name="Airbag_Discount_PIP">'PIP'!$C$32:$H$32</definedName>
    <definedName name="Alarm_system">'Input'!$B$213:$G$213</definedName>
    <definedName name="All_Other_Trailer_Collision_Premium">'NC Recreational Trailer'!$C$76:$H$76</definedName>
    <definedName name="All_Other_Trailer_Comprehensive_Premium">'NC Recreational Trailer'!$C$75:$H$75</definedName>
    <definedName name="All_Other_Trailer_Other_Property_Premium">'NC Recreational Trailer'!$C$74:$H$74</definedName>
    <definedName name="Alternative_Expense_Coverage">'Input'!$B$78</definedName>
    <definedName name="Annual_Income">'Input'!$B$15</definedName>
    <definedName name="Annual_mileage">'Input'!$B$211:$G$211</definedName>
    <definedName name="Anti_lock_brakes">'Input'!$B$228:$G$228</definedName>
    <definedName name="Anti_Theft_Devices_IL">'Input'!$B$217:$G$217</definedName>
    <definedName name="Anti_Theft_Devices_IL_Discount_Factor">'Rates and Factors'!$B$172:$G$172</definedName>
    <definedName name="Anti_theft_Discount">'COMP'!$C$39:$H$39</definedName>
    <definedName name="Anti_theft_Discount_Factor">'Rates and Factors'!$B$181:$G$181</definedName>
    <definedName name="Anti_theft_Gen_Discount_Factor">'Rates and Factors'!$B$180:$G$180</definedName>
    <definedName name="AntiqueAuto_Factor_Liability">'Rates and Factors'!$B$38</definedName>
    <definedName name="Any_accidents_claims_violations_in_last_3_years?">'Input'!$B$122:$G$122</definedName>
    <definedName name="APC_Discount_for_Vehicle">'Input'!$B$184:$G$184</definedName>
    <definedName name="Applicable_Municipal_Tax_Rate">'Rates and Factors'!$B$298</definedName>
    <definedName name="Auto_Loan_Lease_Factor">'Rates and Factors'!$B$189:$G$189</definedName>
    <definedName name="Auto_Loan_Lease_Payoff_coverage">'Input'!$B$257:$G$257</definedName>
    <definedName name="Automatic_Seat_belts">'Input'!$B$226:$G$226</definedName>
    <definedName name="AZ_COMP_Full_Safety_Glass_Factor">'Rates and Factors'!$B$140:$G$140</definedName>
    <definedName name="AZ_Full_Safety_Glass_Coverage">'Input'!$B$265:$G$265</definedName>
    <definedName name="BI_Base_Premium">'BI'!$C$26:$H$26</definedName>
    <definedName name="BI_Base_rate">'Rates and Factors'!$B$50:$G$50</definedName>
    <definedName name="BI_Increased_Limits_Factor">'Rates and Factors'!$B$52:$G$52</definedName>
    <definedName name="BI_Minimum_Premium">'Rates and Factors'!$B$51:$G$51</definedName>
    <definedName name="Bodily_Injury_Premium">'BI'!$C$70:$H$70</definedName>
    <definedName name="Bodily_Injury_Premium_AA">'BI Other'!$C$90:$H$90</definedName>
    <definedName name="Bodily_Injury_Premium_ATV">'BI Other'!$C$87:$H$87</definedName>
    <definedName name="Bodily_Injury_Premium_DB">'BI Other'!$C$88:$H$88</definedName>
    <definedName name="Bodily_Injury_Premium_GC">'BI Other'!$C$89:$H$89</definedName>
    <definedName name="Bodily_Injury_Premium_GO">'BI Other'!$C$85:$H$85</definedName>
    <definedName name="Bodily_Injury_Premium_MC">'BI Other'!$C$84:$H$84</definedName>
    <definedName name="Bodily_Injury_Premium_SNOWM">'BI Other'!$C$86:$H$86</definedName>
    <definedName name="Body_style">'Input'!$B$173:$G$173</definedName>
    <definedName name="CAC_Base_Rate">'Rates and Factors'!$B$362:$G$362</definedName>
    <definedName name="CAC_Code">'Rates and Factors'!$B$336</definedName>
    <definedName name="CAC_Option">'Rates and Factors'!$B$339:$G$339</definedName>
    <definedName name="CACVMM_Code">'Rates and Factors'!$B$335</definedName>
    <definedName name="Carpool_Discount?">'Input'!$B$164:$G$164</definedName>
    <definedName name="Carpool_Discount_Factor">'Rates and Factors'!$B$210</definedName>
    <definedName name="Carrier_Id">'Input'!$B$6</definedName>
    <definedName name="COLL_AA_Deductible_Factor">'Rates and Factors'!$B$166:$G$166</definedName>
    <definedName name="COLL_Age_Factor">'Rates and Factors'!$B$156:$G$156</definedName>
    <definedName name="COLL_Base_Rate">'Rates and Factors'!$B$150:$G$150</definedName>
    <definedName name="COLL_CHARGE_GC">'Rates and Factors'!$B$165:$G$165</definedName>
    <definedName name="COLL_DB_Deductible_Factor">'Rates and Factors'!$B$163:$G$163</definedName>
    <definedName name="COLL_Deductible_Factor">'Rates and Factors'!$B$157:$G$157</definedName>
    <definedName name="COLL_GC_Deductible_Factor">'Rates and Factors'!$B$164:$G$164</definedName>
    <definedName name="COLL_MC_Deductible_Factor">'Rates and Factors'!$B$161:$G$161</definedName>
    <definedName name="COLL_Minimum_Premium">'Rates and Factors'!$B$152:$G$152</definedName>
    <definedName name="COLL_MotorCycle_Symbol_Factor">'Rates and Factors'!$B$160:$G$160</definedName>
    <definedName name="COLL_NC_OT_Additional_Deductible_Rate">'Rates and Factors'!$B$355:$G$355</definedName>
    <definedName name="COLL_NC_RT_Additional_OCN_Factor">'Rates and Factors'!#REF!</definedName>
    <definedName name="COLL_NC_RT_Deductible_Rate">'Rates and Factors'!$B$358:$G$358</definedName>
    <definedName name="COLL_NC_RT_MAX_OCN_Deductible_Rate">'Rates and Factors'!$B$354:$G$354</definedName>
    <definedName name="COLL_PickupVan_Factor">'Rates and Factors'!$B$167:$G$167</definedName>
    <definedName name="COLL_Premium_AA">'COLL Other'!$C$69:$H$69</definedName>
    <definedName name="COLL_Premium_ATV">'COLL Other'!$C$66:$H$66</definedName>
    <definedName name="COLL_Premium_DB">'COLL Other'!$C$67:$H$67</definedName>
    <definedName name="COLL_Premium_GC">'COLL Other'!$C$68:$H$68</definedName>
    <definedName name="COLL_Premium_GO">'COLL Other'!$C$64:$H$64</definedName>
    <definedName name="COLL_Premium_MC">'COLL Other'!$C$63:$H$63</definedName>
    <definedName name="COLL_Premium_SNOWM">'COLL Other'!$C$65:$H$65</definedName>
    <definedName name="COLL_RT_Base_Rate">'Rates and Factors'!$B$153:$G$153</definedName>
    <definedName name="COLL_RT_Deductible_Factor">'Rates and Factors'!$B$159:$G$159</definedName>
    <definedName name="COLL_SNOWM_Deductible_Factor">'Rates and Factors'!$B$162:$G$162</definedName>
    <definedName name="COLL_Vehicle_Symbol_Factor">'Rates and Factors'!$B$155:$G$155</definedName>
    <definedName name="College_Graduate_Scholastic_Achievement_Discount?">'Input'!$B$135:$G$135</definedName>
    <definedName name="Collision_Coverage_before_expense_fees_Premium">'COLL'!#REF!</definedName>
    <definedName name="Collision_Coverage_Premium">'COLL'!$C$69:$H$69</definedName>
    <definedName name="Collision_Deductible">'Input'!$B$238:$G$238</definedName>
    <definedName name="Collision_Deductible_CodeValue">'Input'!$B$239:$G$239</definedName>
    <definedName name="Collision_Lease_Premium">'AutoLoan'!$C$15:$H$15</definedName>
    <definedName name="Combined_Additional_Coverage">'Input'!$B$251:$G$251</definedName>
    <definedName name="Combined_Additional_Coverage_Description">'Input'!$B$252:$G$252</definedName>
    <definedName name="Combined_First_Party_Benefits">'Input'!$B$79</definedName>
    <definedName name="Combined_First_Party_Benefits_Factor">'Rates and Factors'!$B$117:$G$117</definedName>
    <definedName name="Communications_Equipment_Premium">'Comm Equipment'!$C$27:$H$27</definedName>
    <definedName name="Communications_Equipment_Rate">'Rates and Factors'!$B$199:$G$199</definedName>
    <definedName name="COMP_AA_Deductible_Factor">'Rates and Factors'!$B$147:$G$147</definedName>
    <definedName name="COMP_Age_Factor">'Rates and Factors'!$B$138:$G$138</definedName>
    <definedName name="COMP_Base_Rate">'Rates and Factors'!$B$133:$G$133</definedName>
    <definedName name="Comp_Coverage_before_expense_fees_Premium">'COMP'!#REF!</definedName>
    <definedName name="Comp_Coverage_Premium">'COMP'!$C$69:$H$69</definedName>
    <definedName name="COMP_DB_Deductible_Factor">'Rates and Factors'!$B$145:$G$145</definedName>
    <definedName name="COMP_Deductible_Factor">'Rates and Factors'!$B$139:$G$139</definedName>
    <definedName name="COMP_GC_Deductible_Factor">'Rates and Factors'!$B$146:$G$146</definedName>
    <definedName name="COMP_MC_Deductible_Factor">'Rates and Factors'!$B$143:$G$143</definedName>
    <definedName name="COMP_Minimum_Premium">'Rates and Factors'!$B$134:$G$134</definedName>
    <definedName name="COMP_MotorCycle_Symbol_Factor">'Rates and Factors'!$B$142:$G$142</definedName>
    <definedName name="COMP_NC_RT_Deductible_Factor">'Rates and Factors'!$B$352:$G$352</definedName>
    <definedName name="COMP_PickupVan_Factor">'Rates and Factors'!$B$148:$G$148</definedName>
    <definedName name="COMP_PREMIUM_AA">'COMP Other'!$C$60:$H$60</definedName>
    <definedName name="COMP_PREMIUM_ATV">'COMP Other'!$C$57:$H$57</definedName>
    <definedName name="COMP_PREMIUM_DB">'COMP Other'!$C$58:$H$58</definedName>
    <definedName name="COMP_PREMIUM_GC">'COMP Other'!$C$59:$H$59</definedName>
    <definedName name="COMP_Premium_GO">'COMP Other'!$C$55:$H$55</definedName>
    <definedName name="COMP_Premium_MC">'COMP Other'!$C$54:$H$54</definedName>
    <definedName name="COMP_Premium_SNOWM">'COMP Other'!$C$56:$H$56</definedName>
    <definedName name="COMP_RT_Base_Rate">'Rates and Factors'!$B$135:$G$135</definedName>
    <definedName name="COMP_RT_Deductible_Factor">'Rates and Factors'!$B$141:$G$141</definedName>
    <definedName name="COMP_SNOWM_Deductible_Factor">'Rates and Factors'!$B$144:$G$144</definedName>
    <definedName name="COMP_Vehicle_Symbol_Factor">'Rates and Factors'!$B$137:$G$137</definedName>
    <definedName name="Company_Deviation_Factor_COLL">'Rates and Factors'!$B$238</definedName>
    <definedName name="Company_Deviation_Factor_COMP">'Rates and Factors'!$B$237</definedName>
    <definedName name="Company_Deviation_Factor_CSL">'Rates and Factors'!$B$229</definedName>
    <definedName name="Company_Deviation_Factor_Medical">'Rates and Factors'!$B$235</definedName>
    <definedName name="Company_Deviation_Factor_Miscellaneous">'Rates and Factors'!$B$239</definedName>
    <definedName name="Company_Deviation_Factor_NC">'Rates and Factors'!$B$241</definedName>
    <definedName name="Company_Deviation_Factor_PIP">'Rates and Factors'!$B$236</definedName>
    <definedName name="Company_Deviation_Factor_PPI">'Rates and Factors'!$B$240</definedName>
    <definedName name="Company_Deviation_Factor_Split_BI">'Rates and Factors'!$B$230</definedName>
    <definedName name="Company_Deviation_Factor_Split_PD">'Rates and Factors'!$B$231</definedName>
    <definedName name="Company_Deviation_Factor_UMUIM_CSL">'Rates and Factors'!$B$232</definedName>
    <definedName name="Company_Deviation_Factor_UMUIM_Split_BI">'Rates and Factors'!$B$233</definedName>
    <definedName name="Company_Deviation_Factor_UMUIM_Split_PD">'Rates and Factors'!$B$234</definedName>
    <definedName name="Comprehensive_Deductible">'Input'!$B$234:$G$234</definedName>
    <definedName name="Comprehensive_Deductible_CodeValue">'Input'!$B$235:$G$235</definedName>
    <definedName name="Comprehensive_Lease_Premium">'AutoLoan'!$C$11:$H$11</definedName>
    <definedName name="Coordination_Benefits_Factor">'Rates and Factors'!$B$107:$G$107</definedName>
    <definedName name="Coordination_of_Benefits">'Input'!$B$99</definedName>
    <definedName name="Coverage_for_Recreational_Trailer_Contents">'Input'!$B$246:$G$246</definedName>
    <definedName name="Coverage_for_Recreational_Trailer_Other_Property">'Input'!$B$247:$G$247</definedName>
    <definedName name="CSL">'Rates and Factors'!$B$42</definedName>
    <definedName name="CSL_Base_rate">'Rates and Factors'!$B$46:$G$46</definedName>
    <definedName name="CSL_for_BI_and_PD">'Input'!$B$25</definedName>
    <definedName name="CSL_for_BI_and_PD_Description">'Input'!$B$26</definedName>
    <definedName name="CSL_for_UIM">'Input'!$B$29</definedName>
    <definedName name="CSL_for_UIM_Description">'Input'!$B$30</definedName>
    <definedName name="CSL_for_UM">'Input'!$B$27</definedName>
    <definedName name="CSL_for_UM_and_UIM">'Input'!$B$31</definedName>
    <definedName name="CSL_for_UM_and_UIM_Description">'Input'!$B$32</definedName>
    <definedName name="CSL_for_UM_Description">'Input'!$B$28</definedName>
    <definedName name="CSL_Increased_Limits_Factor">'Rates and Factors'!$B$48:$G$48</definedName>
    <definedName name="CSL_Minimum_Premium">'Rates and Factors'!$B$47:$G$47</definedName>
    <definedName name="CSL_or_Split">'Input'!$B$23</definedName>
    <definedName name="CSL_or_Split_Desc">'Input'!$B$24</definedName>
    <definedName name="Date_of_Birth">'Input'!$B$116:$G$116</definedName>
    <definedName name="Defensive_Driver_Discount?">'Input'!$B$143:$G$143</definedName>
    <definedName name="Disability_Limit">'Input'!$B$93</definedName>
    <definedName name="Disability_Weekly_Income_Limit_Factor">'Rates and Factors'!$B$113:$G$113</definedName>
    <definedName name="Distant_Student?">'Input'!$B$136:$G$136</definedName>
    <definedName name="Driver_Number">'Input'!$B$113:$G$113</definedName>
    <definedName name="Driver_Primary_Class_Code">'Rates and Factors'!$B$9:$G$9</definedName>
    <definedName name="Driver_Secondary_Class_Code">'Rates and Factors'!$B$10:$G$10</definedName>
    <definedName name="Driver_Training_assigned_for_Vehicle">'Input'!$B$199:$G$199</definedName>
    <definedName name="Driver_Training_in_Last_3_Years">'Input'!$B$141:$G$141</definedName>
    <definedName name="Dune_Buggy_Registered">'Input'!$B$229:$G$229</definedName>
    <definedName name="DuneBuggy_Factor_Liability">'Rates and Factors'!$B$36</definedName>
    <definedName name="Economic_Loss_for_UM">'Input'!$B$60</definedName>
    <definedName name="Economic_Loss_for_UM_and_UIM">'Input'!$B$59</definedName>
    <definedName name="Effective_Date">'Input'!$B$13</definedName>
    <definedName name="Engine_Size">'Input'!$B$210:$G$210</definedName>
    <definedName name="Enhanced_Coverage_Endorsement_Charge">'Rates and Factors'!$B$214</definedName>
    <definedName name="Enhanced_Coverage_Endorsement_Indicator">'Input'!$B$109</definedName>
    <definedName name="Excess_Sound_Equipment_Rate">'Rates and Factors'!$B$200:$G$200</definedName>
    <definedName name="Expense_Fees_APIP">'Rates and Factors'!$B$258</definedName>
    <definedName name="Expense_Fees_Auto_Loan">'Rates and Factors'!$B$265</definedName>
    <definedName name="Expense_Fees_Collision">'Rates and Factors'!$B$264</definedName>
    <definedName name="Expense_Fees_Comm_Equipment">'Rates and Factors'!$B$267</definedName>
    <definedName name="Expense_Fees_Comprehensive">'Rates and Factors'!$B$263</definedName>
    <definedName name="Expense_Fees_CSL">'Rates and Factors'!$B$253</definedName>
    <definedName name="Expense_Fees_Death_Benefit">'Rates and Factors'!$B$259</definedName>
    <definedName name="Expense_Fees_ExtNO_BI">'Rates and Factors'!$B$269</definedName>
    <definedName name="Expense_Fees_ExtNO_COLL">'Rates and Factors'!$B$273</definedName>
    <definedName name="Expense_Fees_ExtNO_COMP">'Rates and Factors'!$B$272</definedName>
    <definedName name="Expense_Fees_ExtNO_CSL">'Rates and Factors'!$B$268</definedName>
    <definedName name="Expense_Fees_ExtNO_Medical">'Rates and Factors'!$B$271</definedName>
    <definedName name="Expense_Fees_ExtNO_PD">'Rates and Factors'!$B$270</definedName>
    <definedName name="Expense_Fees_MC_BI">'Rates and Factors'!$B$287</definedName>
    <definedName name="Expense_Fees_MC_COLL">'Rates and Factors'!$B$293</definedName>
    <definedName name="Expense_Fees_MC_COMP">'Rates and Factors'!$B$292</definedName>
    <definedName name="Expense_Fees_MC_CSL">'Rates and Factors'!$B$286</definedName>
    <definedName name="Expense_Fees_MC_Medical">'Rates and Factors'!$B$289</definedName>
    <definedName name="Expense_Fees_MC_PD">'Rates and Factors'!$B$288</definedName>
    <definedName name="Expense_Fees_MC_UM_BI">'Rates and Factors'!$B$291</definedName>
    <definedName name="Expense_Fees_MC_UM_CSL">'Rates and Factors'!$B$290</definedName>
    <definedName name="Expense_Fees_Medical">'Rates and Factors'!$B$256</definedName>
    <definedName name="Expense_Fees_MotorHome_BI">'Rates and Factors'!$B$275</definedName>
    <definedName name="Expense_Fees_MotorHome_COLL">'Rates and Factors'!$B$282</definedName>
    <definedName name="Expense_Fees_MotorHome_COMP">'Rates and Factors'!$B$281</definedName>
    <definedName name="Expense_Fees_MotorHome_CSL">'Rates and Factors'!$B$274</definedName>
    <definedName name="Expense_Fees_MotorHome_Medical">'Rates and Factors'!$B$277</definedName>
    <definedName name="Expense_Fees_MotorHome_PD">'Rates and Factors'!$B$276</definedName>
    <definedName name="Expense_Fees_MotorHome_PIP">'Rates and Factors'!$B$278</definedName>
    <definedName name="Expense_Fees_MotorHome_Rental">'Rates and Factors'!$B$283</definedName>
    <definedName name="Expense_Fees_MotorHome_UM_BI">'Rates and Factors'!$B$280</definedName>
    <definedName name="Expense_Fees_MotorHome_UM_CSL">'Rates and Factors'!$B$279</definedName>
    <definedName name="Expense_Fees_PIP">'Rates and Factors'!$B$257</definedName>
    <definedName name="Expense_Fees_RT_COLL">'Rates and Factors'!$B$285</definedName>
    <definedName name="Expense_Fees_RT_COMP">'Rates and Factors'!$B$284</definedName>
    <definedName name="Expense_Fees_Split_BI">'Rates and Factors'!$B$254</definedName>
    <definedName name="Expense_Fees_Split_PD">'Rates and Factors'!$B$255</definedName>
    <definedName name="Expense_Fees_Towing">'Rates and Factors'!$B$266</definedName>
    <definedName name="Expense_Fees_UMUIM_CSL">'Rates and Factors'!$B$260</definedName>
    <definedName name="Expense_Fees_UMUIM_Split_BI">'Rates and Factors'!$B$261</definedName>
    <definedName name="Expense_Fees_UMUIM_Split_PD">'Rates and Factors'!$B$262</definedName>
    <definedName name="Expiration_Date">'Input'!$B$14</definedName>
    <definedName name="Extended_Medical_Benefits">'Input'!$B$98</definedName>
    <definedName name="Extended_Non_owned_COLL_Coverage">'Input'!$B$150:$G$150</definedName>
    <definedName name="Extended_Non_owned_COLL_indicator_for_Vehicle">'Input'!$B$198:$G$198</definedName>
    <definedName name="Extended_Non_owned_COMP_Coverage">'Input'!$B$149:$G$149</definedName>
    <definedName name="Extended_Non_owned_COMP_indicator_for_Vehicle">'Input'!$B$197:$G$197</definedName>
    <definedName name="Extended_Non_owned_Liability_Coverage">'Input'!$B$144:$G$144</definedName>
    <definedName name="Extended_Non_owned_Liability_indicator_for_Vehicle">'Input'!$B$193:$G$193</definedName>
    <definedName name="Extended_Non_owned_Medical_indicator_for_Vehicle">'Input'!$B$196:$G$196</definedName>
    <definedName name="Extended_Non_owned_Medical_Payments_Coverage">'Input'!$B$147:$G$147</definedName>
    <definedName name="Extended_Non_owned_Person_Named_Type">'Input'!$B$148:$G$148</definedName>
    <definedName name="Extended_Non_owned_Property_Damage_Coverage">'Input'!$B$146:$G$146</definedName>
    <definedName name="Extended_Non_owned_Property_Damage_indicator_for_Vehicle">'Input'!$B$195:$G$195</definedName>
    <definedName name="Extended_Transportation_Expenses_Premium">'Extn Transportation Expenses'!$C$18:$H$18</definedName>
    <definedName name="ExtNO_BI_Base_Rate">'Rates and Factors'!$B$93:$G$93</definedName>
    <definedName name="ExtNO_BI_Increased_Limits_Factor">'Rates and Factors'!$B$94:$G$94</definedName>
    <definedName name="ExtNO_Bodily_Injury_Premium">'Ext NonOwned'!$C$88:$H$88</definedName>
    <definedName name="ExtNO_COLL_Premium">'Ext NonOwned'!$C$92:$H$92</definedName>
    <definedName name="ExtNO_COMP_Premium">'Ext NonOwned'!$C$91:$H$91</definedName>
    <definedName name="ExtNO_CSL_Base_Rate">'Rates and Factors'!$B$90:$G$90</definedName>
    <definedName name="ExtNO_CSL_Increased_Limits_Factor">'Rates and Factors'!$B$91:$G$91</definedName>
    <definedName name="ExtNO_Medical_Base_Rate">'Rates and Factors'!$B$119:$G$119</definedName>
    <definedName name="ExtNO_Medical_Increased_Limits_Factor">'Rates and Factors'!$B$120:$G$120</definedName>
    <definedName name="ExtNO_Medical_Premium">'Ext NonOwned'!$C$90:$H$90</definedName>
    <definedName name="ExtNO_PD_Base_Rate">'Rates and Factors'!$B$96:$G$96</definedName>
    <definedName name="ExtNO_PD_Increased_Limits_Factor">'Rates and Factors'!$B$97:$G$97</definedName>
    <definedName name="ExtNO_Property_Damage_Premium">'Ext NonOwned'!$C$89:$H$89</definedName>
    <definedName name="Extraordinary_Benefits_Factor">'Rates and Factors'!$B$118:$G$118</definedName>
    <definedName name="Extraordinary_Medical_Benefits">'Input'!$B$100</definedName>
    <definedName name="Fampak_Discount_Factor">'Rates and Factors'!$B$247</definedName>
    <definedName name="Fampak_Indicator">'Input'!$B$106</definedName>
    <definedName name="Financial_Responsibility_Certified_Risk_Surcharge">'Input'!$B$140:$G$140</definedName>
    <definedName name="Financial_Responsibility_Filing_Required">'Input'!$B$137:$G$137</definedName>
    <definedName name="Financial_Responsibility_Insured_Type">'Input'!$B$138:$G$138</definedName>
    <definedName name="Financial_Responsibility_Surcharge">'Input'!$B$139:$G$139</definedName>
    <definedName name="Financial_Responsibility_Surcharge_Rate">'Rates and Factors'!$B$207:$G$207</definedName>
    <definedName name="Fire_Base_Rate">'Rates and Factors'!$B$360:$G$360</definedName>
    <definedName name="Fire_Code">'Rates and Factors'!$B$332</definedName>
    <definedName name="Fire_Coverage">'Input'!$B$248:$G$248</definedName>
    <definedName name="FRESP_Insured_Type_for_Vehicle">'Input'!$B$182:$G$182</definedName>
    <definedName name="FRESP_Surcharge_for_Vehicle">'Input'!$B$183:$G$183</definedName>
    <definedName name="Full_Glass_coverage?">'Input'!$B$236:$G$236</definedName>
    <definedName name="Funeral_Benefit">'Input'!$B$91</definedName>
    <definedName name="Funeral_Expense_Factor">'Rates and Factors'!$B$116:$G$116</definedName>
    <definedName name="Garage_City">'Input'!$B$203:$G$203</definedName>
    <definedName name="Garage_State">'Input'!$B$204:$G$204</definedName>
    <definedName name="Garage_Territory">'Input'!$B$206:$G$206</definedName>
    <definedName name="Garage_Zipcode">'Input'!$B$205:$G$205</definedName>
    <definedName name="GolfCart_Factor_Liability">'Rates and Factors'!$B$37</definedName>
    <definedName name="Good_Student_Credit?">'Input'!$B$134:$G$134</definedName>
    <definedName name="High_Security_Ign_replacement">'Input'!$B$222:$G$222</definedName>
    <definedName name="IN_Reduction_in_Commission_Percentage">'Input'!$B$64</definedName>
    <definedName name="IN_Standard_Agent_Commission">'Input'!$B$63</definedName>
    <definedName name="IN_Standard_Agent_Commission_Factor">'Rates and Factors'!$B$250</definedName>
    <definedName name="Incident_1">'Input'!$B$124:$G$124</definedName>
    <definedName name="Incident_2">'Input'!$B$125:$G$125</definedName>
    <definedName name="Incident_3">'Input'!$B$126:$G$126</definedName>
    <definedName name="Incident_4">'Input'!$B$127:$G$127</definedName>
    <definedName name="Incident_5">'Input'!$B$128:$G$128</definedName>
    <definedName name="Incident_6">'Input'!$B$129:$G$129</definedName>
    <definedName name="Income_Loss_Copay">'Input'!$B$88</definedName>
    <definedName name="Income_Loss_Deductible">'Input'!$B$87</definedName>
    <definedName name="Income_Loss_Limit">'Input'!$B$86</definedName>
    <definedName name="Income_Loss_Limit_Factor">'Rates and Factors'!$B$115:$G$115</definedName>
    <definedName name="Increased_Limits_Excess_Sound_Eq">'Input'!$B$263:$G$263</definedName>
    <definedName name="Increased_Limits_Excess_Sound_Eq_Description">'Input'!$B$264:$G$264</definedName>
    <definedName name="Inexperienced_Operator">'Input'!$B$120:$G$120</definedName>
    <definedName name="Insurance_Company">'Input'!$B$11</definedName>
    <definedName name="Insured_City">'Input'!$B$4</definedName>
    <definedName name="Insured_Name">'Input'!$B$3</definedName>
    <definedName name="Insured_State">'Input'!$B$5</definedName>
    <definedName name="Insured_Zipcode">'Input'!$B$9</definedName>
    <definedName name="Internally_operated_alarms">'Input'!$B$223:$G$223</definedName>
    <definedName name="Is_BI_Applicable_For_Vehicle">'Veh Applicability'!$B$3:$G$3</definedName>
    <definedName name="Is_Collision_Applicable_For_Vehicle">'Veh Applicability'!$B$11:$G$11</definedName>
    <definedName name="Is_Combined_Youthful">'Classification'!$B$25</definedName>
    <definedName name="Is_COMP_Applicable_For_Vehicle">'Veh Applicability'!$B$10:$G$10</definedName>
    <definedName name="IS_FRESP_Present_for_Vehicle">'Input'!$B$181:$G$181</definedName>
    <definedName name="Is_Good_Student">'Classification'!$B$23:$G$23</definedName>
    <definedName name="Is_Lease_Applicable_For_Vehicle">'Veh Applicability'!$B$12:$G$12</definedName>
    <definedName name="Is_Married">'Classification'!$B$22:$G$22</definedName>
    <definedName name="Is_Medical_Applicable_For_Vehicle">'Veh Applicability'!$B$6:$G$6</definedName>
    <definedName name="Is_MotorHome_Applicable_For_Vehicle">'Veh Applicability'!$B$14:$G$14</definedName>
    <definedName name="is_mul">'Veh Applicability'!$A$17</definedName>
    <definedName name="Is_Multicar_Vehicle">'Veh Applicability'!$B$17:$G$17</definedName>
    <definedName name="Is_Multicar_Vehicle_On_Type">'Veh Applicability'!$B$19:$G$19</definedName>
    <definedName name="Is_named_insured?">'Input'!$B$115:$G$115</definedName>
    <definedName name="Is_NC_Clean_Risk_Present_for_Vehicle">'Input'!$B$180:$G$180</definedName>
    <definedName name="Is_PD_Applicable_For_Vehicle">'Veh Applicability'!$B$4:$G$4</definedName>
    <definedName name="Is_PIP_Applicable_For_Vehicle">'Veh Applicability'!$B$5:$G$5</definedName>
    <definedName name="Is_RT_Applicable_For_Vehicle">'Veh Applicability'!$B$15:$G$15</definedName>
    <definedName name="Is_Stacking_Present">'Rates and Factors'!$B$43</definedName>
    <definedName name="Is_Towing_Applicable_For_Vehicle">'Veh Applicability'!$B$13:$G$13</definedName>
    <definedName name="Is_UIM_Applicable_For_Vehicle">'Veh Applicability'!$B$8:$G$8</definedName>
    <definedName name="Is_UM_Applicable_For_Vehicle">'Veh Applicability'!$B$7:$G$7</definedName>
    <definedName name="Is_UMUIM_Applicable_For_Vehicle">'Veh Applicability'!$B$9:$G$9</definedName>
    <definedName name="Is_YouthFul">'Classification'!$B$21:$G$21</definedName>
    <definedName name="KS_Motor_Cycle_PIP_Rate">'Rates and Factors'!$B$124:$G$124</definedName>
    <definedName name="KY_Guest_PIP_Coverage">'Input'!$B$74</definedName>
    <definedName name="KY_Guest_PIP_Factor">'Rates and Factors'!$B$215</definedName>
    <definedName name="KY_Motor_Cycle_APIP_Rate">'Rates and Factors'!$B$126:$G$126</definedName>
    <definedName name="KY_Motor_Cycle_PIP_Rate">'Rates and Factors'!$B$125:$G$125</definedName>
    <definedName name="KY_PIP_Buyback_Option">'Input'!$B$73</definedName>
    <definedName name="Licensed_over_3_years?">'Input'!$B$121:$G$121</definedName>
    <definedName name="Limited_Collision">'Input'!$B$240:$G$240</definedName>
    <definedName name="Loss_Free_Credit_Factor">'Rates and Factors'!$B$249</definedName>
    <definedName name="Loss_Free_Credit_Indicator">'Input'!$B$61</definedName>
    <definedName name="Make">'Input'!$B$171:$G$171</definedName>
    <definedName name="Marital_Status">'Input'!$B$119:$G$119</definedName>
    <definedName name="Mass_Merchandise_Factor">'Rates and Factors'!$B$187:$G$187</definedName>
    <definedName name="Mass_Merchandising_Program">'Input'!$B$62</definedName>
    <definedName name="Max_OCN">'Rates and Factors'!$B$340:$G$340</definedName>
    <definedName name="Media_coverage">'Input'!$B$260:$G$260</definedName>
    <definedName name="Medical_Base_premium">'Medical'!$C$21:$H$21</definedName>
    <definedName name="Medical_Base_Rate">'Rates and Factors'!$B$99:$G$99</definedName>
    <definedName name="Medical_Deductible_Copay_Factor">'Rates and Factors'!$B$106:$G$106</definedName>
    <definedName name="Medical_Expense_Elimination">'Input'!$B$102</definedName>
    <definedName name="Medical_Increased_Limits_Factor">'Rates and Factors'!$B$102:$G$102</definedName>
    <definedName name="Medical_Increased_Limits_Factor_AA">'Rates and Factors'!$B$123:$G$123</definedName>
    <definedName name="Medical_Increased_Limits_Factor_DB">'Rates and Factors'!$B$122:$G$122</definedName>
    <definedName name="Medical_Increased_Limits_Factor_SNOWM">'Rates and Factors'!$B$121:$G$121</definedName>
    <definedName name="Medical_Minium_Premium">'Rates and Factors'!$B$103:$G$103</definedName>
    <definedName name="Medical_PIP_Base_Rate">'Rates and Factors'!$B$101:$G$101</definedName>
    <definedName name="Medical_Premium">'Medical'!$C$56:$H$56</definedName>
    <definedName name="Medical_Premium_AA">'Medical Other'!$C$38:$H$38</definedName>
    <definedName name="Medical_Premium_ATV">'Medical Other'!$C$36:$H$36</definedName>
    <definedName name="Medical_Premium_DB">'Medical Other'!$C$37:$H$37</definedName>
    <definedName name="Medical_Premium_MC">'Medical Other'!$C$34:$H$34</definedName>
    <definedName name="Medical_Premium_SNOWM">'Medical Other'!$C$35:$H$35</definedName>
    <definedName name="MedPay_Copay">'Input'!$B$84</definedName>
    <definedName name="MedPay_Deductible">'Input'!$B$83</definedName>
    <definedName name="MedPay_Limit">'Input'!$B$81</definedName>
    <definedName name="MedPay_Limit_CodeValue">'Input'!$B$82</definedName>
    <definedName name="Mexican_Collision_Coverage">'Input'!$B$242:$G$242</definedName>
    <definedName name="MI_Broadened_COLL_Rate">'Rates and Factors'!$B$158:$G$158</definedName>
    <definedName name="MI_High_Performance_Factor">'Rates and Factors'!$B$364:$G$364</definedName>
    <definedName name="MI_Limited_COLL_Factor">'Rates and Factors'!$B$151:$G$151</definedName>
    <definedName name="MI_PD_Buyback_Premium">'Rates and Factors'!$B$329</definedName>
    <definedName name="MI_PIP_Family_Members">'Input'!$B$76</definedName>
    <definedName name="MI_PIP_Special_Factor">'Rates and Factors'!$B$111:$G$111</definedName>
    <definedName name="MI_PIP_Special_Factor_Multi">'Rates and Factors'!$B$110:$G$110</definedName>
    <definedName name="MI_PIP_Special_Factor_Single">'Rates and Factors'!$B$109:$G$109</definedName>
    <definedName name="MI_PPI_Premium">'MI-PPI'!$C$37:$H$37</definedName>
    <definedName name="MI_Property_Protection_Coverage_Indicator">'Input'!$B$58</definedName>
    <definedName name="MI_Secondary_Class_Factor">'Rates and Factors'!$B$17:$G$17</definedName>
    <definedName name="MI_Secondary_Class_Factor_COMP">'Rates and Factors'!$B$18:$G$18</definedName>
    <definedName name="Michigan_PD_Liability_Buyback">'Input'!$B$57</definedName>
    <definedName name="Minivan_Discount_Factor">'Rates and Factors'!$B$186:$G$186</definedName>
    <definedName name="Minivan_Indicator">'Input'!$B$261:$G$261</definedName>
    <definedName name="Model">'Input'!$B$172:$G$172</definedName>
    <definedName name="Motor_Cycle_Factor_UM">'Rates and Factors'!$B$34</definedName>
    <definedName name="MotorCycle_Rating_Factor">'[1]Rates and Factors'!$B$19:$G$19</definedName>
    <definedName name="MotorCycle_Rating_Factor_Liability">'Rates and Factors'!$B$33:$G$33</definedName>
    <definedName name="Motorcycle_Rider_Discount_Factor">'Rates and Factors'!$B$185:$G$185</definedName>
    <definedName name="MotorHome_Bodily_Injury_Premium">'MotorHome'!$C$164:$H$164</definedName>
    <definedName name="MotorHome_COLL_Premium">'MotorHome'!$C$169:$H$169</definedName>
    <definedName name="MotorHome_COMP_Premium">'MotorHome'!$C$168:$H$168</definedName>
    <definedName name="MotorHome_Medical_Premium">'MotorHome'!$C$166:$H$166</definedName>
    <definedName name="MotorHome_MultiCar">'Veh Applicability'!$B$20</definedName>
    <definedName name="MotorHome_Property_Damage_Premium">'MotorHome'!$C$165:$H$165</definedName>
    <definedName name="MotorHome_Rating_Factor_COLL">'Rates and Factors'!$B$32:$G$32</definedName>
    <definedName name="MotorHome_Rating_Factor_COMP">'Rates and Factors'!$B$31:$G$31</definedName>
    <definedName name="MotorHome_Rating_Factor_Liability">'Rates and Factors'!$B$30:$G$30</definedName>
    <definedName name="MotorHome_Rental_Duration">'Input'!$B$103</definedName>
    <definedName name="MotorHome_Rental_Factor">'Rates and Factors'!$B$211</definedName>
    <definedName name="MotorHome_Rental_Premium">'MotorHome'!$C$170:$H$170</definedName>
    <definedName name="MotorHome_UM_BI_Premium">'MotorHome'!$C$167:$H$167</definedName>
    <definedName name="Multiple_Car_Indicator">'Input'!$B$19</definedName>
    <definedName name="Multiple_Policy_Discount">'Rates and Factors'!$B$209</definedName>
    <definedName name="Multiple_Policy_Discount_Factor">'Rates and Factors'!$B$188</definedName>
    <definedName name="Multiple_Policy_Indicator">'Input'!$B$18</definedName>
    <definedName name="Municipal_Tax_Code">'Input'!$B$207:$G$207</definedName>
    <definedName name="Municipal_Tax_Rate">'Rates and Factors'!$B$297:$G$297</definedName>
    <definedName name="Named_Non_owned_COLL_Coverage">'Input'!$B$157:$G$157</definedName>
    <definedName name="Named_Non_owned_COMP_Coverage">'Input'!$B$156:$G$156</definedName>
    <definedName name="Named_Non_owned_Liability_Coverage">'Input'!$B$151:$G$151</definedName>
    <definedName name="Named_Non_owned_Medical_Payments_Coverage">'Input'!$B$153:$G$153</definedName>
    <definedName name="Named_Non_owned_Property_Damage_Coverage">'Input'!$B$152:$G$152</definedName>
    <definedName name="Named_Non_owner_BI_factor">'Rates and Factors'!$B$300</definedName>
    <definedName name="Named_Non_Owner_BI_Premium">'Named Non-owner'!$C$51:$H$51</definedName>
    <definedName name="Named_Non_owner_COLL_factor">'Rates and Factors'!$B$308</definedName>
    <definedName name="Named_Non_owner_COLL_indicator_for_Vehicle">'Input'!$B$192:$G$192</definedName>
    <definedName name="Named_Non_owner_COMP_factor">'Rates and Factors'!$B$307</definedName>
    <definedName name="Named_Non_owner_COMP_indicator_for_Vehicle">'Input'!$B$191:$G$191</definedName>
    <definedName name="Named_Non_owner_liability_indicator_for_Vehicle">'Input'!$B$186:$G$186</definedName>
    <definedName name="Named_Non_Owner_MED_Premium">'Named Non-owner'!$C$143:$H$143</definedName>
    <definedName name="Named_Non_owner_Medical_factor">'Rates and Factors'!$B$302</definedName>
    <definedName name="Named_Non_owner_Medical_indicator_for_Vehicle">'Input'!$B$188:$G$188</definedName>
    <definedName name="Named_Non_owner_PD_factor">'Rates and Factors'!$B$301</definedName>
    <definedName name="Named_Non_Owner_PD_Premium">'Named Non-owner'!$C$102:$H$102</definedName>
    <definedName name="Named_Non_Owner_Policy_Term">'Input'!$B$155:$G$155</definedName>
    <definedName name="Named_Non_Owner_Policy_Term_factor">'Rates and Factors'!$B$306</definedName>
    <definedName name="Named_Non_owner_Policy_term_for_Vehicle">'Input'!$B$190:$G$190</definedName>
    <definedName name="Named_Non_owner_Property_Damage_indicator_for_Vehicle">'Input'!$B$187:$G$187</definedName>
    <definedName name="Named_Non_owner_UIM_BI_factor">'Rates and Factors'!$B$305</definedName>
    <definedName name="Named_Non_Owner_UIM_BI_Premium">'Named Non-owner'!$C$211:$H$211</definedName>
    <definedName name="Named_Non_owner_UM_BI_factor">'Rates and Factors'!$B$303</definedName>
    <definedName name="Named_Non_Owner_UM_BI_Premium">'Named Non-owner'!$C$185:$H$185</definedName>
    <definedName name="Named_Non_Owner_UM_Coverage">'Input'!$B$154:$G$154</definedName>
    <definedName name="Named_Non_owner_UM_indicator_for_Vehicle">'Input'!$B$189:$G$189</definedName>
    <definedName name="Named_Non_owner_UM_PD_factor">'Rates and Factors'!$B$304</definedName>
    <definedName name="Named_Non_Owner_UM_PD_Premium">'Named Non-owner'!$C$186:$H$186</definedName>
    <definedName name="NC_Adjusted_BI_Rate">'Rates and Factors'!$B$53:$G$53</definedName>
    <definedName name="NC_Adjusted_Medical_Rate">'Rates and Factors'!$B$104:$G$104</definedName>
    <definedName name="NC_Adjusted_PD_Rate">'Rates and Factors'!$B$58:$G$58</definedName>
    <definedName name="NC_Adjusted_UM_BI_Rate">'Rates and Factors'!$B$65:$G$65</definedName>
    <definedName name="NC_Adjusted_UM_PD_Rate">'Rates and Factors'!$B$70:$G$70</definedName>
    <definedName name="NC_Adjusted_UMUIM_BI_Rate">'Rates and Factors'!$B$83:$G$83</definedName>
    <definedName name="NC_Adjusted_UMUIM_PD_Rate">'Rates and Factors'!$B$87:$G$87</definedName>
    <definedName name="NC_Alternative_Economic_Loss_Rate">'Rates and Factors'!$B$66:$G$66</definedName>
    <definedName name="NC_BI_Clean_Risk_Surcharge">'BI'!$C$71:$H$71</definedName>
    <definedName name="NC_Clean_Risk_Indicator">'Input'!$B$160:$G$160</definedName>
    <definedName name="NC_Inexperience_Collision">'Rates and Factors'!$B$26:$G$26</definedName>
    <definedName name="NC_Inexperience_Liability">'Rates and Factors'!$B$25:$G$25</definedName>
    <definedName name="NC_Inexperience_Others">'Rates and Factors'!$B$27:$G$27</definedName>
    <definedName name="NC_Inexperienced_Operator_Status">'Input'!$B$159:$G$159</definedName>
    <definedName name="NC_Medical_Clean_Risk_Surcharge">'Medical'!$C$57:$H$57</definedName>
    <definedName name="NC_No_Inexperience_Collision">'Rates and Factors'!$B$23:$G$23</definedName>
    <definedName name="NC_No_Inexperience_Liability">'Rates and Factors'!$B$22:$G$22</definedName>
    <definedName name="NC_No_Inexperience_Others">'Rates and Factors'!$B$24:$G$24</definedName>
    <definedName name="NC_PD_Clean_Risk_Surcharge">'PD'!$C$70:$H$70</definedName>
    <definedName name="NC_Primary_Factor_Collision">'Rates and Factors'!$B$20:$G$20</definedName>
    <definedName name="NC_Primary_Factor_Liability">'Rates and Factors'!$B$19:$G$19</definedName>
    <definedName name="NC_Primary_Factor_Others">'Rates and Factors'!$B$21:$G$21</definedName>
    <definedName name="NC_Rented_Vehicles_Coverage">'Input'!$B$244:$G$244</definedName>
    <definedName name="NC_Repair_or_Replacement_Coverage">'Input'!$B$243:$G$243</definedName>
    <definedName name="NC_Repair_or_Replacement_factor">'Rates and Factors'!$B$191:$G$191</definedName>
    <definedName name="NC_RT_indicator">'Rates and Factors'!$B$338:$G$338</definedName>
    <definedName name="NC_SDIP_Factor">'Rates and Factors'!$B$28:$G$28</definedName>
    <definedName name="NC_Transportation_Expenses_Coverage">'Input'!$B$245:$G$245</definedName>
    <definedName name="NC_Transportation_Expenses_rate">'Rates and Factors'!$B$192:$G$192</definedName>
    <definedName name="NJ_Optional_Medical">'Input'!$B$96</definedName>
    <definedName name="Non_PIP_Vehicle_BI_Rate">'Rates and Factors'!$B$128:$G$128</definedName>
    <definedName name="Non_PIP_Vehicle_CSL_Rate">'Rates and Factors'!$B$127:$G$127</definedName>
    <definedName name="Non_PIP_Vehicle_Medical_Rate">'Rates and Factors'!$B$129:$G$129</definedName>
    <definedName name="Number_of_Additional_Persons">'Input'!$B$45</definedName>
    <definedName name="Number_of_Drivers">'Input'!$B$16</definedName>
    <definedName name="Number_of_Vehicles">'Input'!$B$17</definedName>
    <definedName name="OCN_Increment">'Rates and Factors'!$B$341:$G$341</definedName>
    <definedName name="OK_Number_of_Months_for_UM_coverage">'Input'!$B$97</definedName>
    <definedName name="Operator_Status">'Input'!$B$200:$G$200</definedName>
    <definedName name="Operator_Status_of_Driver">'Input'!$B$158:$G$158</definedName>
    <definedName name="Operators_above_60">'Classification'!$B$26</definedName>
    <definedName name="Optional_Basic_Economic_Loss">'Input'!$B$101</definedName>
    <definedName name="Original_cost">'Input'!$B$174:$G$174</definedName>
    <definedName name="Original_Cost_New">'Input'!$B$209:$G$209</definedName>
    <definedName name="OUTPUT">'Output'!$A$2:$J$115</definedName>
    <definedName name="OUTPUT_PAIRS">'Output'!$E$115:$E$119</definedName>
    <definedName name="Overnight_Parking">'Input'!$B$208:$G$208</definedName>
    <definedName name="PA_Non_PIP_BI_Increated_Limit_Factor">'Rates and Factors'!$B$131:$G$131</definedName>
    <definedName name="PA_Non_PIP_CSL_Increated_Limit_Factor">'Rates and Factors'!$B$130:$G$130</definedName>
    <definedName name="Passenger_Hazard_CSL_Factor">'Rates and Factors'!$B$212</definedName>
    <definedName name="Passenger_Hazard_Exclusion_Indicator">'Input'!$B$266:$G$266</definedName>
    <definedName name="Passenger_Hazard_Split_Factor">'Rates and Factors'!$B$213</definedName>
    <definedName name="Passive_disabling">'Input'!$B$216:$G$216</definedName>
    <definedName name="PD_Base_Premium">'PD'!$C$25:$H$25</definedName>
    <definedName name="PD_Base_rate">'Rates and Factors'!$B$55:$G$55</definedName>
    <definedName name="PD_Increased_Limits_Factor">'Rates and Factors'!$B$57:$G$57</definedName>
    <definedName name="PD_Minimum_Premium">'Rates and Factors'!$B$56:$G$56</definedName>
    <definedName name="Pedestrain_PIP_Coverage">'Input'!$B$75</definedName>
    <definedName name="PIP">'Rates and Factors'!$B$44</definedName>
    <definedName name="PIP_Base_Rate">'Rates and Factors'!$B$100:$G$100</definedName>
    <definedName name="PIP_Copay">'Input'!$B$70</definedName>
    <definedName name="PIP_Deductible">'Input'!$B$71</definedName>
    <definedName name="PIP_Deductible_Copay_Factor">'Rates and Factors'!$B$105:$G$105</definedName>
    <definedName name="PIP_Minium_Premium">'Rates and Factors'!$B$103:$G$103</definedName>
    <definedName name="PIP_Number_of_Individuals">'Input'!$B$77</definedName>
    <definedName name="PIP_Plan">'Input'!$B$68</definedName>
    <definedName name="PIP_Premium">'PIP'!$C$84:$H$84</definedName>
    <definedName name="PIP_Premium_MC">'Medical Other'!$C$63:$H$63</definedName>
    <definedName name="Policy_Period_Factor">'Rates and Factors'!$B$204</definedName>
    <definedName name="PPI_Base_Rate">'Rates and Factors'!$B$299:$G$299</definedName>
    <definedName name="Premium_Amount">'Output'!$E$115</definedName>
    <definedName name="Primary_class_factor_for_BI_and_PD">'Rates and Factors'!$B$13:$G$13</definedName>
    <definedName name="Primary_class_factor_for_COMP_and_COLL">'Rates and Factors'!$B$15:$G$15</definedName>
    <definedName name="Primary_Driver">'Input'!$B$175:$G$175</definedName>
    <definedName name="Primary_Liability_for_Furnished_Automobile">'Input'!$B$145:$G$145</definedName>
    <definedName name="Primary_Liability_for_Furnished_Automobile_for_Vehicle">'Input'!$B$194:$G$194</definedName>
    <definedName name="Primary_Rating_Classification_Code">'Input'!$B$162:$G$162</definedName>
    <definedName name="Prime_Life_Discount_Factor">'Rates and Factors'!$B$248</definedName>
    <definedName name="Prime_Life_Indicator">'Input'!$B$107</definedName>
    <definedName name="Principal_Driver">'Classification'!$B$24:$G$24</definedName>
    <definedName name="_xlnm.Print_Titles" localSheetId="0">'Input'!$A:$A</definedName>
    <definedName name="Product_Code">'Input'!$B$8</definedName>
    <definedName name="Property_Damage_Limit_for_UIM">'Input'!$B$49</definedName>
    <definedName name="Property_Damage_Limit_for_UM">'Input'!$B$41</definedName>
    <definedName name="Property_Damage_Limit_for_UM_and_UIM">'Input'!$B$53</definedName>
    <definedName name="Property_Damage_Limit_for_UM_and_UIM_Description">'Input'!$B$54</definedName>
    <definedName name="Property_Damage_Limit_for_UM_Description">'Input'!$B$42</definedName>
    <definedName name="Property_Damage_Limt">'Input'!$B$36</definedName>
    <definedName name="Property_Damage_Limt_Description">'Input'!$B$37</definedName>
    <definedName name="Property_Damage_Premium">'PD'!$C$69:$H$69</definedName>
    <definedName name="Property_Damage_Premium_AA">'PD Other'!$C$81:$H$81</definedName>
    <definedName name="Property_Damage_Premium_ATV">'PD Other'!$C$79:$H$79</definedName>
    <definedName name="Property_Damage_Premium_DB">'PD Other'!$C$80:$H$80</definedName>
    <definedName name="Property_Damage_Premium_GO">'PD Other'!$C$77:$H$77</definedName>
    <definedName name="Property_Damage_Premium_MC">'PD Other'!$C$76:$H$76</definedName>
    <definedName name="Property_Damage_Premium_SNOWM">'PD Other'!$C$78:$H$78</definedName>
    <definedName name="Quote_Id">'Input'!$B$7</definedName>
    <definedName name="RateAsOfDate">'Input'!$B$12</definedName>
    <definedName name="Recreational_Trailer_Collision_Premium">'NC Recreational Trailer'!$C$73:$H$73</definedName>
    <definedName name="Recreational_Trailer_Comprehensive_Premium">'NC Recreational Trailer'!$C$72:$H$72</definedName>
    <definedName name="Recreational_Trailer_Contents_Premium">'NC Recreational Trailer'!$C$70:$H$70</definedName>
    <definedName name="Recreational_Trailer_Other_Property_Premium">'NC Recreational Trailer'!$C$71:$H$71</definedName>
    <definedName name="Recreational_Trailer_Type">'Input'!$B$253:$G$253</definedName>
    <definedName name="Recreational_Trailer_Type_Description">'Input'!$B$254:$G$254</definedName>
    <definedName name="Recreational_Trailer_Value">'Input'!$B$262:$G$262</definedName>
    <definedName name="Reject_Income_Loss">'Input'!$B$89</definedName>
    <definedName name="Reject_Income_Loss_Factor">'Rates and Factors'!$B$114:$G$114</definedName>
    <definedName name="Relationship">'Input'!$B$114:$G$114</definedName>
    <definedName name="Relationship_with_insured">'Input'!$B$179:$G$179</definedName>
    <definedName name="Rental_Car_Coverage">'Input'!#REF!</definedName>
    <definedName name="RT_COLL_Premium">'Recreational Trailer'!$C$40:$H$40</definedName>
    <definedName name="RT_COMP_Premium">'Recreational Trailer'!$C$39:$H$39</definedName>
    <definedName name="RT_Contents_CAC_with_VMM_Rate">'Rates and Factors'!$B$344:$G$344</definedName>
    <definedName name="RT_Contents_CAC_without_VMM_Rate">'Rates and Factors'!$B$345:$G$345</definedName>
    <definedName name="RT_Contents_Fire_Rate">'Rates and Factors'!$B$343:$G$343</definedName>
    <definedName name="RT_Other_Property_CAC_with_VMM_Rate">'Rates and Factors'!$B$350:$G$350</definedName>
    <definedName name="RT_Other_Property_CAC_without_VMM_Rate">'Rates and Factors'!$B$351:$G$351</definedName>
    <definedName name="RT_Other_Property_Fire_Rate">'Rates and Factors'!$B$347:$G$347</definedName>
    <definedName name="RT_Other_Property_Theft_Rate">'Rates and Factors'!$B$348:$G$348</definedName>
    <definedName name="RT_Other_Property_Windstorm_Rate">'Rates and Factors'!$B$349:$G$349</definedName>
    <definedName name="Safe_Driver_Accident_Points">'Input'!$B$132:$G$132</definedName>
    <definedName name="Safe_Driver_Conviction_Points">'Input'!$B$133:$G$133</definedName>
    <definedName name="Safe_Driver_Plan_Surcharge_Points">'Input'!$B$131:$G$131</definedName>
    <definedName name="Safe_Driver_Years">'Input'!$B$130:$G$130</definedName>
    <definedName name="SC_Reinsurance_Facility_Surcharge">'Input'!$B$161:$G$161</definedName>
    <definedName name="SC_Reinsurance_Facility_Surcharge_Factor">'Rates and Factors'!$B$216</definedName>
    <definedName name="SDIP_Assigned_for_Vehicle">'Input'!$B$185:$G$185</definedName>
    <definedName name="SDIP_Factor">'Rates and Factors'!$B$170:$G$170</definedName>
    <definedName name="Secondary_class_factor_for_BI_and_PD">'Rates and Factors'!$B$14:$G$14</definedName>
    <definedName name="Secondary_class_factor_for_COMP_and_COLL">'Rates and Factors'!$B$16:$G$16</definedName>
    <definedName name="Secondary_Rating_Classification_Code">'Input'!$B$163:$G$163</definedName>
    <definedName name="Sex">'Input'!$B$118:$G$118</definedName>
    <definedName name="Single_CAR_Indicator">'Rates and Factors'!$B$337</definedName>
    <definedName name="Single_Car_NC_Adjusted_UM_BI_Rate">'Rates and Factors'!$B$316:$G$316</definedName>
    <definedName name="Single_Car_NC_Adjusted_UM_PD_Rate">'Rates and Factors'!$B$321:$G$321</definedName>
    <definedName name="Single_Car_NC_Adjusted_UMUIM_BI_Rate">'Rates and Factors'!#REF!</definedName>
    <definedName name="Single_Car_NC_Alternative_Economic_Loss_Rate">'Rates and Factors'!$B$317:$G$317</definedName>
    <definedName name="Single_Car_UIM_BI_Base_rate">'Rates and Factors'!$B$326:$G$326</definedName>
    <definedName name="Single_Car_UIM_BI_Increased_Limits_Factor">'Rates and Factors'!$B$327:$G$327</definedName>
    <definedName name="Single_Car_UIM_CSL_Base_rate">'Rates and Factors'!$B$323:$G$323</definedName>
    <definedName name="Single_Car_UIM_CSL_Increased_Limits_Factor">'Rates and Factors'!$B$324:$G$324</definedName>
    <definedName name="Single_Car_UIMUIM_BI_Increased_Limits_Factor">'Rates and Factors'!#REF!</definedName>
    <definedName name="Single_Car_UIMUIM_CSL_Increased_Limits_Factor">'Rates and Factors'!#REF!</definedName>
    <definedName name="Single_Car_UM_BI_Base_rate">'Rates and Factors'!$B$314:$G$314</definedName>
    <definedName name="Single_Car_UM_BI_Increased_Limits_Factor">'Rates and Factors'!$B$315:$G$315</definedName>
    <definedName name="Single_Car_UM_CSL_Base_rate">'Rates and Factors'!$B$311:$G$311</definedName>
    <definedName name="Single_Car_UM_CSL_Increased_Limits_Factor">'Rates and Factors'!$B$312:$G$312</definedName>
    <definedName name="Single_Car_UM_PD_Base_rate">'Rates and Factors'!$B$319:$G$319</definedName>
    <definedName name="Single_Car_UM_PD_Increased_Limits_Factor">'Rates and Factors'!$B$320:$G$320</definedName>
    <definedName name="Single_Car_UMUIM_BI_Base_rate">'Rates and Factors'!#REF!</definedName>
    <definedName name="Single_Car_UMUIM_CSL_Base_rate">'Rates and Factors'!#REF!</definedName>
    <definedName name="Single_Car_UMUIM_PD_Base_rate">'Rates and Factors'!#REF!</definedName>
    <definedName name="Single_Car_UMUIM_PD_Increased_Limits_Factor">'Rates and Factors'!#REF!</definedName>
    <definedName name="SNOWM_Factor_Liability">'Rates and Factors'!$B$35</definedName>
    <definedName name="Special_MultiCar">'Veh Applicability'!$B$18</definedName>
    <definedName name="Specified_Alarm_Operations">'Input'!$B$224:$G$224</definedName>
    <definedName name="Split_BI_Limit">'Input'!$B$34</definedName>
    <definedName name="Split_BI_Limit_Description">'Input'!$B$35</definedName>
    <definedName name="Split_BI_Limit_for_UIM">'Input'!$B$47</definedName>
    <definedName name="Split_BI_Limit_for_UIM_Description">'Input'!$B$48</definedName>
    <definedName name="Split_BI_Limit_for_UM">'Input'!$B$39</definedName>
    <definedName name="Split_BI_Limit_for_UM_and_UIM">'Input'!$B$51</definedName>
    <definedName name="Split_BI_Limit_for_UM_and_UIM_Description">'Input'!$B$52</definedName>
    <definedName name="Split_BI_Limit_for_UM_Description">'Input'!$B$40</definedName>
    <definedName name="Stacked_PIP">'Input'!$B$72</definedName>
    <definedName name="State_Surcharge_Rate">'Rates and Factors'!$B$296</definedName>
    <definedName name="Stereo_and_electronic_equipment">'Input'!$B$258:$G$258</definedName>
    <definedName name="Stereo_and_electronic_equipment_Description">'Input'!$B$259:$G$259</definedName>
    <definedName name="Tapes_Media_Rate">'Rates and Factors'!$B$201:$G$201</definedName>
    <definedName name="Territory_Code">'Rates and Factors'!$B$41:$G$41</definedName>
    <definedName name="Theft_Base_Rate">'Rates and Factors'!$B$361:$G$361</definedName>
    <definedName name="Theft_Code">'Rates and Factors'!$B$333</definedName>
    <definedName name="Theft_Coverage">'Input'!$B$249:$G$249</definedName>
    <definedName name="Tier_Rating_Factor">'Rates and Factors'!$B$243</definedName>
    <definedName name="Tier_Rating_Market_Indicator">'Input'!$B$104</definedName>
    <definedName name="Tier_Rating_Market_Indicator_Description">'Input'!$B$105</definedName>
    <definedName name="Tort_Factor_BI">'Rates and Factors'!$B$219</definedName>
    <definedName name="Tort_Factor_COLL">'Rates and Factors'!$B$225</definedName>
    <definedName name="Tort_Factor_COMP">'Rates and Factors'!$B$224</definedName>
    <definedName name="Tort_Factor_CSL">'Rates and Factors'!$B$221</definedName>
    <definedName name="Tort_Factor_Medical">'Rates and Factors'!$B$222</definedName>
    <definedName name="Tort_Factor_Miscellaneous">'Rates and Factors'!$B$226</definedName>
    <definedName name="Tort_Factor_PD">'Rates and Factors'!$B$220</definedName>
    <definedName name="Tort_Factor_UMUIM">'Rates and Factors'!$B$223</definedName>
    <definedName name="Tort_option">'Input'!$B$65</definedName>
    <definedName name="Total_Liability_Premium">'Output'!$E$117</definedName>
    <definedName name="Total_Optional_Coverages">'Output'!$E$119</definedName>
    <definedName name="Total_State_Taxes">'Output'!$E$118</definedName>
    <definedName name="Towing_Limit">'Input'!$B$255:$G$255</definedName>
    <definedName name="Towing_Limit_Description">'Input'!$B$256:$G$256</definedName>
    <definedName name="Towing_Premium">'Towing'!$C$26:$H$26</definedName>
    <definedName name="Towing_Rate">'Rates and Factors'!$B$194:$G$194</definedName>
    <definedName name="Tracking_device">'Input'!$B$215:$G$215</definedName>
    <definedName name="Trailer_Medical_Payments_Premium">'NC Recreational Trailer'!$C$69:$H$69</definedName>
    <definedName name="UIM_BI_Base_Premium">'UIM'!$C$13:$H$13</definedName>
    <definedName name="UIM_BI_Base_rate">'Rates and Factors'!$B$75:$G$75</definedName>
    <definedName name="UIM_BI_Increased_Limits_Factor">'Rates and Factors'!$B$76:$G$76</definedName>
    <definedName name="UIM_BI_Minimum_Premium">'Rates and Factors'!#REF!</definedName>
    <definedName name="UIM_CSL_Base_rate">'Rates and Factors'!$B$72:$G$72</definedName>
    <definedName name="UIM_CSL_Increased_Limits_factor">'Rates and Factors'!$B$73:$G$73</definedName>
    <definedName name="UM_BI_Base_Premium">'UM'!$C$17:$H$17</definedName>
    <definedName name="UM_BI_Base_rate">'Rates and Factors'!$B$63:$G$63</definedName>
    <definedName name="UM_BI_Increased_Limits_Factor">'Rates and Factors'!$B$64:$G$64</definedName>
    <definedName name="UM_BI_Minimum_Premium">'Rates and Factors'!#REF!</definedName>
    <definedName name="UM_BI_Multiple_Car_Indicator">'Veh Applicability'!$B$21:$G$21</definedName>
    <definedName name="UM_Bodily_Injury_Premium_AA">'UM Other'!$C$29:$H$29</definedName>
    <definedName name="UM_Bodily_Injury_Premium_ATV">'UM Other'!$C$27:$H$27</definedName>
    <definedName name="UM_Bodily_Injury_Premium_DB">'UM Other'!$C$28:$H$28</definedName>
    <definedName name="UM_Bodily_Injury_Premium_GO">'UM Other'!$C$25:$H$25</definedName>
    <definedName name="UM_Bodily_Injury_Premium_MC">'UM Other'!$C$24:$H$24</definedName>
    <definedName name="UM_Bodily_Injury_Premium_SNOWM">'UM Other'!$C$26:$H$26</definedName>
    <definedName name="UM_CSL_Base_Rate">'Rates and Factors'!$B$60:$G$60</definedName>
    <definedName name="UM_CSL_Increased_Limits_Factor">'Rates and Factors'!$B$61:$G$61</definedName>
    <definedName name="UM_PD_Base_Premium">'UM'!$C$44:$H$44</definedName>
    <definedName name="UM_PD_Base_rate">'Rates and Factors'!$B$68:$G$68</definedName>
    <definedName name="UM_PD_Deductible">'Input'!$B$44</definedName>
    <definedName name="UM_PD_Increased_Limits_Factor">'Rates and Factors'!$B$69:$G$69</definedName>
    <definedName name="UM_Stacking_Option">'Input'!$B$43</definedName>
    <definedName name="Umbrella_Endorsement_Premium">'Input'!$B$270</definedName>
    <definedName name="UMUIM_BI_Base_Rate">'Rates and Factors'!$B$81:$G$81</definedName>
    <definedName name="UMUIM_BI_Increased_Limits_Factor">'Rates and Factors'!$B$82:$G$82</definedName>
    <definedName name="UMUIM_CSL_Base_Rate">'Rates and Factors'!$B$78:$G$78</definedName>
    <definedName name="UMUIM_CSL_Increased_Limits_Factor">'Rates and Factors'!$B$79:$G$79</definedName>
    <definedName name="UMUIM_Motorist_Bodily_Injury_Premium">'UMUIM'!$C$64:$H$64</definedName>
    <definedName name="UMUIM_Motorist_PD_Premium">'UMUIM'!$C$65:$H$65</definedName>
    <definedName name="UMUIM_PD_Base_Rate">'Rates and Factors'!$B$85:$G$85</definedName>
    <definedName name="UMUIM_PD_Deductible_Factor">'Rates and Factors'!$B$88:$G$88</definedName>
    <definedName name="UMUIM_PD_Increased_Limits_Factor">'Rates and Factors'!$B$86:$G$86</definedName>
    <definedName name="Underinsured_Motorist_Bodily_Injury_Premium">'UIM'!$C$29:$H$29</definedName>
    <definedName name="Uninsured_Motorist_Bodily_Injury_Premium">'UM'!$C$60:$H$60</definedName>
    <definedName name="Uninsured_Motorist_PD_Premium">'UM'!$C$61:$H$61</definedName>
    <definedName name="Use_of_Vehicle">'Input'!$B$201:$G$201</definedName>
    <definedName name="Valued_Customer_Discount_Factor">'Rates and Factors'!$B$246</definedName>
    <definedName name="Valued_Customer_Indicator">'Input'!$B$108</definedName>
    <definedName name="Vehicle_New_Symbol">'Rates and Factors'!#REF!</definedName>
    <definedName name="Vehicle_New_Symbol_Factor">'Rates and Factors'!#REF!</definedName>
    <definedName name="Vehicle_Number">'Input'!$B$167:$G$167</definedName>
    <definedName name="Vehicle_Performance">'Input'!$B$177:$G$177</definedName>
    <definedName name="Vehicle_Symbol">'Input'!$B$176:$G$176</definedName>
    <definedName name="Vehicle_Symbol_Factor">'Rates and Factors'!#REF!</definedName>
    <definedName name="Vehicle_Type">'Input'!$B$169:$G$169</definedName>
    <definedName name="Vehicle_Year">'Input'!$B$170:$G$170</definedName>
    <definedName name="VIN">'Input'!$B$168:$G$168</definedName>
    <definedName name="Waiver_of_Collison_Deductible">'Input'!$B$241:$G$241</definedName>
    <definedName name="Weekly_Disability_Limit">'Input'!$B$94</definedName>
    <definedName name="Window_Identification_Ltrs_Nos">'Input'!$B$221:$G$221</definedName>
    <definedName name="WindStorm_Code">'Rates and Factors'!$B$334</definedName>
    <definedName name="Windstorm_Coverage">'Input'!$B$250:$G$250</definedName>
    <definedName name="Work_loss_coordination">'Input'!$B$110</definedName>
  </definedNames>
  <calcPr fullCalcOnLoad="1"/>
</workbook>
</file>

<file path=xl/comments1.xml><?xml version="1.0" encoding="utf-8"?>
<comments xmlns="http://schemas.openxmlformats.org/spreadsheetml/2006/main">
  <authors>
    <author>Sundar</author>
  </authors>
  <commentList>
    <comment ref="A141" authorId="0">
      <text>
        <r>
          <rPr>
            <b/>
            <sz val="8"/>
            <color indexed="8"/>
            <rFont val="Tahoma"/>
            <family val="0"/>
          </rPr>
          <t>Sundar:</t>
        </r>
        <r>
          <rPr>
            <sz val="8"/>
            <color indexed="8"/>
            <rFont val="Tahoma"/>
            <family val="0"/>
          </rPr>
          <t xml:space="preserve">
This is for older drivers</t>
        </r>
      </text>
    </comment>
    <comment ref="A142" authorId="0">
      <text>
        <r>
          <rPr>
            <b/>
            <sz val="8"/>
            <color indexed="8"/>
            <rFont val="Tahoma"/>
            <family val="0"/>
          </rPr>
          <t>Sundar:</t>
        </r>
        <r>
          <rPr>
            <sz val="8"/>
            <color indexed="8"/>
            <rFont val="Tahoma"/>
            <family val="0"/>
          </rPr>
          <t xml:space="preserve">
This is for older drivers</t>
        </r>
      </text>
    </comment>
    <comment ref="A143" authorId="0">
      <text>
        <r>
          <rPr>
            <b/>
            <sz val="8"/>
            <color indexed="8"/>
            <rFont val="Tahoma"/>
            <family val="0"/>
          </rPr>
          <t>Sundar:</t>
        </r>
        <r>
          <rPr>
            <sz val="8"/>
            <color indexed="8"/>
            <rFont val="Tahoma"/>
            <family val="0"/>
          </rPr>
          <t xml:space="preserve">
This is for youthful operators</t>
        </r>
      </text>
    </comment>
    <comment ref="A164" authorId="0">
      <text>
        <r>
          <rPr>
            <b/>
            <sz val="8"/>
            <color indexed="8"/>
            <rFont val="Tahoma"/>
            <family val="0"/>
          </rPr>
          <t>Sundar:</t>
        </r>
        <r>
          <rPr>
            <sz val="8"/>
            <color indexed="8"/>
            <rFont val="Tahoma"/>
            <family val="0"/>
          </rPr>
          <t xml:space="preserve">
This is also referred to as "Alternate Commute", "Travelink car pool discount", etc.</t>
        </r>
      </text>
    </comment>
    <comment ref="A260" authorId="0">
      <text>
        <r>
          <rPr>
            <b/>
            <sz val="8"/>
            <color indexed="8"/>
            <rFont val="Tahoma"/>
            <family val="0"/>
          </rPr>
          <t>Sundar:</t>
        </r>
        <r>
          <rPr>
            <sz val="8"/>
            <color indexed="8"/>
            <rFont val="Tahoma"/>
            <family val="0"/>
          </rPr>
          <t xml:space="preserve">
Covers casette tapes, CDs, other media. Automatically included with Stereo and electronic equipment coverage. Can be separately purchased if Stereo and electronic equipment is not purchased
</t>
        </r>
      </text>
    </comment>
  </commentList>
</comments>
</file>

<file path=xl/comments2.xml><?xml version="1.0" encoding="utf-8"?>
<comments xmlns="http://schemas.openxmlformats.org/spreadsheetml/2006/main">
  <authors>
    <author>Ramgopal</author>
  </authors>
  <commentList>
    <comment ref="A135" authorId="0">
      <text>
        <r>
          <rPr>
            <b/>
            <sz val="8"/>
            <color indexed="8"/>
            <rFont val="Tahoma"/>
            <family val="0"/>
          </rPr>
          <t>Ramgopal:</t>
        </r>
        <r>
          <rPr>
            <sz val="8"/>
            <color indexed="8"/>
            <rFont val="Tahoma"/>
            <family val="0"/>
          </rPr>
          <t xml:space="preserve">
The deductible gives the direct rate and hence has been hard coded to 1</t>
        </r>
      </text>
    </comment>
    <comment ref="A153" authorId="0">
      <text>
        <r>
          <rPr>
            <b/>
            <sz val="8"/>
            <color indexed="8"/>
            <rFont val="Tahoma"/>
            <family val="0"/>
          </rPr>
          <t>Ramgopal:</t>
        </r>
        <r>
          <rPr>
            <sz val="8"/>
            <color indexed="8"/>
            <rFont val="Tahoma"/>
            <family val="0"/>
          </rPr>
          <t xml:space="preserve">
The deductible gives the direct rate and hence has been hard coded to 1</t>
        </r>
      </text>
    </comment>
    <comment ref="A160" authorId="0">
      <text>
        <r>
          <rPr>
            <b/>
            <sz val="8"/>
            <color indexed="8"/>
            <rFont val="Tahoma"/>
            <family val="0"/>
          </rPr>
          <t>Ramgopal:</t>
        </r>
        <r>
          <rPr>
            <sz val="8"/>
            <color indexed="8"/>
            <rFont val="Tahoma"/>
            <family val="0"/>
          </rPr>
          <t xml:space="preserve">
This is loaded based on the value of the vehicle and the age of the driver.</t>
        </r>
      </text>
    </comment>
  </commentList>
</comments>
</file>

<file path=xl/comments29.xml><?xml version="1.0" encoding="utf-8"?>
<comments xmlns="http://schemas.openxmlformats.org/spreadsheetml/2006/main">
  <authors>
    <author>Ramgopal</author>
  </authors>
  <commentList>
    <comment ref="A16" authorId="0">
      <text>
        <r>
          <rPr>
            <b/>
            <sz val="8"/>
            <color indexed="8"/>
            <rFont val="Tahoma"/>
            <family val="0"/>
          </rPr>
          <t>Ramgopal:</t>
        </r>
        <r>
          <rPr>
            <sz val="8"/>
            <color indexed="8"/>
            <rFont val="Tahoma"/>
            <family val="0"/>
          </rPr>
          <t xml:space="preserve">
A female operator is to be considered not youthful, if there is a youthful male operator.</t>
        </r>
      </text>
    </comment>
    <comment ref="A17" authorId="0">
      <text>
        <r>
          <rPr>
            <b/>
            <sz val="8"/>
            <color indexed="8"/>
            <rFont val="Tahoma"/>
            <family val="0"/>
          </rPr>
          <t>Ramgopal:</t>
        </r>
        <r>
          <rPr>
            <sz val="8"/>
            <color indexed="8"/>
            <rFont val="Tahoma"/>
            <family val="0"/>
          </rPr>
          <t xml:space="preserve">
A married youthful male operator is to be considered as not youthful if there is an unmarried youthful male operator.</t>
        </r>
      </text>
    </comment>
  </commentList>
</comments>
</file>

<file path=xl/comments3.xml><?xml version="1.0" encoding="utf-8"?>
<comments xmlns="http://schemas.openxmlformats.org/spreadsheetml/2006/main">
  <authors>
    <author>Ramgopal</author>
  </authors>
  <commentList>
    <comment ref="A117" authorId="0">
      <text>
        <r>
          <rPr>
            <b/>
            <sz val="8"/>
            <color indexed="8"/>
            <rFont val="Tahoma"/>
            <family val="0"/>
          </rPr>
          <t>Ramgopal:</t>
        </r>
        <r>
          <rPr>
            <sz val="8"/>
            <color indexed="8"/>
            <rFont val="Tahoma"/>
            <family val="0"/>
          </rPr>
          <t xml:space="preserve">
These rows are not printed out but filled in the quote as additional information which is used by UI to fill the additional details.</t>
        </r>
      </text>
    </comment>
    <comment ref="A118" authorId="0">
      <text>
        <r>
          <rPr>
            <b/>
            <sz val="8"/>
            <color indexed="8"/>
            <rFont val="Tahoma"/>
            <family val="0"/>
          </rPr>
          <t>Ramgopal:</t>
        </r>
        <r>
          <rPr>
            <sz val="8"/>
            <color indexed="8"/>
            <rFont val="Tahoma"/>
            <family val="0"/>
          </rPr>
          <t xml:space="preserve">
Currently not implemented.</t>
        </r>
      </text>
    </comment>
  </commentList>
</comments>
</file>

<file path=xl/comments30.xml><?xml version="1.0" encoding="utf-8"?>
<comments xmlns="http://schemas.openxmlformats.org/spreadsheetml/2006/main">
  <authors>
    <author>Ramgopal</author>
  </authors>
  <commentList>
    <comment ref="A10" authorId="0">
      <text>
        <r>
          <rPr>
            <b/>
            <sz val="8"/>
            <color indexed="8"/>
            <rFont val="Tahoma"/>
            <family val="0"/>
          </rPr>
          <t>Ramgopal:</t>
        </r>
        <r>
          <rPr>
            <sz val="8"/>
            <color indexed="8"/>
            <rFont val="Tahoma"/>
            <family val="0"/>
          </rPr>
          <t xml:space="preserve">
COMP applicability as in the COMP sheet is defined here.</t>
        </r>
      </text>
    </comment>
  </commentList>
</comments>
</file>

<file path=xl/sharedStrings.xml><?xml version="1.0" encoding="utf-8"?>
<sst xmlns="http://schemas.openxmlformats.org/spreadsheetml/2006/main" count="3346" uniqueCount="1555">
  <si>
    <t>Recreational Trailer Contents Fire Premium</t>
  </si>
  <si>
    <t>Recreational Trailer Contents CACVMM</t>
  </si>
  <si>
    <t>Recreational Trailer Contents CAC</t>
  </si>
  <si>
    <t>Recreational Trailer Contents Premium</t>
  </si>
  <si>
    <t>Step 3D</t>
  </si>
  <si>
    <t>Pro-rated Recreational Trailer Contents Premium</t>
  </si>
  <si>
    <t>Recreational Trailer Other Property Applicability</t>
  </si>
  <si>
    <t>Recreational Trailer Other Property Fire Premium</t>
  </si>
  <si>
    <t>Recreational Trailer Other Property Theft Premium</t>
  </si>
  <si>
    <t>Recreational Trailer Other Property WindStorm Premium</t>
  </si>
  <si>
    <t>Recreational Trailer Other Property CACVMM</t>
  </si>
  <si>
    <t>Recreational Trailer Other Property CAC</t>
  </si>
  <si>
    <t>Recreational Trailer Other Property Premium</t>
  </si>
  <si>
    <t>Step 4D</t>
  </si>
  <si>
    <t>Pro-rated Recreational Trailer Other Property Premium</t>
  </si>
  <si>
    <t>Recreational Trailer Comprehensive Applicability</t>
  </si>
  <si>
    <t>Recreational Trailer Comprehensive Fire Premium</t>
  </si>
  <si>
    <t>Pro-rated Recreational Trailer Comprehensive Premium</t>
  </si>
  <si>
    <t>Recreational Trailer Collision Applicability</t>
  </si>
  <si>
    <t>Recreational Trailer Collision Fire Premium</t>
  </si>
  <si>
    <t>Step 6D</t>
  </si>
  <si>
    <t>Pro-rated Recreational Trailer Collision Premium</t>
  </si>
  <si>
    <t>All Other Trailer Other Property Applicability</t>
  </si>
  <si>
    <t>All Other Trailer Other Property Fire Premium</t>
  </si>
  <si>
    <t>All Other Trailer Other Property Theft Premium</t>
  </si>
  <si>
    <t>All Other Trailer Other Property WindStorm Premium</t>
  </si>
  <si>
    <t>All Other Trailer Other Property CACVMM</t>
  </si>
  <si>
    <t>All Other Trailer Other Property CAC</t>
  </si>
  <si>
    <t>All Other Trailer Other Property Premium</t>
  </si>
  <si>
    <t>Step 7D</t>
  </si>
  <si>
    <t>Pro-rated All Other Trailer Other Property Premium</t>
  </si>
  <si>
    <t>All Other Trailer Comprehensive Applicability</t>
  </si>
  <si>
    <t>All Other Trailer Comprehensive Fire Premium</t>
  </si>
  <si>
    <t>Pro-rated All Other Trailer Comprehensive Premium</t>
  </si>
  <si>
    <t>All Other Trailer Collision Applicability</t>
  </si>
  <si>
    <t>All Other Trailer Collision Fire Premium</t>
  </si>
  <si>
    <t>Step 9D</t>
  </si>
  <si>
    <t>Pro-rated All Other Trailer Collision Premium</t>
  </si>
  <si>
    <t>Trailer Medical Payments Premium</t>
  </si>
  <si>
    <t>All Other Trailer Comprehensive Premium</t>
  </si>
  <si>
    <t>All Other Trailer Collision Premium</t>
  </si>
  <si>
    <t>BI - Other Vehicles</t>
  </si>
  <si>
    <t>Motorcycle or Go cart Factor</t>
  </si>
  <si>
    <t>SnowMobile or ATV Factor</t>
  </si>
  <si>
    <t>Dune Buggy Factor</t>
  </si>
  <si>
    <t>Golf Cart Factor</t>
  </si>
  <si>
    <t>Antique Auto Factor</t>
  </si>
  <si>
    <t>Other Vehicle Rating Factor</t>
  </si>
  <si>
    <t>Only one of the above vehicles would be present</t>
  </si>
  <si>
    <t>NON PIP Increased Limit Factor</t>
  </si>
  <si>
    <t>Only CO, UT, MI, KS</t>
  </si>
  <si>
    <t>PA NON PIP Increased Limit Factor</t>
  </si>
  <si>
    <t>Only PA</t>
  </si>
  <si>
    <t>Premium after Increased Limit Adjustment</t>
  </si>
  <si>
    <t>Passenger Hazard Exclusion Factor MC</t>
  </si>
  <si>
    <t>Passenger Hazard Exclusion Factor SNOWM</t>
  </si>
  <si>
    <t>For other than NC</t>
  </si>
  <si>
    <t>Passenger Hazard Exclusion Factor DB</t>
  </si>
  <si>
    <t>Passenger Hazard Exclusion Factor All</t>
  </si>
  <si>
    <t xml:space="preserve">NC SNOWM Passenger Hazard Exclusion </t>
  </si>
  <si>
    <t>NC Flat charge for SNOWM</t>
  </si>
  <si>
    <t>Step 9A</t>
  </si>
  <si>
    <t>Motorcycle Rider Discount Factor</t>
  </si>
  <si>
    <t>Motorcycle Rider Discount</t>
  </si>
  <si>
    <t>Motor Cycle Applicability</t>
  </si>
  <si>
    <t>Go Cart Applicability</t>
  </si>
  <si>
    <t>Snow Mobile Applicability</t>
  </si>
  <si>
    <t>All Terrian Vehicle Applicability</t>
  </si>
  <si>
    <t>Dune Buggy Applicability</t>
  </si>
  <si>
    <t>Golf Cart Applicability</t>
  </si>
  <si>
    <t>Antique Auto Applicability</t>
  </si>
  <si>
    <t>Charge Expense Fees Liability MC</t>
  </si>
  <si>
    <t>Charge Expense Fees Liability GO</t>
  </si>
  <si>
    <t>Apply the same expense as MC</t>
  </si>
  <si>
    <t>Charge Expense Fees Liability SNOWM</t>
  </si>
  <si>
    <t>Charge Expense Fees Liability ATV</t>
  </si>
  <si>
    <t>Charge Expense Fees Liability DB</t>
  </si>
  <si>
    <t>Charge Expense Fees Liability GC</t>
  </si>
  <si>
    <t>Charge Expense Fees Liability AA</t>
  </si>
  <si>
    <t>Result Expense Fees</t>
  </si>
  <si>
    <t>Bodily Injury Premium Motor Cycle</t>
  </si>
  <si>
    <t>Bodily Injury Premium GO Cart</t>
  </si>
  <si>
    <t>Bodily Injury Premium Snow Mobile</t>
  </si>
  <si>
    <t>Bodily Injury Premium All Terrain Veh</t>
  </si>
  <si>
    <t>Bodily Injury Premium Dune Buggy</t>
  </si>
  <si>
    <t>Bodily Injury Premium Golf Cart</t>
  </si>
  <si>
    <t>Bodily Injury Premium Antique Auto</t>
  </si>
  <si>
    <t>PD - Other Vehicles</t>
  </si>
  <si>
    <t>Charge Expense Fees PD MC</t>
  </si>
  <si>
    <t>Charge Expense Fees PD GO</t>
  </si>
  <si>
    <t>Charge Expense Fees PD SNOWM</t>
  </si>
  <si>
    <t>Charge Expense Fees PD ATV</t>
  </si>
  <si>
    <t>Charge Expense Fees PD DB</t>
  </si>
  <si>
    <t>Charge Expense Fees PD AA</t>
  </si>
  <si>
    <t>Property Damage Premium Motor Cycle</t>
  </si>
  <si>
    <t>Property Damage Premium GO Cart</t>
  </si>
  <si>
    <t>Property Damage Premium Snow Mobile</t>
  </si>
  <si>
    <t>Property Damage Premium ATV</t>
  </si>
  <si>
    <t>Property Damage Premium Dune Buggy</t>
  </si>
  <si>
    <t>Property Damage Premium Antique Auto</t>
  </si>
  <si>
    <t>Medical - Other Vehicles</t>
  </si>
  <si>
    <t>Increased Limit Factor Snow Mobile</t>
  </si>
  <si>
    <t>Increased Limit Factor Dune Buggy</t>
  </si>
  <si>
    <t>Increased Limit Factor Antique Auto</t>
  </si>
  <si>
    <t>Only CO, UT, MI</t>
  </si>
  <si>
    <t>Pro-rated premium</t>
  </si>
  <si>
    <t>Medical before output Premium MC MI</t>
  </si>
  <si>
    <t>Only for MI. Flat charge is applied</t>
  </si>
  <si>
    <t>Medical before output Premium MC All</t>
  </si>
  <si>
    <t>Medical before output Premium Snow Mobile</t>
  </si>
  <si>
    <t>Medical before output Premium ATV</t>
  </si>
  <si>
    <t>Medical before output Premium Dune Buggy</t>
  </si>
  <si>
    <t>Medical before output Premium Antique Auto</t>
  </si>
  <si>
    <t>Medical Premium MC</t>
  </si>
  <si>
    <t>Medical Premium Snow Mobile</t>
  </si>
  <si>
    <t>Medical Premium ATV</t>
  </si>
  <si>
    <t>Medical Premium Dune Buggy</t>
  </si>
  <si>
    <t>Medical Premium Antique Auto</t>
  </si>
  <si>
    <t>PIP - Motor Cycles</t>
  </si>
  <si>
    <t>KY Specific steps</t>
  </si>
  <si>
    <t>Result after deductible</t>
  </si>
  <si>
    <t>PIP Premium after PIP Factor</t>
  </si>
  <si>
    <t>PIP Premium after APIP Factor</t>
  </si>
  <si>
    <t>Result after APIP</t>
  </si>
  <si>
    <t>KS PIP Motorcycle Premium</t>
  </si>
  <si>
    <t>Only for KS</t>
  </si>
  <si>
    <t>KY Pedestrain PIP Motorcycle Premium</t>
  </si>
  <si>
    <t xml:space="preserve">CSL Limit for UM and UIM </t>
  </si>
  <si>
    <t>Split BI Limit for UM and UIM Code Value</t>
  </si>
  <si>
    <t>Property Damage Limit for UM and UIM Code Value</t>
  </si>
  <si>
    <t>UNDPD</t>
  </si>
  <si>
    <t>UMUIM</t>
  </si>
  <si>
    <t>Only KY (Pedestrain)</t>
  </si>
  <si>
    <t>KY Without Pedestrain PIP Premium</t>
  </si>
  <si>
    <t>Only KY (Not Pedestrain)</t>
  </si>
  <si>
    <t>Final Premium</t>
  </si>
  <si>
    <t>PIP Premium MC</t>
  </si>
  <si>
    <t>Uninsured - Other Vehicles</t>
  </si>
  <si>
    <t>UM Increased Limit Factor Motor Cycle</t>
  </si>
  <si>
    <t>Only for MC</t>
  </si>
  <si>
    <t>UM Increased Limit Factor</t>
  </si>
  <si>
    <t>UM Bodily Injury Premium Motor Cycle</t>
  </si>
  <si>
    <t>UM Bodily Injury Premium GO Cart</t>
  </si>
  <si>
    <t>UM Bodily Injury Premium Snow Mobile</t>
  </si>
  <si>
    <t>UM Bodily Injury Premium ATV</t>
  </si>
  <si>
    <t>UM Bodily Injury Premium Dune Buggy</t>
  </si>
  <si>
    <t>UM Bodily Injury Premium Antique Auto</t>
  </si>
  <si>
    <t>Comprehensive - Other Vehicles</t>
  </si>
  <si>
    <t>Base after the symbol and age</t>
  </si>
  <si>
    <t>Motor Cycle or Go cart Factor</t>
  </si>
  <si>
    <t>All Vehicles Factor</t>
  </si>
  <si>
    <t>Final Base before deductible</t>
  </si>
  <si>
    <t>For other than MC, take the cost of the vehicle</t>
  </si>
  <si>
    <t>Motor Cycle Deductible Factor</t>
  </si>
  <si>
    <t>Snow Mobile ATV Deductible Factor</t>
  </si>
  <si>
    <t>Dune Buggy Deductible Factor</t>
  </si>
  <si>
    <t>Golf cart Deductible Factor</t>
  </si>
  <si>
    <t>Antique Auto Deductible Factor</t>
  </si>
  <si>
    <t>All Vehicles Deductible Factor</t>
  </si>
  <si>
    <t>Only one of the vehicles would be filled</t>
  </si>
  <si>
    <t>Premium after deductible</t>
  </si>
  <si>
    <t>Charge Expense Fees COMP MC</t>
  </si>
  <si>
    <t>Charge Expense Fees COMP GO</t>
  </si>
  <si>
    <t>Charge Expense Fees COMP SNOWM</t>
  </si>
  <si>
    <t>Charge Expense Fees COMP ATV</t>
  </si>
  <si>
    <t>Charge Expense Fees COMP DB</t>
  </si>
  <si>
    <t>Charge Expense Fees COMP GC</t>
  </si>
  <si>
    <t>Charge Expense Fees COMP AA</t>
  </si>
  <si>
    <t>COMP Coverage Premium Motor Cycle</t>
  </si>
  <si>
    <t>COMP Coverage Premium GO Cart</t>
  </si>
  <si>
    <t>COMP Coverage Premium Snow Mobile</t>
  </si>
  <si>
    <t>COMP Coverage Premium All Terrain Veh</t>
  </si>
  <si>
    <t>COMP Coverage Premium Dune Buggy</t>
  </si>
  <si>
    <t>COMP Coverage Premium Golf Cart</t>
  </si>
  <si>
    <t>COMP Coverage Premium Antique Auto</t>
  </si>
  <si>
    <t>Collision - Other Vehicles</t>
  </si>
  <si>
    <t>Commercial Motor Cycle Factor</t>
  </si>
  <si>
    <t>Premium after Driver Classification</t>
  </si>
  <si>
    <t>Premium after APC</t>
  </si>
  <si>
    <t>MI Limited Collision Factor</t>
  </si>
  <si>
    <t>Premium after MI Collision</t>
  </si>
  <si>
    <t>COLL Coverage Premium Motor Cycle</t>
  </si>
  <si>
    <t>COLL Coverage Premium GO Cart</t>
  </si>
  <si>
    <t>COLL Coverage Premium Snow Mobile</t>
  </si>
  <si>
    <t>COLL Coverage Premium All Terrain Veh</t>
  </si>
  <si>
    <t>COLL Coverage Premium Dune Buggy</t>
  </si>
  <si>
    <t>COLL Coverage Premium Golf Cart</t>
  </si>
  <si>
    <t>COLL Coverage Premium Antique Auto</t>
  </si>
  <si>
    <t>Good Student Credit</t>
  </si>
  <si>
    <t>College Graduate Discount</t>
  </si>
  <si>
    <t>Distant Student</t>
  </si>
  <si>
    <t>Is Youthful Simple</t>
  </si>
  <si>
    <t>Is Youthful Unmarried Male</t>
  </si>
  <si>
    <t>Is Youthful Unmarried/married Male</t>
  </si>
  <si>
    <t>Combined Is Youth Male Unmarried</t>
  </si>
  <si>
    <t>Combined Is Youth Male</t>
  </si>
  <si>
    <t>Final Is Youthful Female</t>
  </si>
  <si>
    <t>Final Is Youthful Male</t>
  </si>
  <si>
    <t>Is Operator above 60</t>
  </si>
  <si>
    <t>Is YouthFul</t>
  </si>
  <si>
    <t>Is Married</t>
  </si>
  <si>
    <t>Is Good Student</t>
  </si>
  <si>
    <t>Principal Driver</t>
  </si>
  <si>
    <t>Is Combined Youthful</t>
  </si>
  <si>
    <t>Operators above 60</t>
  </si>
  <si>
    <t>Vehicle</t>
  </si>
  <si>
    <t>VehicleType</t>
  </si>
  <si>
    <t>Is BI Applicable For Vehicle</t>
  </si>
  <si>
    <t>Is PD Applicable For Vehicle</t>
  </si>
  <si>
    <t>Is PIP Applicable For Vehicle</t>
  </si>
  <si>
    <t>Is Medical Applicable For Vehicle</t>
  </si>
  <si>
    <t>Is UM Applicable For Vehicle</t>
  </si>
  <si>
    <t>Is UIM Applicable For Vehicle</t>
  </si>
  <si>
    <t>Is UMUIM Applicable For Vehicle</t>
  </si>
  <si>
    <t>Is COMP Applicable For Vehicle</t>
  </si>
  <si>
    <t>Is Collision Applicable For Vehicle</t>
  </si>
  <si>
    <t>Is Lease Applicable For Vehicle</t>
  </si>
  <si>
    <t>Is Towing Applicable For Vehicle</t>
  </si>
  <si>
    <t>Is MotorHome Applicable For Vehicle</t>
  </si>
  <si>
    <t>Is RT Applicable For Vehicle</t>
  </si>
  <si>
    <t>Is Multicar Vehicle</t>
  </si>
  <si>
    <t xml:space="preserve">Special MultiCar </t>
  </si>
  <si>
    <t>Is Multicar Vehicle On Type</t>
  </si>
  <si>
    <t>MotorHome MultiCar</t>
  </si>
  <si>
    <t>UM-BI Multiple Car Indicator</t>
  </si>
  <si>
    <t>Personal Auto Rating Inputs</t>
  </si>
  <si>
    <t>Policy Info</t>
  </si>
  <si>
    <t>Input</t>
  </si>
  <si>
    <t>Default</t>
  </si>
  <si>
    <t>Remarks</t>
  </si>
  <si>
    <t>Insured Name</t>
  </si>
  <si>
    <t>Only a display field; not used in rating</t>
  </si>
  <si>
    <t>Insured City</t>
  </si>
  <si>
    <t>City from the address of insured</t>
  </si>
  <si>
    <t>Insured State</t>
  </si>
  <si>
    <t>State from the address of insured</t>
  </si>
  <si>
    <t>Carrier Id</t>
  </si>
  <si>
    <t>Quote Id</t>
  </si>
  <si>
    <t>Product Code</t>
  </si>
  <si>
    <t>Insured Zipcode</t>
  </si>
  <si>
    <t>Zip code from the address of insured</t>
  </si>
  <si>
    <t>Insurance Company</t>
  </si>
  <si>
    <t>Name of the Insurance Company that is providing the quote</t>
  </si>
  <si>
    <t>Rate as of Date</t>
  </si>
  <si>
    <t>Effective Date</t>
  </si>
  <si>
    <t>Policy effective date</t>
  </si>
  <si>
    <t>Expiration Date</t>
  </si>
  <si>
    <t>Policy expiration date</t>
  </si>
  <si>
    <t>Annual Income</t>
  </si>
  <si>
    <t>One of None, $0-$2999, $3000-$5999, $6000-$8999, $9000-$14999, $15000-24999, over $25000</t>
  </si>
  <si>
    <t>Number of Drivers</t>
  </si>
  <si>
    <t>Number of Vehicles</t>
  </si>
  <si>
    <t>Multiple Policy Indicator</t>
  </si>
  <si>
    <t>Yes or No</t>
  </si>
  <si>
    <t>Multiple Car Indicator</t>
  </si>
  <si>
    <t>1 or 0 based on multi car</t>
  </si>
  <si>
    <t>Coverage</t>
  </si>
  <si>
    <t>Liability coverage limits</t>
  </si>
  <si>
    <t>CSL or Split</t>
  </si>
  <si>
    <t>One of CSL or Split. If CSL the following 4 CSL entries are to be filled. If Split, fill Split Bodily Injury and Property Damage fields</t>
  </si>
  <si>
    <t>CSL or Split Desc</t>
  </si>
  <si>
    <t>CSL</t>
  </si>
  <si>
    <t>CSL for BI and PD</t>
  </si>
  <si>
    <t xml:space="preserve">CSL Limit for BI and PD </t>
  </si>
  <si>
    <t>CSL for UM</t>
  </si>
  <si>
    <t>CSL Limit  for UM</t>
  </si>
  <si>
    <t>CSL for UIM</t>
  </si>
  <si>
    <t>CSL Limit for UIM</t>
  </si>
  <si>
    <t>CSL for UM and UIM</t>
  </si>
  <si>
    <t>Some states allow combined UM/UIM benefits. In that case, use this field instead of the fields above for UM and UIM</t>
  </si>
  <si>
    <t>Split BI Limit Code Value</t>
  </si>
  <si>
    <t>Split BI Limit</t>
  </si>
  <si>
    <t>Property Damage Limt Code Value</t>
  </si>
  <si>
    <t>Property Damage Limt</t>
  </si>
  <si>
    <t>Split BI Limit for UM Code Value</t>
  </si>
  <si>
    <t>Split BI Limit for UM</t>
  </si>
  <si>
    <t>Property Damage Limit for UM Code Value</t>
  </si>
  <si>
    <t>Property Damage Limit for UM</t>
  </si>
  <si>
    <t>UM Stacking Option</t>
  </si>
  <si>
    <t>UM PD Deductible</t>
  </si>
  <si>
    <t>The deductible for the UM PD Deductible</t>
  </si>
  <si>
    <t>Number of Additional Persons</t>
  </si>
  <si>
    <t>Number of Additional Persons (NC Only)</t>
  </si>
  <si>
    <t xml:space="preserve">Split BI Limit for UIM Code Value </t>
  </si>
  <si>
    <t>Split BI Limit for UIM</t>
  </si>
  <si>
    <t>Property Damage Limit for UIM</t>
  </si>
  <si>
    <t>Split BI Limit for UM and UIM</t>
  </si>
  <si>
    <t>Some states allow combined UM/UIM benefits. In that case, use this field and the next one instead of the fields above for UM and UIM</t>
  </si>
  <si>
    <t>Property Damage Limit for UM and UIM</t>
  </si>
  <si>
    <t>Misc Liability limits and coverages</t>
  </si>
  <si>
    <t>Michigan PD Liability Buyback</t>
  </si>
  <si>
    <t>MI Property Protection Coverage Indicator</t>
  </si>
  <si>
    <t>Economic Loss for UM and UIM</t>
  </si>
  <si>
    <t>Fill this or the next one below</t>
  </si>
  <si>
    <t>Economic Loss for UM</t>
  </si>
  <si>
    <t>List of options like UM BI</t>
  </si>
  <si>
    <t>Loss Free Credit Indicator</t>
  </si>
  <si>
    <t>Mass Merchandising Program</t>
  </si>
  <si>
    <t>List of options</t>
  </si>
  <si>
    <t>IN Standard Agent Commission</t>
  </si>
  <si>
    <t>IN Reduction in Commission Percentage</t>
  </si>
  <si>
    <t>Tort option</t>
  </si>
  <si>
    <t>One of Limited, Full</t>
  </si>
  <si>
    <t>PIP</t>
  </si>
  <si>
    <t>PIP Plan</t>
  </si>
  <si>
    <t>One of YES/NO</t>
  </si>
  <si>
    <t>Additional PIP</t>
  </si>
  <si>
    <t>One of the PIP Plans</t>
  </si>
  <si>
    <t>PIP Copay</t>
  </si>
  <si>
    <t>PIP Deductible</t>
  </si>
  <si>
    <t>Stacked PIP</t>
  </si>
  <si>
    <t>KY PIP Buyback Option</t>
  </si>
  <si>
    <t>KY Guest PIP Coverage</t>
  </si>
  <si>
    <t>Pedestrain PIP Coverage</t>
  </si>
  <si>
    <t>MI PIP Family Members</t>
  </si>
  <si>
    <t>PIP Number of Individuals</t>
  </si>
  <si>
    <t>Alternative Expense Coverage</t>
  </si>
  <si>
    <t>Combined First Party Benefits</t>
  </si>
  <si>
    <t>List of combined first party benefits lists</t>
  </si>
  <si>
    <t>Medical Payment Coverage (MedPay)</t>
  </si>
  <si>
    <t>MedPay Limit</t>
  </si>
  <si>
    <t>MedPay Limit CodeValue</t>
  </si>
  <si>
    <t>The code value for the medical limit</t>
  </si>
  <si>
    <t>MedPay Deductible</t>
  </si>
  <si>
    <t>The code value for the medical deductible</t>
  </si>
  <si>
    <t>MedPay Copay</t>
  </si>
  <si>
    <t>Income Loss coverage</t>
  </si>
  <si>
    <t>Income Loss Limit</t>
  </si>
  <si>
    <t>List of income loss limits</t>
  </si>
  <si>
    <t>Income Loss Deductible</t>
  </si>
  <si>
    <t>Income Loss Copay</t>
  </si>
  <si>
    <t>Reject Income Loss</t>
  </si>
  <si>
    <t>Accidental Death Benefit</t>
  </si>
  <si>
    <t>The death principal sum limit for the death benefit</t>
  </si>
  <si>
    <t>Funeral Benefit</t>
  </si>
  <si>
    <t>List of limits</t>
  </si>
  <si>
    <t>Disability Coverage</t>
  </si>
  <si>
    <t>Disability Limit</t>
  </si>
  <si>
    <t>Weekly Disability Limit</t>
  </si>
  <si>
    <t>Other State specific coverages</t>
  </si>
  <si>
    <t>NJ Optional Medical</t>
  </si>
  <si>
    <t>OK Number of Months for UM coverage</t>
  </si>
  <si>
    <t>Extended Medical Benefits</t>
  </si>
  <si>
    <t>Coordination of Benefits</t>
  </si>
  <si>
    <t>Extraordinary Medical Benefits</t>
  </si>
  <si>
    <t>List of benefits</t>
  </si>
  <si>
    <t>Optional Basic Economic Loss</t>
  </si>
  <si>
    <t>Medical Expense Elimination</t>
  </si>
  <si>
    <t>One of No, Named Insured only, Named Insured and Resident Relative</t>
  </si>
  <si>
    <t>MotorHome Rental Duration</t>
  </si>
  <si>
    <t>Tier Rating Market Indicator</t>
  </si>
  <si>
    <t>One of Market1 to Market9</t>
  </si>
  <si>
    <t xml:space="preserve">Markert Tier </t>
  </si>
  <si>
    <t>Fampak Indicator</t>
  </si>
  <si>
    <t>Prime Life Indicator</t>
  </si>
  <si>
    <t>Valued Customer Indicator</t>
  </si>
  <si>
    <t>Enhanced Coverage Endorsement Indicator</t>
  </si>
  <si>
    <t>Work loss coordination</t>
  </si>
  <si>
    <t>Driver Info</t>
  </si>
  <si>
    <t>Driver 1</t>
  </si>
  <si>
    <t>Driver 2</t>
  </si>
  <si>
    <t>Driver 3</t>
  </si>
  <si>
    <t>Driver 4</t>
  </si>
  <si>
    <t>Driver 5</t>
  </si>
  <si>
    <t>Driver 6</t>
  </si>
  <si>
    <t>Driver Number</t>
  </si>
  <si>
    <t>Relationship</t>
  </si>
  <si>
    <t>Is named insured?</t>
  </si>
  <si>
    <t>Date of Birth</t>
  </si>
  <si>
    <t>Age</t>
  </si>
  <si>
    <t>Sex</t>
  </si>
  <si>
    <t>Male or Female</t>
  </si>
  <si>
    <t>Marital Status</t>
  </si>
  <si>
    <t>Single(S)/Married(M)/Widowed(W)/Separated(S)/Divorced(D)</t>
  </si>
  <si>
    <t>Inexperienced Operator?</t>
  </si>
  <si>
    <t>Licensed over 3 years?</t>
  </si>
  <si>
    <t>Any accidents/claims/violations in last 3 years?</t>
  </si>
  <si>
    <t>Type of accident/claim/violation</t>
  </si>
  <si>
    <t>Incident 1</t>
  </si>
  <si>
    <t>Incident 2</t>
  </si>
  <si>
    <t>Incident 3</t>
  </si>
  <si>
    <t>Incident 4</t>
  </si>
  <si>
    <t>Incident 5</t>
  </si>
  <si>
    <t>Incident 6</t>
  </si>
  <si>
    <t>Safe Driver Years</t>
  </si>
  <si>
    <t>Safe Driver Plan Surcharge Points</t>
  </si>
  <si>
    <t>Safe Driver Accident Points</t>
  </si>
  <si>
    <t>Only for MI</t>
  </si>
  <si>
    <t>Safe Driver Conviction Points</t>
  </si>
  <si>
    <t>Good Student Credit?</t>
  </si>
  <si>
    <t>College Graduate Scholastic Achievement Discount?</t>
  </si>
  <si>
    <t>Distant Student?</t>
  </si>
  <si>
    <t>Financial Responsibility Filing Required</t>
  </si>
  <si>
    <t>Financial Responsibility Insured Type</t>
  </si>
  <si>
    <t>Owner / Non-owner</t>
  </si>
  <si>
    <t>Financial Responsibility Surcharge</t>
  </si>
  <si>
    <t>DWI-DUI / Excessive Speed / All other</t>
  </si>
  <si>
    <t>Financial Responsibility Certified Risk Surcharge</t>
  </si>
  <si>
    <t>Driver Training in Last 3 Years</t>
  </si>
  <si>
    <t>Accident Prevention Course Discount?</t>
  </si>
  <si>
    <t>Defensive Driver Discount?</t>
  </si>
  <si>
    <t>Extended Non owned Liability Coverage</t>
  </si>
  <si>
    <t>Extended NW Primary Liability For Furnished Automobile</t>
  </si>
  <si>
    <t>Extended Non owned Property Damage Coverage</t>
  </si>
  <si>
    <t>Extended Non owned Medical Payments Coverage</t>
  </si>
  <si>
    <t>None / Auto Furnished for Regular Use / Auto Not Furnished for Regular Use</t>
  </si>
  <si>
    <t>Extended Non owned Person Named Type</t>
  </si>
  <si>
    <t>Named Insured or Spouse Not Employed By a Garage / Relative Not Employed By a Garage / Named Insured or Spouse All Other / Relative All Other</t>
  </si>
  <si>
    <t>Extended Non owned Comprehensive Coverage</t>
  </si>
  <si>
    <t>Extended Non owned Collision Coverage</t>
  </si>
  <si>
    <t>Named Non owned Liability Coverage</t>
  </si>
  <si>
    <t>Named Non owned Property Damage Coverage</t>
  </si>
  <si>
    <t>Named Non owned Medical Payments Coverage</t>
  </si>
  <si>
    <t>Named Non-Owner Uninsured Motorists Coverage</t>
  </si>
  <si>
    <t>Named Non-Owner Policy Term</t>
  </si>
  <si>
    <t>1 Year / 2 Year</t>
  </si>
  <si>
    <t>Named Non owned Comprehensive Coverage</t>
  </si>
  <si>
    <t>Named Non owned Collision Coverage</t>
  </si>
  <si>
    <t>Operator Status of Driver</t>
  </si>
  <si>
    <t>Code Value for One of principal/occassional/distant</t>
  </si>
  <si>
    <t>NC Inexperienced Operator Status</t>
  </si>
  <si>
    <t>One of None / Less than 1 year / Less than 2 years / Less than 3 years</t>
  </si>
  <si>
    <t>NC Clean Risk Indicator</t>
  </si>
  <si>
    <t>SC Reinsurance Facility Surcharge</t>
  </si>
  <si>
    <t>Primary Rating Classification Code</t>
  </si>
  <si>
    <t>Secondary Rating Classification Code</t>
  </si>
  <si>
    <t>Carpool Discount?</t>
  </si>
  <si>
    <t>Vehicle info</t>
  </si>
  <si>
    <t>Vehicle 1</t>
  </si>
  <si>
    <t>Vehicle 2</t>
  </si>
  <si>
    <t>Vehicle 3</t>
  </si>
  <si>
    <t>Vehicle 4</t>
  </si>
  <si>
    <t>Vehicle 5</t>
  </si>
  <si>
    <t>Vehicle 6</t>
  </si>
  <si>
    <t>Vehicle Number</t>
  </si>
  <si>
    <t>VIN</t>
  </si>
  <si>
    <t>Vehicle Type</t>
  </si>
  <si>
    <t>One of the codes for the private vehicle, dune buggy, antique auto etc</t>
  </si>
  <si>
    <t>Vehicle Year</t>
  </si>
  <si>
    <t>Make</t>
  </si>
  <si>
    <t>Model</t>
  </si>
  <si>
    <t>Body style</t>
  </si>
  <si>
    <t>Original cost</t>
  </si>
  <si>
    <t>Primary Driver</t>
  </si>
  <si>
    <t>One of the valid driver numbers</t>
  </si>
  <si>
    <t>Vehicle Symbol</t>
  </si>
  <si>
    <t>Vehicle Performance</t>
  </si>
  <si>
    <t>Age Of Primary Driver</t>
  </si>
  <si>
    <t>Relationship with insured</t>
  </si>
  <si>
    <t>Is NC Clean Risk Present for Vehicle</t>
  </si>
  <si>
    <t>IS FRESP Present for Vehicle</t>
  </si>
  <si>
    <t>FRESP Insured Type for Vehicle</t>
  </si>
  <si>
    <t>FRESP Surcharge for Vehicle</t>
  </si>
  <si>
    <t>APC Discount for Vehicle</t>
  </si>
  <si>
    <t>SDIP Assigned for Vehicle</t>
  </si>
  <si>
    <t>Named Non-owner liability indicator assigned for Vehicle</t>
  </si>
  <si>
    <t>Named Non-owner Property Damage indicator assigned for Vehicle</t>
  </si>
  <si>
    <t>Named Non-owner Medical indicator assigned for Vehicle</t>
  </si>
  <si>
    <t>Named Non-owner Uninsured indicator assigned for Vehicle</t>
  </si>
  <si>
    <t>Named Non-owner Policy term assigned for Vehicle</t>
  </si>
  <si>
    <t>Named Non-owner Comprehensive indicator assigned for Vehicle</t>
  </si>
  <si>
    <t>Named Non-owner Collision indicator assigned for Vehicle</t>
  </si>
  <si>
    <t>Extended Non-owned Liability indicator assigned for Vehicle</t>
  </si>
  <si>
    <t>Extended NW Primary Liability For Furnished Automobile indicator assigned for Vehicle</t>
  </si>
  <si>
    <t>Extended Non-owned Property Damage indicator assigned for Vehicle</t>
  </si>
  <si>
    <t>Extended Non-owned Medical indicator assigned for Vehicle</t>
  </si>
  <si>
    <t>Extended Non-owned Comprehensive indicator assigned for Vehicle</t>
  </si>
  <si>
    <t>Extended Non-owned Collision indicator assigned for Vehicle</t>
  </si>
  <si>
    <t>Driver Training in Last 3 Years indicator assigned for Vehicle</t>
  </si>
  <si>
    <t>Operator Status</t>
  </si>
  <si>
    <t>One of Principal, Occasional</t>
  </si>
  <si>
    <t>Use of Vehicle</t>
  </si>
  <si>
    <t>One of Pleasure (Pleasure/Work &lt;= 3), WorkNear (Work &gt; 3 but &lt;= 15), WorkFar (Work &gt; 15), Business</t>
  </si>
  <si>
    <t>Vehicle Garage Territory</t>
  </si>
  <si>
    <t>Garage City</t>
  </si>
  <si>
    <t>Garage State</t>
  </si>
  <si>
    <t>Garage Zipcode</t>
  </si>
  <si>
    <t>Garage Territory</t>
  </si>
  <si>
    <t>Municipal Tax Code</t>
  </si>
  <si>
    <t>Overnight Parking</t>
  </si>
  <si>
    <t>Original Cost New</t>
  </si>
  <si>
    <t>Engine Size</t>
  </si>
  <si>
    <t>Annual mileage</t>
  </si>
  <si>
    <t>Anti-theft Devices</t>
  </si>
  <si>
    <t>Alarm system</t>
  </si>
  <si>
    <t>Active fuel ignition disabling</t>
  </si>
  <si>
    <t>Tracking device</t>
  </si>
  <si>
    <t>Passive disabling</t>
  </si>
  <si>
    <t>Anti Theft Devices IL</t>
  </si>
  <si>
    <t>IL Category 1  / IL Category 2 / IL Category 3</t>
  </si>
  <si>
    <t>Active Disabling Devices 1</t>
  </si>
  <si>
    <t>For State KY - Y / N</t>
  </si>
  <si>
    <t>Active Disabling Devices 2</t>
  </si>
  <si>
    <t>Active Disabling Devices 3</t>
  </si>
  <si>
    <t>Window Identification</t>
  </si>
  <si>
    <t>High Security Ignition Replacement</t>
  </si>
  <si>
    <t>Internally Operated Alarms</t>
  </si>
  <si>
    <t>Specified Alarm Operations</t>
  </si>
  <si>
    <t>Passive Restraint Devices</t>
  </si>
  <si>
    <t>Automatic Seat belts</t>
  </si>
  <si>
    <t>Air bags</t>
  </si>
  <si>
    <t>One of None, Driver side, Both Driver &amp; Passenger</t>
  </si>
  <si>
    <t>Anti-lock brakes</t>
  </si>
  <si>
    <t>Dune Buggy Registered</t>
  </si>
  <si>
    <t>Registered Dune Buggy (or ATV for IL Only) / Non-Registered Dune Buggy (or ATV for IL Only)</t>
  </si>
  <si>
    <t>Vehicle Coverages</t>
  </si>
  <si>
    <t>Comprehensive Coverage</t>
  </si>
  <si>
    <t>Comprehensive Deductible</t>
  </si>
  <si>
    <t>None, 0, 50, 100, 200, 300, 500, 1000</t>
  </si>
  <si>
    <t>Comprehensive Deductible CodeValue</t>
  </si>
  <si>
    <t>Full Glass coverage?</t>
  </si>
  <si>
    <t>Collision Coverage</t>
  </si>
  <si>
    <t>Collision Deductible</t>
  </si>
  <si>
    <t>None, 50, 100, 200, 300, 500, 1000</t>
  </si>
  <si>
    <t>Collision Deductible CodeValue</t>
  </si>
  <si>
    <t>Limited Collision</t>
  </si>
  <si>
    <t>Waiver of Collison Deductible</t>
  </si>
  <si>
    <t>Mexican Collision Coverage</t>
  </si>
  <si>
    <t>NC Repair or Replacement Coverage</t>
  </si>
  <si>
    <t>None,  1 year,  5 years</t>
  </si>
  <si>
    <t xml:space="preserve">NC Rented Vehicles Coverage </t>
  </si>
  <si>
    <t>NC Transportation Expenses Coverage</t>
  </si>
  <si>
    <t>None, $15 / $450, $30 / $900, $50 / $1,500</t>
  </si>
  <si>
    <t>Coverage for Recreational Trailer Contents</t>
  </si>
  <si>
    <t>Coverage for Recreational Trailer Other Property</t>
  </si>
  <si>
    <t>Fire Coverage</t>
  </si>
  <si>
    <t>Theft Coverage</t>
  </si>
  <si>
    <t>Windstorm Coverage</t>
  </si>
  <si>
    <t>Combined Additional Coverage</t>
  </si>
  <si>
    <t>Code Value - None, With Vandalism &amp; Malicious Mischief, Without Vandalism &amp; Malicious Mischief</t>
  </si>
  <si>
    <t>Combined Additional Coverage Description</t>
  </si>
  <si>
    <t>Description - None, With Vandalism &amp; Malicious Mischief, Without Vandalism &amp; Malicious Mischief</t>
  </si>
  <si>
    <t>Recreational Trailer Type</t>
  </si>
  <si>
    <t>Code Value - None, Recreational Trailer New, Recreational Trailer Old, All Other Trailer</t>
  </si>
  <si>
    <t>Recreational Trailer Type Description</t>
  </si>
  <si>
    <t>None, Recreational Trailer New, Recreational Trailer Old, All Other Trailer</t>
  </si>
  <si>
    <t>Towing Limit Code Value</t>
  </si>
  <si>
    <t>None, 50, 100, 150</t>
  </si>
  <si>
    <t xml:space="preserve">Towing Limit </t>
  </si>
  <si>
    <t>Auto Loan/Lease Payoff coverage</t>
  </si>
  <si>
    <t>Stereo and electronic equipment</t>
  </si>
  <si>
    <t>Amount</t>
  </si>
  <si>
    <t>Stereo and electronic equipment Limit</t>
  </si>
  <si>
    <t>Media coverage</t>
  </si>
  <si>
    <t>Minivan Indicator</t>
  </si>
  <si>
    <t>TRUE/FALSE</t>
  </si>
  <si>
    <t>Recreational Trailer Value</t>
  </si>
  <si>
    <t>Increased Limits for Excess Sound Equipment Code Value</t>
  </si>
  <si>
    <t>Increased Limits for Excess Sound Equipment</t>
  </si>
  <si>
    <t>AZ Full Safety Glass Coverage</t>
  </si>
  <si>
    <t>Passenger Hazard Exclusion Indicator</t>
  </si>
  <si>
    <t>Special Endorsements</t>
  </si>
  <si>
    <t>Umbrella Endorsement Premium</t>
  </si>
  <si>
    <t>The endorsement premium of Umbrella</t>
  </si>
  <si>
    <t>Rates and Factors</t>
  </si>
  <si>
    <t>Details</t>
  </si>
  <si>
    <t>This is a generic sheet used to store rates and factors fetched from databases, etc.</t>
  </si>
  <si>
    <t>Vehicle number</t>
  </si>
  <si>
    <t>Vehicle Symbol Final</t>
  </si>
  <si>
    <t>The vehicle symbol entered by user</t>
  </si>
  <si>
    <t>Rated driver</t>
  </si>
  <si>
    <t>Driver Primary Class Code</t>
  </si>
  <si>
    <t>STDVEHPCLASSLUKUP with driver properties</t>
  </si>
  <si>
    <t>Driver Secondary Class Code</t>
  </si>
  <si>
    <t>Based on SDIP points, single/multi car &amp; performance</t>
  </si>
  <si>
    <t>Rated driver's class</t>
  </si>
  <si>
    <t>Primary class factor for BI and PD</t>
  </si>
  <si>
    <t>STDVEHPRIMARYRATE with Driver_Primary_Class_Code</t>
  </si>
  <si>
    <t>Secondary class factor for BI and PD</t>
  </si>
  <si>
    <t>STDVEHSECONDARYRATE with Driver_Primary_Class_Code</t>
  </si>
  <si>
    <t>Primary class factor for COMP and COLL</t>
  </si>
  <si>
    <t>Secondary class factor for COMP and COLL</t>
  </si>
  <si>
    <t>MI Secondary Class Factor</t>
  </si>
  <si>
    <t>STDCOVERAGERATES(COVCODE = S#PAMISRF, OPTION1 = Safe_Driver_Conviction_Points, OPTION2 = Safe_Driver_Accident_Points, OPTION3 = Multiple_Car_Indicator</t>
  </si>
  <si>
    <t>MI Secondary Class Factor COMP</t>
  </si>
  <si>
    <t>STDCOVERAGERATES COVCODE = S#PAMISRFCOMP, OPTION1 = Multiple_Car_Indicator</t>
  </si>
  <si>
    <t>NC Primary Factor Liability</t>
  </si>
  <si>
    <t>STDCOVERAGERATES, COVCODE=S#PANCPRFLIAB, OPTION1 = Use_of_Vehicle</t>
  </si>
  <si>
    <t>NC Primary Factor Collision</t>
  </si>
  <si>
    <t>STDCOVERAGERATES, COVCODE=S#PANCPRFCOLL, OPTION1 = Use_of_Vehicle</t>
  </si>
  <si>
    <t>NC Primary Factor Others</t>
  </si>
  <si>
    <t>STDCOVERAGERATES, COVCODE=S#PANCPRFOTHER, OPTION1 = Use_of_Vehicle</t>
  </si>
  <si>
    <t>NC No Inexperience Liability</t>
  </si>
  <si>
    <t>STDCOVERAGERATES, COVCODE=S#PANCEXPLIAB, OPTION1 = Multiple_Car_Indicator</t>
  </si>
  <si>
    <t>NC No Inexperience Collision</t>
  </si>
  <si>
    <t>STDCOVERAGERATES, COVCODE=S#PANCEXPCOLL, OPTION1 = Multiple_Car_Indicator</t>
  </si>
  <si>
    <t>NC No Inexperience Others</t>
  </si>
  <si>
    <t>STDCOVERAGERATES, COVCODE=S#PANCEXPOTHER, OPTION1 = Multiple_Car_Indicator</t>
  </si>
  <si>
    <t>NC Inexperience Liability</t>
  </si>
  <si>
    <t xml:space="preserve">STDCOVERAGERATES, COVCODE=S#PANCINEXPLIAB, OPTION1 = Multiple_Car_Indicator, OPTION2 = NC_Inexperienced_Operator_Status, OPTION3 = Operator_Status_of_Driver </t>
  </si>
  <si>
    <t>NC Inexperience Collision</t>
  </si>
  <si>
    <t xml:space="preserve">STDCOVERAGERATES, COVCODE=S#PANCINEXPCOLL, OPTION1 = Multiple_Car_Indicator, OPTION2 = NC_Inexperienced_Operator_Status, OPTION3 = Operator_Status_of_Driver </t>
  </si>
  <si>
    <t>NC Inexperience Others</t>
  </si>
  <si>
    <t xml:space="preserve">STDCOVERAGERATES, COVCODE=S#PANCINEXPOTHER, OPTION1 = Multiple_Car_Indicator, OPTION2 = NC_Inexperienced_Operator_Status, OPTION3 = Operator_Status_of_Driver </t>
  </si>
  <si>
    <t>NC SDIP Factor</t>
  </si>
  <si>
    <t>STDCOVERAGERATES(COVCODE = S#PANCSDIPF, OPTION1 =SDIP_Assigned_for_Vehicle</t>
  </si>
  <si>
    <t>Motor Home Rating factor Liability</t>
  </si>
  <si>
    <t>STDCOVERAGERATES, COVCODE=S#MHRATELIB, OPTION1 = MotorHome_MultiCar</t>
  </si>
  <si>
    <t>Motor Home Rating factor Comprehensive</t>
  </si>
  <si>
    <t>STDCOVERAGERATES, COVCODE=S#MHCMPRATELIB, OPTION1 = MotorHome_MultiCar</t>
  </si>
  <si>
    <t>Motor Home Rating factor Collision</t>
  </si>
  <si>
    <t>STDCOVERAGERATES, COVCODE=S#MHCLLRATELIB, OPTION1 = MotorHome_MultiCar</t>
  </si>
  <si>
    <t>Motor Cycle Rating factor Liability</t>
  </si>
  <si>
    <t>STDCOVERAGERATES, COVCODE=S#MCRATELIB, OPTION1 = Age_Of_Primary_Driver, OPTION2 = Engine_Size</t>
  </si>
  <si>
    <t>Motor Cycle Factor UM</t>
  </si>
  <si>
    <t>STDCOVERAGERATES, COVCODE=S#PAMCRATEUM</t>
  </si>
  <si>
    <t>SNOWM Factor Liability</t>
  </si>
  <si>
    <t>Not Loaded</t>
  </si>
  <si>
    <t>DuneBuggy Factor Liability</t>
  </si>
  <si>
    <t>GolfCart Factor Liability</t>
  </si>
  <si>
    <t>AntiqueAuto Factor Liability</t>
  </si>
  <si>
    <t>Territory</t>
  </si>
  <si>
    <t>Territory Code</t>
  </si>
  <si>
    <t>Entered by the user</t>
  </si>
  <si>
    <t>Is Stacking Present</t>
  </si>
  <si>
    <t>CSL Base rate</t>
  </si>
  <si>
    <t>STDCOVERAGERATES, COVCODE=S#CSLBASE, OPTION1 = Territory_Code</t>
  </si>
  <si>
    <t>CSL Minimum Premium</t>
  </si>
  <si>
    <t>Not Used</t>
  </si>
  <si>
    <t>CSL Increased Limits Factor</t>
  </si>
  <si>
    <t>STDCOVERAGERATES, COVCODE=S#CSL, OPTION1 = CSL_for_BI_and_PD</t>
  </si>
  <si>
    <t>Split BI</t>
  </si>
  <si>
    <t>BI Base rate</t>
  </si>
  <si>
    <t>STDCOVERAGERATES, COVCODE=S#SPLITBIBASE, OPTION1 = Territory_Code</t>
  </si>
  <si>
    <t>BI Minimum Premium</t>
  </si>
  <si>
    <t>BI Increased Limits Factor</t>
  </si>
  <si>
    <t>STDCOVERAGERATES, COVCODE=S#SPLITBI, OPTION1 = Split_BI_Limit</t>
  </si>
  <si>
    <t>NC Adjusted BI Rate</t>
  </si>
  <si>
    <t>STDCOVERAGERATES, COVCODE=S#PANCSPLITBI, OPTION1 = Territory_Code, Option2 = Is_NC_Clean_Risk_Present_for_Vehicle, OPTION3 = Split_BI_Limit</t>
  </si>
  <si>
    <t>PD</t>
  </si>
  <si>
    <t>PD Base rate</t>
  </si>
  <si>
    <t>STDCOVERAGERATES, COVCODE=S#SPLITPDBASE, OPTION1 = Territory_Code</t>
  </si>
  <si>
    <t>PD Minimum Premium</t>
  </si>
  <si>
    <t>PD Increased Limits Factor</t>
  </si>
  <si>
    <t>STDCOVERAGERATES, COVCODE=S#SPLITPD, OPTION1 = Property_Damage_Limt</t>
  </si>
  <si>
    <t>NC Adjusted PD Rate</t>
  </si>
  <si>
    <t>STDCOVERAGERATES, COVCODE=S#PANCSPLITPD, OPTION1 = Territory_Code, OPTION2 = Is_NC_Clean_Risk_Present_for_Vehicle, OPTION3 = Property_Damage_Limt</t>
  </si>
  <si>
    <t>UM-CSL</t>
  </si>
  <si>
    <t>UM-CSL Base rate</t>
  </si>
  <si>
    <t>STDCOVERAGERATES, COVCODE=UMCSLBASE, OPTION1 = Territory_Code, OPTION2 = Is_Stacking_Present, OPTION3 = Is_Multicar_Vehicle_On_Type</t>
  </si>
  <si>
    <t>UM-CSL Increased Limits Factor</t>
  </si>
  <si>
    <t>STDCOVERAGERATES, COVCODE=S#UMCSL, OPTION1 = CSL_for_UM, OPTION2 = Is_Stacking_Present, OPTION3 = Is_Multicar_Vehicle_On_Type</t>
  </si>
  <si>
    <t>UM-BI</t>
  </si>
  <si>
    <t>UM-BI Base rate</t>
  </si>
  <si>
    <t>STDCOVERAGERATES, COVCODE=UMSPLITBIBASE , OPTION1 = Territory_Code, OPTION2 = Is_Stacking_Present, OPTION3 =UM_BI_Multiple_Car_Indicator</t>
  </si>
  <si>
    <t>UM-BI Increased Limits Factor</t>
  </si>
  <si>
    <t>STDCOVERAGERATES, COVCODE=S#UMSPLITBI, OPTION1 = Split_BI_Limit_for_UM, OPTION2 = Is_Stacking_Present, OPTION3 = UM_BI_Multiple_Car_Indicator</t>
  </si>
  <si>
    <t>NC Adjusted UM BI Rate</t>
  </si>
  <si>
    <t>STDCOVERAGERATES, COVCODE=S#PANCUMSPLITBI, OPTION1 = Split_BI_Limit_for_UM, Option2 = UM_BI_Multiple_Car_Indicator</t>
  </si>
  <si>
    <t>NC Alternative Economic Loss Rate</t>
  </si>
  <si>
    <t>STDCOVERAGERATES, COVCODE= S#UME, OPTION1 = Economic_Loss_for_UM, Option2 = UM_BI_Multiple_Car_Indicator</t>
  </si>
  <si>
    <t>UM-PD</t>
  </si>
  <si>
    <t>UM-PD Base rate</t>
  </si>
  <si>
    <t>STDCOVERAGERATES, COVCODE=UMSPLITPDBASE, OPTION1 = Territory_Code, OPTION2 = Is_Stacking_Present, OPTION3 = Is_Multicar_Vehicle_On_Type</t>
  </si>
  <si>
    <t>UM-PD Increased Limits Factor</t>
  </si>
  <si>
    <t>STDCOVERAGERATES, COVCODE=S#UMSPLITPD, OPTION1 = Property_Damage_Limit_for_UM, OPTION2 = Is_Stacking_Present, OPTION3 = Is_Multicar_Vehicle_On_Type</t>
  </si>
  <si>
    <t>NC Adjusted UM PD Rate</t>
  </si>
  <si>
    <t>STDCOVERAGERATES, COVCODE=S#PANCUMSPLITPD, OPTION1 = Property_Damage_Limit_for_UM Option2 = Is_Multicar_Vehicle_On_Type</t>
  </si>
  <si>
    <t>UIM-CSL</t>
  </si>
  <si>
    <t>UIM-CSL Base rate</t>
  </si>
  <si>
    <t>STDCOVERAGERATES, COVCODE=UIMCSLBASE, OPTION1 = Territory_Code, OPTION2 = Is_Stacking_Present, OPTION3 = Is_Multicar_Vehicle_On_Type</t>
  </si>
  <si>
    <t>UIM-CSL Increased Limits Factor</t>
  </si>
  <si>
    <t>STDCOVERAGERATES, COVCODE=S#UIMCSL, OPTION1 = CSL_for_UIM, OPTION2 = Is_Stacking_Present, OPTION3 = Is_Multicar_Vehicle_On_Type</t>
  </si>
  <si>
    <t>UIM-BI</t>
  </si>
  <si>
    <t>UIM-BI Base rate</t>
  </si>
  <si>
    <t>STDCOVERAGERATES, COVCODE=UIMSPLITBIBASE, OPTION1 = Territory_Code, OPTION2 = Is_Stacking_Present, OPTION3 = Is_Multicar_Vehicle_On_Type</t>
  </si>
  <si>
    <t>UIM-BI Increased Limits Factor</t>
  </si>
  <si>
    <t>STDCOVERAGERATES, COVCODE=S#UIMSPLITBI, OPTION1 = Split_BI_Limit_for_UIM,, OPTION2 = Is_Stacking_Present, OPTION3 = Is_Multicar_Vehicle_On_Type</t>
  </si>
  <si>
    <t>UMUIM-CSL</t>
  </si>
  <si>
    <t>UMUIM-CSL Base rate</t>
  </si>
  <si>
    <t>STDCOVERAGERATES, COVCODE=UMUIMCSLBASE, OPTION1 = Territory_Code, OPTION2 = Is_Stacking_Present, OPTION3 = Is_Multicar_Vehicle_On_Type</t>
  </si>
  <si>
    <t>UIMUIM-CSL Increased Limits Factor</t>
  </si>
  <si>
    <t>STDCOVERAGERATES, COVCODE=S#UMUIMCSL, OPTION1 = CSL_for_UM_and_UIM, OPTION2 = Is_Stacking_Present, OPTION3 = Is_Multicar_Vehicle_On_Type</t>
  </si>
  <si>
    <t>UMUIM-BI</t>
  </si>
  <si>
    <t>UMUIM-BI Base rate</t>
  </si>
  <si>
    <t>STDCOVERAGERATES, COVCODE=UMUIMSPLITBIBASE, OPTION1 = Territory_Code, OPTION2 = Is_Stacking_Present, OPTION3 = Is_Multicar_Vehicle_On_Type</t>
  </si>
  <si>
    <t>UIMUIM-BI Increased Limits Factor</t>
  </si>
  <si>
    <t>STDCOVERAGERATES, COVCODE=S#UMUIMSPLITBI, OPTION1 =Split_BI_Limit_for_UM_and_UIM, OPTION2 = Is_Stacking_Present, OPTION3 = Is_Multicar_Vehicle_On_Type</t>
  </si>
  <si>
    <t>NC Adjusted UMUIM BI Rate</t>
  </si>
  <si>
    <t>STDCOVERAGERATES, COVCODE=S#PANCUMUIMSPLITBI, OPTION1 = Split_BI_Limit_for_UM_and_UIM, Option2 = Is_Multicar_Vehicle_On_Type</t>
  </si>
  <si>
    <t>UMUIM-PD</t>
  </si>
  <si>
    <t>UMUIM-PD Base rate</t>
  </si>
  <si>
    <t>STDCOVERAGERATES, COVCODE=UMUIMSPLITPDBASE, OPTION1 = Territory_Code, OPTION2 = Is_Stacking_Present, OPTION3 = Is_Multicar_Vehicle_On_Type</t>
  </si>
  <si>
    <t>UMUIM-PD Increased Limits Factor</t>
  </si>
  <si>
    <t>STDCOVERAGERATES, COVCODE=S#UMUIMSPLITPD, OPTION1 = Property_Damage_Limit_for_UM_and_UIM, OPTION2 = Is_Stacking_Present, OPTION3 = Is_Multicar_Vehicle_On_Type</t>
  </si>
  <si>
    <t>NC Adjusted UMUIM PD Rate</t>
  </si>
  <si>
    <t>STDCOVERAGERATES, COVCODE=S#PANCUMUIMSPLITPD, OPTION1 = Property_Damage_Limit_for_UM_and_UIM Option2 = Is_Multicar_Vehicle_On_Type</t>
  </si>
  <si>
    <t>UMUIM-PD Deductible Factor</t>
  </si>
  <si>
    <t>STDCOVERAGERATES, COVCODE=S#UMPDDED, OPTION1 = Vehicle_Year, Option2 =Vehicle_Symbol, OPTION3 = Is_Multicar_Vehicle_On_Type</t>
  </si>
  <si>
    <t>Ext NonOwned-CSL</t>
  </si>
  <si>
    <t>Ext NonOwned-CSL Base rate</t>
  </si>
  <si>
    <t>STDCOVERAGERATES, COVCODE=S#EXTNWNCSL, OPTION1 = Extended_Non_owned_Person_Named_Type</t>
  </si>
  <si>
    <t>Ext NonOwned-CSL Increased Limits Factor</t>
  </si>
  <si>
    <t>Ext NonOwned-BI</t>
  </si>
  <si>
    <t>Ext NonOwned-BI Base rate</t>
  </si>
  <si>
    <t>STDCOVERAGERATES, COVCODE=S#EXTNWNBI, OPTION1 = Extended_Non_owned_Person_Named_Type</t>
  </si>
  <si>
    <t>Ext NonOwned BI Increased Limits Factor</t>
  </si>
  <si>
    <t>Ext NonOwned-PD</t>
  </si>
  <si>
    <t>Ext NonOwned-PD Base rate</t>
  </si>
  <si>
    <t>STDCOVERAGERATES, COVCODE=S#EXTNWNPD, OPTION1 = Extended_Non_owned_Person_Named_Type</t>
  </si>
  <si>
    <t>Ext NonOwned PD Increased Limits Factor</t>
  </si>
  <si>
    <t>Medical Base Rate</t>
  </si>
  <si>
    <t>STDCOVERAGERATES  COVCODE = MEDPMBASE, OPTION1 = Territory_Code</t>
  </si>
  <si>
    <t>PIP Base Rate</t>
  </si>
  <si>
    <t>STDCOVERAGERATES  COVCODE = S#PIP, OPTION1 = Territory_Code</t>
  </si>
  <si>
    <t>Medical PIP Base Rate</t>
  </si>
  <si>
    <t>Medical Increased Limits Factor</t>
  </si>
  <si>
    <t>STDCOVERAGERATES COVCODE = MEDPM, OPTION1 = MedPay_Limit_CodeValue</t>
  </si>
  <si>
    <t>Medical or PIP Minium Premium</t>
  </si>
  <si>
    <t>NC Adjusted Medical Rate</t>
  </si>
  <si>
    <t>STDCOVERAGERATES  COVCODE=S#PANCMEDPM, OPTION1 = Territory_Code, OPTION2 = Is_NC_Clean_Risk_Present_for_Vehicle, OPTION3 = MedPay_Limit_CodeValue</t>
  </si>
  <si>
    <t>PIP Deductible Copay Factor</t>
  </si>
  <si>
    <t>STDCOVERAGERATES  COVCODE=S#PIPDEDCOP, OPTION1 = PIP_Deductible, OPTION2 = PIP_Copay</t>
  </si>
  <si>
    <t>Medical Deductible Copay Factor</t>
  </si>
  <si>
    <t>STDCOVERAGERATES  COVCODE=S#MEDDEDCOP, OPTION1 = MedPay_Deductible, OPTION2 = MedPay_Copay</t>
  </si>
  <si>
    <t xml:space="preserve"> Coordination Benefits Factor</t>
  </si>
  <si>
    <t>STDCOVERAGERATES COVCODE = S#PACOPIP, OPTION1 = Coordination_of_Benefits</t>
  </si>
  <si>
    <t>Additional PIP Factor</t>
  </si>
  <si>
    <t>STDCOVERAGERATES COVCODE = S#APIP, OPTION1 = Additional_PIP</t>
  </si>
  <si>
    <t>MI PIP Special Factor Single</t>
  </si>
  <si>
    <t>STDCOVERAGERATES COVCODE = S#PAMIPIPFACTS, OPTION1 = Annual_Income, OPTION2 = Age_Of_Primary_Driver, OPTION3 = Multiple_Car_Indicator</t>
  </si>
  <si>
    <t>MI PIP Special Factor Multi</t>
  </si>
  <si>
    <t>STDCOVERAGERATES COVCODE = S#PAMIPIPFACTM, OPTION1 = Annual_Income, OPTION2 = Age_Of_Primary_Driver, OPTION3 = Multiple_Car_Indicator</t>
  </si>
  <si>
    <t>MI PIP Special Factor</t>
  </si>
  <si>
    <t>Accidental Death Benefit Factor</t>
  </si>
  <si>
    <t>STDCOVERAGERATES COVCODE = S#DB, OPTION1 = Accidental_Death_Benefit</t>
  </si>
  <si>
    <t>Disability Weekly Income Limit Factor</t>
  </si>
  <si>
    <t>STDCOVERAGERATES COVCODE = S#TOTDSINCLM, OPTION1 = Weekly_Disability_Limit</t>
  </si>
  <si>
    <t>Reject Income Loss Factor</t>
  </si>
  <si>
    <t>STDCOVERAGERATES COVCODE = S#PIPRIL, OPTION1 = Reject_Income_Loss,</t>
  </si>
  <si>
    <t>Income Loss Limit Factor</t>
  </si>
  <si>
    <t>STDCOVERAGERATES COVCODE = S#IL, OPTION1 = Income_Loss_Limit</t>
  </si>
  <si>
    <t>Funeral Expense Factor</t>
  </si>
  <si>
    <t>STDCOVERAGERATES COVCODE = S#FNLB, OPTION1 =Funeral_Benefit</t>
  </si>
  <si>
    <t>Combined First Party Benefits Factor</t>
  </si>
  <si>
    <t>STDCOVERAGERATES COVCODE = S#CPIPM, OPTION1 =Combined_First_Party_Benefits</t>
  </si>
  <si>
    <t>Extraordinary Benefits Factor</t>
  </si>
  <si>
    <t xml:space="preserve">STDCOVERAGERATES COVCODE = EXMED, OPTION1 =Extraordinary_Medical_Benefits, OPTION2 = Multiple_Car_Indicator </t>
  </si>
  <si>
    <t>Extended Nonowned Medical Base Rate</t>
  </si>
  <si>
    <t>STDCOVERAGERATES, COVCODE=S#EXTNWNMED, OPTION1 = MedPay_Limit_CodeValue, OPTION2 = Extended_Non_owned_Medical_Payments_Coverage</t>
  </si>
  <si>
    <t>Extended Nonowned Medical Increased Limits Factor</t>
  </si>
  <si>
    <t>Medical Increased Limits Factor SNOWM</t>
  </si>
  <si>
    <t>Medical Increased Limits Factor Dune Buggy</t>
  </si>
  <si>
    <t>Medical Increased Limits Factor Antique Auto</t>
  </si>
  <si>
    <t>KS Motor Cycle PIP Rate</t>
  </si>
  <si>
    <t>STDCOVERAGERATES, COVCODE=S#PAMCRATEKSPIP OPTION1 = Engine_Size</t>
  </si>
  <si>
    <t>KY Motor Cycle PIP Rate</t>
  </si>
  <si>
    <t>STDCOVERAGERATES, COVCODE=S#PAMCRATEKYPIP OPTION1 = Engine_Size,OPTION2 = Age_Of_Primary_Driver</t>
  </si>
  <si>
    <t>KY Motor Cycle APIP Rate</t>
  </si>
  <si>
    <t>STDCOVERAGERATES+H61, COVCODE=S#PAMCRATEKYAPIP OPTION1 = Engine_Size,OPTION2 = Age_Of_Primary_Driver</t>
  </si>
  <si>
    <t>Non PIP Vehicle CSL Rate</t>
  </si>
  <si>
    <t>Non PIP Vehicle BI Rate</t>
  </si>
  <si>
    <t>Non PIP Vehicle Medical Rate</t>
  </si>
  <si>
    <t>PA Non PIP CSL Increated Limit Factor</t>
  </si>
  <si>
    <t>STDCOVERAGERATES, COVCODE=S#PANONPIPPEDCSL OPTION1 = CSL_for_BI_and_PD</t>
  </si>
  <si>
    <t>PA Non PIP BI Increated Limit Factor</t>
  </si>
  <si>
    <t>STDCOVERAGERATES, COVCODE=S#PANONPIPPEDBI OPTION1 = Split_BI_Limit</t>
  </si>
  <si>
    <t>COMP Base Rate</t>
  </si>
  <si>
    <t>STDCOVERAGERATES (COVCODE = S#CMP, OPTION1 = Territory_Code</t>
  </si>
  <si>
    <t>COMP Minimum Premium</t>
  </si>
  <si>
    <t>COMP Recreational Trailer Base Rate</t>
  </si>
  <si>
    <t>COMP Vehicle Symbol Factor</t>
  </si>
  <si>
    <t>STDCOVERAGERATES (COVCODE = S#CMPSYMFACT, OPTION1 = Vehicle_Symbol, OPTION2 = Vehicle_Year</t>
  </si>
  <si>
    <t>COMP Age Factor</t>
  </si>
  <si>
    <t>STDCOVERAGERATES (COVCODE = S#CMPAGEFACT, OPTION1 = Vehicle_Year</t>
  </si>
  <si>
    <t>COMP Deductible Factor</t>
  </si>
  <si>
    <t>STDCOVERAGERATES (COVCODE = S#CMPDED, OPTION1 = Comprehensive_Deductible_CodeValue</t>
  </si>
  <si>
    <t>AZ COMP Full Safety Glass Factor</t>
  </si>
  <si>
    <t>STDCOVERAGERATES (COVCODE = FG, OPTION1 = Full_Glass_coverage?, OPTION2 = Comprehensive_Deductible_CodeValue</t>
  </si>
  <si>
    <t>COMP Recreational Trailer Deductible Factor</t>
  </si>
  <si>
    <t>STDCOVERAGERATES (COVCODE = S#CMPRECTRAILER, OPTION1 = Vehicle_Symbol, Option2 = Comprehensive_Deductible_CodeValue</t>
  </si>
  <si>
    <t>COMP Motor Cycle Symbol Factor</t>
  </si>
  <si>
    <t>STDCOVERAGERATES (COVCODE = S#CMPMCSYMBOL, OPTION1 = Original_Cost_New, Option2 = Age_Of_Primary_Driver</t>
  </si>
  <si>
    <t>COMP Motor Cycle Deductible Factor</t>
  </si>
  <si>
    <t>COMP Snow Mobile Deductible Factor</t>
  </si>
  <si>
    <t>STDCOVERAGERATES (COVCODE = S#CMPSMDED, OPTION1 = Comprehensive_Deductible_CodeValue</t>
  </si>
  <si>
    <t>COMP Dune Buggy Deductible Factor</t>
  </si>
  <si>
    <t>STDCOVERAGERATES (COVCODE = S#CMPDBDED, OPTION1 = Comprehensive_Deductible_CodeValue</t>
  </si>
  <si>
    <t>COMP Golf Cart Deductible Factor</t>
  </si>
  <si>
    <t>STDCOVERAGERATES (COVCODE = S#CMPGCDED, OPTION1 = Comprehensive_Deductible_CodeValue</t>
  </si>
  <si>
    <t>COMP Antique Auto Deductible Factor</t>
  </si>
  <si>
    <t>STDCOVERAGERATES (COVCODE = S#CMPAADED, OPTION1 = Comprehensive_Deductible_CodeValue</t>
  </si>
  <si>
    <t>COMP PickupVan Factor</t>
  </si>
  <si>
    <t>STDCOVERAGERATES (COVCODE = S#PACMPPVAN)</t>
  </si>
  <si>
    <t>COLL Base Rate</t>
  </si>
  <si>
    <t>STDCOVERAGERATES (COVCODE = S#CLL, OPTION1 = Territory_Code</t>
  </si>
  <si>
    <t>MI Limited COLL Factor</t>
  </si>
  <si>
    <t>STDCOVERAGERATES (COVCODE = S#MILIMCLL, OPTION1 = TERRITORY_CODE</t>
  </si>
  <si>
    <t>COLL Minimum Premium</t>
  </si>
  <si>
    <t>COLL Recreational Trailer Base Rate</t>
  </si>
  <si>
    <t>COLL Vehicle Symbol Factor</t>
  </si>
  <si>
    <t>STDCOVERAGERATES (COVCODE = S#CLLSYMFACT, OPTION1 = Vehicle_Symbol, OPTION2 = Vehicle_Year</t>
  </si>
  <si>
    <t>COLL Age Factor</t>
  </si>
  <si>
    <t>STDCOVERAGERATES (COVCODE = S#CLLAGEFACT, OPTION1 = Vehicle_Year</t>
  </si>
  <si>
    <t>COLL Deductible Factor</t>
  </si>
  <si>
    <t>STDCOVERAGERATES (COVCODE = S#CLLDED, OPTION1 = Collision_Deductible_CodeValue</t>
  </si>
  <si>
    <t>MI Broadened COLL Rate</t>
  </si>
  <si>
    <t>STDCOVERAGERATES (COVCODE = S#CWAIV, OPTION1 = Waiver_of_Collison_Deductible</t>
  </si>
  <si>
    <t>COLL Recreational Trailer Deductible Factor</t>
  </si>
  <si>
    <t>STDCOVERAGERATES (COVCODE = S#CLLRECTRAILER, OPTION1 = Vehicle_Symbol, Option2 = Collision_Deductible_CodeValue</t>
  </si>
  <si>
    <t>COLL Motor Cycle Symbol Factor</t>
  </si>
  <si>
    <t>STDCOVERAGERATES (COVCODE = S#CLLMCSYMBOL, OPTION1 = Original_Cost_New, Option2 = Age_Of_Primary_Driver</t>
  </si>
  <si>
    <t>COLL Motor Cycle Deductible Factor</t>
  </si>
  <si>
    <t>COLL Snow Mobile Deductible Factor</t>
  </si>
  <si>
    <t>STDCOVERAGERATES (COVCODE = S#CLLSMDED, OPTION1 = Comprehensive_Deductible_CodeValue</t>
  </si>
  <si>
    <t>COLL Dune Buggy Deductible Factor</t>
  </si>
  <si>
    <t>STDCOVERAGERATES (COVCODE = S#CLLDBDED, OPTION1 = Comprehensive_Deductible_CodeValue</t>
  </si>
  <si>
    <t>COLL Golf Cart Deductible Factor</t>
  </si>
  <si>
    <t>STDCOVERAGERATES (COVCODE = S#CLLGCDED, OPTION1 = Comprehensive_Deductible_CodeValue</t>
  </si>
  <si>
    <t>NC COLL Golf Cart  Charge</t>
  </si>
  <si>
    <t>STDCOVERAGERATES (COVCODE = S#PANCCLLGCDED, OPTION1 = Comprehensive_Deductible_CodeValue, OPTION2 = Original_Cost_New</t>
  </si>
  <si>
    <t>COLL Antique Auto Deductible Factor</t>
  </si>
  <si>
    <t>STDCOVERAGERATES (COVCODE = S#CLLAADED, OPTION1 = Comprehensive_Deductible_CodeValue</t>
  </si>
  <si>
    <t>COLL PickupVan Factor</t>
  </si>
  <si>
    <t>STDCOVERAGERATES (COVCODE = S#PACOLLPVAN)</t>
  </si>
  <si>
    <t>SDIP</t>
  </si>
  <si>
    <t>SDIP Factor</t>
  </si>
  <si>
    <t>Always 0 and hence not used</t>
  </si>
  <si>
    <t>Anti Theft Devices IL Discount Factor</t>
  </si>
  <si>
    <t>STDCOVERAGERATES, COVCODE=S#PAANTHFIL, OPTION1 = Anti_Theft_Devices_IL</t>
  </si>
  <si>
    <t>Active Disabling Devices 1 Discount Factor</t>
  </si>
  <si>
    <t>Active Disabling Devices 2 Discount Factor</t>
  </si>
  <si>
    <t>Active Disabling Devices 3 Discount Factor</t>
  </si>
  <si>
    <t>Window Identification Discount Factor</t>
  </si>
  <si>
    <t>High Security Ignition Replacement Discount Factor</t>
  </si>
  <si>
    <t>Internally Operated Alarms Discount Factor</t>
  </si>
  <si>
    <t>Specified Alarm Operations Discount Factor</t>
  </si>
  <si>
    <t>Anti-theft Discount Factor</t>
  </si>
  <si>
    <t>STDCOVERAGERATES, COVCODE=ANTHF, OPTION1 = Alarm_System</t>
  </si>
  <si>
    <t>Final Anti-theft Discount Factor</t>
  </si>
  <si>
    <t>ABS Discount Factor</t>
  </si>
  <si>
    <t>STDCOVERAGERATES, COVCODE=ABS, OPTION1 = Anti_lock_brakes</t>
  </si>
  <si>
    <t>Air bag Discount Factor</t>
  </si>
  <si>
    <t>STDCOVERAGERATES, COVCODE=PASSR, OPTION1 = Automatic_Seat_belts</t>
  </si>
  <si>
    <t>Accident Prevention Discount Factor</t>
  </si>
  <si>
    <t>STDCOVERAGERATES, COVCODE=MATUR, OPTION1 = APC_Discount_for_Vehicle</t>
  </si>
  <si>
    <t>Motorcycle Rider Discount Factor (TN)</t>
  </si>
  <si>
    <t>Minivan Discount Factor</t>
  </si>
  <si>
    <t>STDCOVERAGERATES, COVCODE=S#PAMVDSCT, OPTION1 = Minivan_Indicator</t>
  </si>
  <si>
    <t>Mass Merchandise Factor</t>
  </si>
  <si>
    <t>STDCOVERAGERATES, COVCODE=  S#PAMASSMER, OPTION1 = Mass_Merchandising_Program, OPTION2 = Is_YouthFul</t>
  </si>
  <si>
    <t>Multiple Policy Discount Factor</t>
  </si>
  <si>
    <t>Auto Loan/Lease Factor</t>
  </si>
  <si>
    <t>STDCOVERAGERATES, COVCODE=  LEASE, OPTION1 = Auto_Loan_Lease_Payoff_coverage</t>
  </si>
  <si>
    <t>NC Repair or Replacement factor</t>
  </si>
  <si>
    <t>STDCOVERAGERATES, COVCODE =  S#PAREPAIRREPL, OPTION1 = NC_Repair_or_Replacement_Coverage</t>
  </si>
  <si>
    <t>NC Transportation Expenses rate</t>
  </si>
  <si>
    <t>STDCOVERAGERATES, COVCODE =  RREIM, OPTION1 = NC_Transportation_Expenses_Coverage</t>
  </si>
  <si>
    <t>Towing Limit</t>
  </si>
  <si>
    <t>Towing Rate</t>
  </si>
  <si>
    <t>STDCOVERAGERATES, COVCODE =  ATOWG, OPTION1 = Towing_Limit</t>
  </si>
  <si>
    <t>Communications Equipment Limit</t>
  </si>
  <si>
    <t>Excess Sound Equipment Limit</t>
  </si>
  <si>
    <t>Communications Equipment Rate</t>
  </si>
  <si>
    <t>STDCOVERAGERATES, COVCODE =  AV, OPTION1 = Stereo_and_electronic_equipment</t>
  </si>
  <si>
    <t>Excess Sound Equipment Rate</t>
  </si>
  <si>
    <t>STDCOVERAGERATES, COVCODE =  S#INLMSDREPEQP, OPTION1 = Increased_Limits_Excess_Sound_Eq</t>
  </si>
  <si>
    <t>Tapes Media Rate</t>
  </si>
  <si>
    <t>STDCOVERAGERATES, COVCODE =  S#TR, OPTION1 = Media_coverage</t>
  </si>
  <si>
    <t>Policy Period</t>
  </si>
  <si>
    <t>Policy Period Factor</t>
  </si>
  <si>
    <t>Financial Responsibility Factor Input</t>
  </si>
  <si>
    <t>Financial Responsibility Surcharge Rate</t>
  </si>
  <si>
    <t>STDCOVERAGERATES, COVCODE= S#PAFRESPCHG, OPTION1 = Financial_Responsibility_Surcharge</t>
  </si>
  <si>
    <t>Multiple Policy Discount</t>
  </si>
  <si>
    <t>Carpool Discount Factor</t>
  </si>
  <si>
    <t>MotorHome Rental Factor</t>
  </si>
  <si>
    <t>Passenger Hazard CSL Factor</t>
  </si>
  <si>
    <t>STDCOVERAGERATES, COVCODE= S#PAPASSHZCSL</t>
  </si>
  <si>
    <t>Passenger Hazard Split Factor</t>
  </si>
  <si>
    <t>STDCOVERAGERATES, COVCODE= S#PAPASSHZBI</t>
  </si>
  <si>
    <t>Enhanced Coverage Endorsement Charge</t>
  </si>
  <si>
    <t>KY Guest PIP Factor</t>
  </si>
  <si>
    <t>SC Reinsurance Facility Surcharge Factor</t>
  </si>
  <si>
    <t>Tort Factors</t>
  </si>
  <si>
    <t>Tort Factor BI</t>
  </si>
  <si>
    <t>STDCOVERAGERATES, COVCODE= S#PATORTBI, OPTION1 = Tort_option(String)</t>
  </si>
  <si>
    <t>Tort Factor PD</t>
  </si>
  <si>
    <t>STDCOVERAGERATES, COVCODE= S#PATORTPD, OPTION1 = Tort_option(String)</t>
  </si>
  <si>
    <t>Tort Factor CSL</t>
  </si>
  <si>
    <t>STDCOVERAGERATES, COVCODE= S#PATORCSL, OPTION1 = Tort_option(String)</t>
  </si>
  <si>
    <t>Tort Factor Medical</t>
  </si>
  <si>
    <t>STDCOVERAGERATES, COVCODE= S#PATORMED, OPTION1 = Tort_option(String)</t>
  </si>
  <si>
    <t>Tort Factor UMUIM</t>
  </si>
  <si>
    <t>STDCOVERAGERATES, COVCODE= S#PATORTUMUIM, OPTION1 = Tort_option(String)</t>
  </si>
  <si>
    <t>Tort Factor COMP</t>
  </si>
  <si>
    <t>STDCOVERAGERATES, COVCODE= S#PACOMP, OPTION1 = Tort_option(String)</t>
  </si>
  <si>
    <t>Tort Factor COLL</t>
  </si>
  <si>
    <t>STDCOVERAGERATES, COVCODE= S#PACLL, OPTION1 = Tort_option(String)</t>
  </si>
  <si>
    <t>Tort Factor Miscellaneous</t>
  </si>
  <si>
    <t>Antitheft Discount</t>
  </si>
  <si>
    <t>ANTHF</t>
  </si>
  <si>
    <t>Passive Restrain Discount</t>
  </si>
  <si>
    <t>PASSR</t>
  </si>
  <si>
    <t>Type</t>
  </si>
  <si>
    <t>Linked Coveragae Code</t>
  </si>
  <si>
    <t>Credit</t>
  </si>
  <si>
    <t>Surcharge</t>
  </si>
  <si>
    <t>STDCOVERAGERATES, COVCODE= S#PAMISC, OPTION1 = Tort_option(String)</t>
  </si>
  <si>
    <t>Company Deviation Multipliers</t>
  </si>
  <si>
    <t xml:space="preserve">Company Deviation Factor CSL </t>
  </si>
  <si>
    <t>STDCOVERAGERATES, COVCODE= S#LCFCSL</t>
  </si>
  <si>
    <t>Company Deviation Factor Split BI</t>
  </si>
  <si>
    <t>STDCOVERAGERATES, COVCODE= S#LCFBI</t>
  </si>
  <si>
    <t>Company Deviation Factor Split PD</t>
  </si>
  <si>
    <t>STDCOVERAGERATES, COVCODE= S#LCFPD</t>
  </si>
  <si>
    <t>Company Deviation Factor UMUIM CSL</t>
  </si>
  <si>
    <t>STDCOVERAGERATES, COVCODE= S#LCFUMUIMCSL</t>
  </si>
  <si>
    <t>Company Deviation Factor UMUIM Split BI</t>
  </si>
  <si>
    <t>STDCOVERAGERATES, COVCODE= S#LCFUMUIMBI</t>
  </si>
  <si>
    <t>Company Deviation Factor UMUIM Split PD</t>
  </si>
  <si>
    <t>STDCOVERAGERATES, COVCODE= S#LCFUMUIMPD</t>
  </si>
  <si>
    <t>Company Deviation Factor Medical</t>
  </si>
  <si>
    <t>STDCOVERAGERATES, COVCODE= S#LCFMED</t>
  </si>
  <si>
    <t>Company Deviation Factor PIP</t>
  </si>
  <si>
    <t>STDCOVERAGERATES, COVCODE= S#LCFPIP</t>
  </si>
  <si>
    <t>Company Deviation Factor COMP</t>
  </si>
  <si>
    <t>STDCOVERAGERATES, COVCODE= S#LCFCOMP</t>
  </si>
  <si>
    <t>Company Deviation Factor COLL</t>
  </si>
  <si>
    <t>STDCOVERAGERATES, COVCODE= S#LCFCOLL</t>
  </si>
  <si>
    <t>Company Deviation Factor Miscellaneous</t>
  </si>
  <si>
    <t>STDCOVERAGERATES, COVCODE= S#LCFMIS</t>
  </si>
  <si>
    <t>Company Deviation Factor PPI</t>
  </si>
  <si>
    <t>STDCOVERAGERATES, COVCODE= S#LCFPPI</t>
  </si>
  <si>
    <t>Company Deviation Factor - NC</t>
  </si>
  <si>
    <t>STDCOVERAGERATES, COVCODE= S#PANCCF, OPTION1 = Territory_Code</t>
  </si>
  <si>
    <t>Tier Rating Factor</t>
  </si>
  <si>
    <t>STDCOVERAGERATES, COVCODE= S#TIERRTMRKTIND, OPTION1 = Tier_Rating_Market_Indicator</t>
  </si>
  <si>
    <t>Other Policy Discount Factors</t>
  </si>
  <si>
    <t>Valued Customer Discount Factor</t>
  </si>
  <si>
    <t>STDCOVERAGERATES, COVCODE= S#VALCUST, OPTION1 = Valued_Customer_Indicator</t>
  </si>
  <si>
    <t>Fampak Discount Factor</t>
  </si>
  <si>
    <t>STDCOVERAGERATES, COVCODE= S#FAMPAK, OPTION1 = Fampak_Indicator</t>
  </si>
  <si>
    <t>Prime Life Discount Factor</t>
  </si>
  <si>
    <t>STDCOVERAGERATES, COVCODE= S#PRIMLIFE, OPTION1 = Prime_Life_Indicator</t>
  </si>
  <si>
    <t>Loss Free Credit Factor</t>
  </si>
  <si>
    <t>STDCOVERAGERATES, COVCODE= S#PALOSSFCRDT, OPTION1 = Loss_Free_Credit_Indicator</t>
  </si>
  <si>
    <t>IN Standard Agent Commission Factor</t>
  </si>
  <si>
    <t>STDCOVERAGERATES, COVCODE= S#PASTDAGNT, OPTION1 = IN_Standard_Agent_Commission, OPTION2 = IN_Reduction_in_Commission_Percentage</t>
  </si>
  <si>
    <t>Expense Fees</t>
  </si>
  <si>
    <t>Expense Fees CSL</t>
  </si>
  <si>
    <t>STDCOVERAGERATES, COVCODE= S#PAEXPCSL</t>
  </si>
  <si>
    <t>Expense Fees Split BI</t>
  </si>
  <si>
    <t>STDCOVERAGERATES, COVCODE= S#PAEXPBI</t>
  </si>
  <si>
    <t>Expense Fees Split PD</t>
  </si>
  <si>
    <t>STDCOVERAGERATES, COVCODE= S#PAEXPPD</t>
  </si>
  <si>
    <t>Expense Fees Medical</t>
  </si>
  <si>
    <t>STDCOVERAGERATES, COVCODE= S#PAEXPMED</t>
  </si>
  <si>
    <t>Expense Fees PIP</t>
  </si>
  <si>
    <t>Expense Fees APIP</t>
  </si>
  <si>
    <t>Expense Fees Death Benefit</t>
  </si>
  <si>
    <t>Expense Fees UMUIM CSL</t>
  </si>
  <si>
    <t>Expense Fees UMUIM Split BI</t>
  </si>
  <si>
    <t>Expense Fees UMUIM Split PD</t>
  </si>
  <si>
    <t>Expense Fees Comprehensive</t>
  </si>
  <si>
    <t>STDCOVERAGERATES, COVCODE= S#PAEXPCOMP</t>
  </si>
  <si>
    <t>Expense Fees Collision</t>
  </si>
  <si>
    <t>STDCOVERAGERATES, COVCODE= S#PAEXPCOLL</t>
  </si>
  <si>
    <t>Expense Fees Auto Loan</t>
  </si>
  <si>
    <t>Expense Fees Towing</t>
  </si>
  <si>
    <t>Expense Fees Comm Equipment</t>
  </si>
  <si>
    <t>Expense Fees Ext Nonowned CSL</t>
  </si>
  <si>
    <t>Expense Fees Ext Nonowned BI</t>
  </si>
  <si>
    <t>Expense Fees Ext Nonowned PD</t>
  </si>
  <si>
    <t>Expense Fees Ext Nonowned Medical</t>
  </si>
  <si>
    <t>Expense Fees Ext Nonowned Comprehensive</t>
  </si>
  <si>
    <t>Expense Fees Ext Nonowned Collision</t>
  </si>
  <si>
    <t>Expense Fees Motor Home CSL</t>
  </si>
  <si>
    <t>Expense Fees Motor Home Split BI</t>
  </si>
  <si>
    <t>Expense Fees Motor Home Split PD</t>
  </si>
  <si>
    <t>Expense Fees Motor Home Medical</t>
  </si>
  <si>
    <t>Expense Fees Motor Home PIP</t>
  </si>
  <si>
    <t>Expense Fees Motor Home UM CSL</t>
  </si>
  <si>
    <t>Expense Fees Motor Home UM BI</t>
  </si>
  <si>
    <t>Expense Fees Motor Home COMP</t>
  </si>
  <si>
    <t>Expense Fees Motor Home COLL</t>
  </si>
  <si>
    <t>Expense Fees Motor Home Rental</t>
  </si>
  <si>
    <t>Expense Fees Recreational Trailer COMP</t>
  </si>
  <si>
    <t>Expense Fees Recreational Trailer COLL</t>
  </si>
  <si>
    <t>Expense Fees Motor Cycle CSL</t>
  </si>
  <si>
    <t>Expense Fees Motor Cycle Split BI</t>
  </si>
  <si>
    <t>Expense Fees Motor Cycle PD</t>
  </si>
  <si>
    <t>Expense Fees Motor Cycle Medical</t>
  </si>
  <si>
    <t>Expense Fees Motor Cycle UM CSL</t>
  </si>
  <si>
    <t>Expense Fees Motor Cycle UM Split BI</t>
  </si>
  <si>
    <t>Expense Fees Motor Cycle COMP</t>
  </si>
  <si>
    <t>Expense Fees Motor Cycle COLL</t>
  </si>
  <si>
    <t>Surcharges And Taxes</t>
  </si>
  <si>
    <t xml:space="preserve">State Surcharge Rate </t>
  </si>
  <si>
    <t>STDCOVERAGERATES  COVCODE = S#SURCHARGE</t>
  </si>
  <si>
    <t>Municipal Tax Rate</t>
  </si>
  <si>
    <t>STDCOVERAGERATES  COVCODE =S#XXMTAXCD, OPTION1 = Municipal_Tax_Code</t>
  </si>
  <si>
    <t>Applicable Municipal Tax Rate</t>
  </si>
  <si>
    <t>Property Protection Insurance Base Rate</t>
  </si>
  <si>
    <t>STDCOVERAGERATES  COVCODE = S#PAPPI, OPTION1 = Territory_Code</t>
  </si>
  <si>
    <t>Named Non-owner BI factor</t>
  </si>
  <si>
    <t>STDCOVERAGERATES  COVCODE = S#PANNWLBCOV</t>
  </si>
  <si>
    <t>Named Non-owner PD factor</t>
  </si>
  <si>
    <t>STDCOVERAGERATES  COVCODE = S#PANNWPDCOV</t>
  </si>
  <si>
    <t>Named Non-owner Medical factor</t>
  </si>
  <si>
    <t>STDCOVERAGERATES  COVCODE = S#PANNWMEDPCOV</t>
  </si>
  <si>
    <t>Named Non-owner UM BI factor</t>
  </si>
  <si>
    <t>STDCOVERAGERATES  COVCODE = S#PANNWUMBICOV</t>
  </si>
  <si>
    <t>Named Non-owner UM PD factor</t>
  </si>
  <si>
    <t>STDCOVERAGERATES  COVCODE = S#PANNWUMPDCOV</t>
  </si>
  <si>
    <t>Named Non-owner UIM BI factor</t>
  </si>
  <si>
    <t>STDCOVERAGERATES  COVCODE = S#PANNWUIMBICOV</t>
  </si>
  <si>
    <t>Named Non-Owner Policy Term factor</t>
  </si>
  <si>
    <t>STDCOVERAGERATES  COVCODE = S#PANAMEDNOWNPTERM, OPTION1 = Named_Non_owner_Policy_term_for_Vehicle</t>
  </si>
  <si>
    <t>Named Non-owner Comprehensive factor</t>
  </si>
  <si>
    <t>STDCOVERAGERATES  COVCODE = S#PANAMEDNOWNCOMP</t>
  </si>
  <si>
    <t>Named Non-owner Collision factor</t>
  </si>
  <si>
    <t>STDCOVERAGERATES  COVCODE = S#PANAMEDNOWNCOLL</t>
  </si>
  <si>
    <t>Single Car UM-CSL</t>
  </si>
  <si>
    <t>Single Car UM-CSL Base rate</t>
  </si>
  <si>
    <t>STDCOVERAGERATES, COVCODE=UMCSLBASE, OPTION1 = Territory_Code, OPTION2 = Is_Stacking_Present, OPTION3 = Single_CAR_Indicator</t>
  </si>
  <si>
    <t>Single Car UM-CSL Increased Limits Factor</t>
  </si>
  <si>
    <t>STDCOVERAGERATES, COVCODE=S#UMCSL, OPTION1 = CSL_for_UM, OPTION2 = Is_Stacking_Present, OPTION3 = Single_CAR_Indicator</t>
  </si>
  <si>
    <t>Single Car UM-BI</t>
  </si>
  <si>
    <t>Single Car UM-BI Base rate</t>
  </si>
  <si>
    <t>STDCOVERAGERATES, COVCODE=UMSPLITBIBASE , OPTION1 = Territory_Code, OPTION2 = Is_Stacking_Present, OPTION3 = Single_CAR_Indicator</t>
  </si>
  <si>
    <t>Single Car UM-BI Increased Limits Factor</t>
  </si>
  <si>
    <t>STDCOVERAGERATES, COVCODE=S#UMSPLITBI, OPTION1 = Split_BI_Limit_for_UM, OPTION2 = Is_Stacking_Present, OPTION3 = Single_CAR_Indicator</t>
  </si>
  <si>
    <t>Single Car NC Adjusted UM BI Rate</t>
  </si>
  <si>
    <t>STDCOVERAGERATES, COVCODE=S#PANCUMSPLITBI, OPTION1 = Split_BI_Limit_for_UM, Option2 = Single_CAR_Indicator</t>
  </si>
  <si>
    <t>Single Car NC Alternative Economic Loss Rate</t>
  </si>
  <si>
    <t>STDCOVERAGERATES, COVCODE= S#UME, OPTION1 = Economic_Loss_for_UM, Option2 = Single_CAR_Indicator</t>
  </si>
  <si>
    <t>Single Car UM-PD</t>
  </si>
  <si>
    <t>Single Car UM-PD Base rate</t>
  </si>
  <si>
    <t>STDCOVERAGERATES, COVCODE=UMSPLITPDBASE, OPTION1 = Territory_Code, OPTION2 = Is_Stacking_Present, OPTION3 = Single_CAR_Indicator</t>
  </si>
  <si>
    <t>Single Car UM-PD Increased Limits Factor</t>
  </si>
  <si>
    <t>STDCOVERAGERATES, COVCODE=S#UMSPLITPD, OPTION1 = Property_Damage_Limit_for_UM, OPTION2 = Is_Stacking_Present, OPTION3 = Single_CAR_Indicator</t>
  </si>
  <si>
    <t>Single Car NC Adjusted UM PD Rate</t>
  </si>
  <si>
    <t>STDCOVERAGERATES, COVCODE=S#PANCUMSPLITPD, OPTION1 = Property_Damage_Limit_for_UM Option2 = Single_CAR_Indicator</t>
  </si>
  <si>
    <t>Single Car UIM-CSL</t>
  </si>
  <si>
    <t>Single Car UIM-CSL Base rate</t>
  </si>
  <si>
    <t>STDCOVERAGERATES, COVCODE=UIMCSLBASE, OPTION1 = Territory_Code, OPTION2 = Is_Stacking_Present, OPTION3 = Single_CAR_Indicator</t>
  </si>
  <si>
    <t>Single Car UIM-CSL Increased Limits Factor</t>
  </si>
  <si>
    <t>STDCOVERAGERATES, COVCODE=S#UIMCSL, OPTION1 = CSL_for_UIM, OPTION2 = Is_Stacking_Present, OPTION3 =0</t>
  </si>
  <si>
    <t>Single Car UIM-BI</t>
  </si>
  <si>
    <t>Single Car UIM-BI Base rate</t>
  </si>
  <si>
    <t>STDCOVERAGERATES, COVCODE=UIMSPLITBIBASE, OPTION1 = Territory_Code, OPTION2 = Is_Stacking_Present, OPTION3 = Single_CAR_Indicator</t>
  </si>
  <si>
    <t>Single Car UIM-BI Increased Limits Factor</t>
  </si>
  <si>
    <t>STDCOVERAGERATES, COVCODE=S#UIMSPLITBI, OPTION1 = Split_BI_Limit_for_UIM,, OPTION2 = Is_Stacking_Present, OPTION3 = Single_CAR_Indicator</t>
  </si>
  <si>
    <t>MI Property Damage Buyback Premium</t>
  </si>
  <si>
    <t>STDCOVERAGERATES  COVCODE = PDBY</t>
  </si>
  <si>
    <t>NC Recreational Trailer</t>
  </si>
  <si>
    <t>Fire Code</t>
  </si>
  <si>
    <t>FIRE</t>
  </si>
  <si>
    <t>Theft Code</t>
  </si>
  <si>
    <t>THEFT</t>
  </si>
  <si>
    <t>WindStorm Code</t>
  </si>
  <si>
    <t>WS</t>
  </si>
  <si>
    <t>CACVMM Code</t>
  </si>
  <si>
    <t>CACVMM</t>
  </si>
  <si>
    <t>CAC Code</t>
  </si>
  <si>
    <t>CAC</t>
  </si>
  <si>
    <t>Single CAR Indicator</t>
  </si>
  <si>
    <t>NC RT indicator</t>
  </si>
  <si>
    <t>CAC Option</t>
  </si>
  <si>
    <t>Max OCN</t>
  </si>
  <si>
    <t>OCN Increment</t>
  </si>
  <si>
    <t>Contents</t>
  </si>
  <si>
    <t>Fire</t>
  </si>
  <si>
    <t>STDCOVERAGERATES (COVCODE =S#PARECRTRAILERCONT, OPTION1 = Fire_Code)</t>
  </si>
  <si>
    <t>CAC with VMM</t>
  </si>
  <si>
    <t>STDCOVERAGERATES (COVCODE =S#PARECRTRAILERCONT, OPTION1 = CACVMM_Code)</t>
  </si>
  <si>
    <t>CAC without VMM</t>
  </si>
  <si>
    <t>STDCOVERAGERATES (COVCODE =S#PARECRTRAILERCONT, OPTION1 = CAC_Code)</t>
  </si>
  <si>
    <t>Other Property</t>
  </si>
  <si>
    <t>STDCOVERAGERATES (COVCODE = S#PARECRTRAILEROTHPROP, OPTION1 = Fire_Code, OPTION2 = Recreational_Trailer_Type</t>
  </si>
  <si>
    <t>Theft</t>
  </si>
  <si>
    <t>STDCOVERAGERATES (COVCODE = S#PARECRTRAILEROTHPROP, OPTION1 = Theft_Code, OPTION2 = Recreational_Trailer_Type</t>
  </si>
  <si>
    <t>Windstorm</t>
  </si>
  <si>
    <t>STDCOVERAGERATES (COVCODE = S#PARECRTRAILEROTHPROP,OPTION1 = WindStorm_Code, OPTION2 = Recreational_Trailer_Type</t>
  </si>
  <si>
    <t>STDCOVERAGERATES (COVCODE = S#PARECRTRAILEROTHPROP, OPTION1 = CACVMM_Code, OPTION2 = Recreational_Trailer_Type</t>
  </si>
  <si>
    <t>STDCOVERAGERATES (COVCODE = S#PARECRTRAILEROTHPROP,OPTION1 = CAC_Code, OPTION2 = Recreational_Trailer_Type</t>
  </si>
  <si>
    <t>COMP NC RT Deductible Factor</t>
  </si>
  <si>
    <t>STDCOVERAGERATES (COVCODE = S#PANCCMPRECTRAILER, Option1 = Comprehensive_Deductible_CodeValue, OPTION2 = Recreational_Trailer_Type</t>
  </si>
  <si>
    <t>Actual COLL NC RT Deductible Rate</t>
  </si>
  <si>
    <t>STDCOVERAGERATES (COVCODE = S#PANCCLLRECTRAILER, OPTION1 = Original_cost_New, OPTION2 = Collision_Deductible_CodeValue,  OPTION3 = Recreational_Trailer_Type</t>
  </si>
  <si>
    <t>COLL NC RT MAX OCN Deductible Rate</t>
  </si>
  <si>
    <t>STDCOVERAGERATES (COVCODE = S#PANCCLLRECTRAILER, OPTION1 = Max_OCN, OPTION2 = Collision_Deductible_CodeValue,  OPTION3 = Recreational_Trailer_Type</t>
  </si>
  <si>
    <t>COLL NC OT Additional Deductible Rate</t>
  </si>
  <si>
    <t>NC Clean Risk Surcharge</t>
  </si>
  <si>
    <t>STDCOVERAGERATES (COVCODE = S#PACLLOTADDNLDED, OPTION1 = Collision_Deductible_CodeValue</t>
  </si>
  <si>
    <t>Number of increments</t>
  </si>
  <si>
    <t>COLL NC RT Deductible Rate</t>
  </si>
  <si>
    <t>Fire Base Rate</t>
  </si>
  <si>
    <t>STDCOVERAGERATES (COVCODE = S#PAFIRE, OPTION1 = Vehicle_Type)</t>
  </si>
  <si>
    <t>Theft Base Rate</t>
  </si>
  <si>
    <t>STDCOVERAGERATES (COVCODE = S#PATHEFT, OPTION1 = Vehicle_Type)</t>
  </si>
  <si>
    <t>CAC Base Rate</t>
  </si>
  <si>
    <t>STDCOVERAGERATES (COVCODE = S#PACAC, OPTION1 = Vehicle_Type, OPTION2 = Combined_Additional_Coverage)</t>
  </si>
  <si>
    <t>MI High Performace Factor</t>
  </si>
  <si>
    <t>Personal Auto Rating Output</t>
  </si>
  <si>
    <t>Vehicle information</t>
  </si>
  <si>
    <t>Combined Rating Classification</t>
  </si>
  <si>
    <t>Combined Rating Classification Factor</t>
  </si>
  <si>
    <t>Market Tier</t>
  </si>
  <si>
    <t>Territory Number</t>
  </si>
  <si>
    <t>Coverage Description</t>
  </si>
  <si>
    <t>See BI Worksheet</t>
  </si>
  <si>
    <t>See PD Worksheet</t>
  </si>
  <si>
    <t>Property Protection</t>
  </si>
  <si>
    <t>See MI-PPI Worksheet</t>
  </si>
  <si>
    <t>See UM Worksheet</t>
  </si>
  <si>
    <t>See UIM Worksheet</t>
  </si>
  <si>
    <t>See UMUIM Worksheet</t>
  </si>
  <si>
    <t>See COMP Worksheet</t>
  </si>
  <si>
    <t>Extended Nonowned Bodily Injury (For Drivers)</t>
  </si>
  <si>
    <t>See Ext Nonowned Worksheet</t>
  </si>
  <si>
    <t>Extended Nonowned Property Damage  (For Drivers)</t>
  </si>
  <si>
    <t>Extended Nonowned Medical  (For Drivers)</t>
  </si>
  <si>
    <t>Extended Nonowned Comprehensive  (For Drivers)</t>
  </si>
  <si>
    <t>Extended Nonowned Collision  (For Drivers)</t>
  </si>
  <si>
    <t>Named Nonowned Bodily Injury</t>
  </si>
  <si>
    <t>See Named Nonowned Worksheet</t>
  </si>
  <si>
    <t>Named Nonowned Property Damage</t>
  </si>
  <si>
    <t>Named Nonowned Medical</t>
  </si>
  <si>
    <t>Named Nonowned Uninsured Bodily Injury</t>
  </si>
  <si>
    <t>Named Nonowned Uninsured Property Damage</t>
  </si>
  <si>
    <t>Named Nonowned Underinsured Bodily Injury</t>
  </si>
  <si>
    <t>See COLL Worksheet</t>
  </si>
  <si>
    <t>Recreational Trailer Contents</t>
  </si>
  <si>
    <t>See NC Recreational Trailer Worksheet</t>
  </si>
  <si>
    <t>Recreational Trailer Other Property</t>
  </si>
  <si>
    <t>Recreational Trailer Comprehensive</t>
  </si>
  <si>
    <t>Recreational Trailer Collision</t>
  </si>
  <si>
    <t>All Other Trailer Other Property</t>
  </si>
  <si>
    <t>All Other Trailer Comprehensive</t>
  </si>
  <si>
    <t>All Other Trailer Collision</t>
  </si>
  <si>
    <t>Trailer Medical Payments</t>
  </si>
  <si>
    <t>NC Rented Vehicles Premium</t>
  </si>
  <si>
    <t>See Medical Worksheet</t>
  </si>
  <si>
    <t>See PIP Worksheet</t>
  </si>
  <si>
    <t>Comprehensive Lease</t>
  </si>
  <si>
    <t>See AutoLoan Worksheet</t>
  </si>
  <si>
    <t>Collision Lease</t>
  </si>
  <si>
    <t>Extended Transportation Expenses Premium</t>
  </si>
  <si>
    <t>See Extn Transportation Expenses Worksheet</t>
  </si>
  <si>
    <t>See Towing Worksheet</t>
  </si>
  <si>
    <t>See Comm Equipment Worksheet</t>
  </si>
  <si>
    <t>Motor Home Bodily Injury</t>
  </si>
  <si>
    <t>See MotorHome Worksheet</t>
  </si>
  <si>
    <t>Motor Home Property Damage</t>
  </si>
  <si>
    <t>Motor Home Medical</t>
  </si>
  <si>
    <t>Motor Home UM Bodily Injury</t>
  </si>
  <si>
    <t>Motor Home Comprehensive</t>
  </si>
  <si>
    <t>Motor Home Collision</t>
  </si>
  <si>
    <t>Motor Home Rental</t>
  </si>
  <si>
    <t>See Recreational Trailer Worksheet</t>
  </si>
  <si>
    <t>Motor Cycle Bodily Injury</t>
  </si>
  <si>
    <t>See BI Others Worksheet</t>
  </si>
  <si>
    <t>Motor Cycle Property Damage</t>
  </si>
  <si>
    <t>See PD Others Worksheet</t>
  </si>
  <si>
    <t>Motor Cycle Medical</t>
  </si>
  <si>
    <t>See Medical Others Worksheet</t>
  </si>
  <si>
    <t>Motor Cycle PIP</t>
  </si>
  <si>
    <t>Motor Cycle UM Bodily Injury</t>
  </si>
  <si>
    <t>See UM Others Worksheet</t>
  </si>
  <si>
    <t>Motor Cycle Comprehensive</t>
  </si>
  <si>
    <t>See COMP Others Worksheet</t>
  </si>
  <si>
    <t>Motor Cycle Collision</t>
  </si>
  <si>
    <t>See COLL Others Worksheet</t>
  </si>
  <si>
    <t>GO Cart Bodily Injury</t>
  </si>
  <si>
    <t>GO Cart Property Damage</t>
  </si>
  <si>
    <t>GO Cart UM Bodily Injury</t>
  </si>
  <si>
    <t>GO Cart Comprehensive</t>
  </si>
  <si>
    <t>GO Cart Collision</t>
  </si>
  <si>
    <t>Snow Mobile Bodily Injury</t>
  </si>
  <si>
    <t>Snow Mobile Property Damage</t>
  </si>
  <si>
    <t>Snow Mobile Medical</t>
  </si>
  <si>
    <t>Snow Mobile UM Bodily Injury</t>
  </si>
  <si>
    <t>Snow Mobile Comprehensive</t>
  </si>
  <si>
    <t>Snow Mobile Collision</t>
  </si>
  <si>
    <t>All Terrain Vehicle Bodily Injury</t>
  </si>
  <si>
    <t>All Terrain Vehicle Property Damage</t>
  </si>
  <si>
    <t>All Terrain Vehicle Medical</t>
  </si>
  <si>
    <t>All Terrain Vehicle UM Bodily Injury</t>
  </si>
  <si>
    <t>All Terrain Vehicle Comprehensive</t>
  </si>
  <si>
    <t>All Terrain Vehicle Collision</t>
  </si>
  <si>
    <t>Dune Buggy Bodily Injury</t>
  </si>
  <si>
    <t>Dune Buggy Property Damage</t>
  </si>
  <si>
    <t>Dune Buggy Medical</t>
  </si>
  <si>
    <t>Dune Buggy UM Bodily Injury</t>
  </si>
  <si>
    <t>Dune Buggy Comprehensive</t>
  </si>
  <si>
    <t>Dune Buggy Collision</t>
  </si>
  <si>
    <t>Golf Cart Bodily Injury</t>
  </si>
  <si>
    <t>Golf Cart Comprehensive</t>
  </si>
  <si>
    <t>Golf Cart Collision</t>
  </si>
  <si>
    <t>Antique Auto Bodily Injury</t>
  </si>
  <si>
    <t>Antique Auto Property Damage</t>
  </si>
  <si>
    <t>Antique Auto Medical</t>
  </si>
  <si>
    <t>Antique Auto UM Bodily Injury</t>
  </si>
  <si>
    <t>Antique Auto Comprehensive</t>
  </si>
  <si>
    <t>Antique Auto Collision</t>
  </si>
  <si>
    <t>Total Each Vehicle</t>
  </si>
  <si>
    <t>KY Surcharge</t>
  </si>
  <si>
    <t>KY Municipal Tax</t>
  </si>
  <si>
    <t>See Personal Umbrella Workbook</t>
  </si>
  <si>
    <t>Premium Amount</t>
  </si>
  <si>
    <t>Total Liability Premium</t>
  </si>
  <si>
    <t>Total State taxes and surcharges</t>
  </si>
  <si>
    <t>Total Optional Coverages Premium</t>
  </si>
  <si>
    <t>Bodily Injury - Split or CSL</t>
  </si>
  <si>
    <t>Step</t>
  </si>
  <si>
    <t>Description</t>
  </si>
  <si>
    <t>Step 1</t>
  </si>
  <si>
    <t>Base Rate</t>
  </si>
  <si>
    <t>NC Adjusted Base Rate</t>
  </si>
  <si>
    <t>Final Base Rate</t>
  </si>
  <si>
    <t>Step 1C</t>
  </si>
  <si>
    <t>Base Premium</t>
  </si>
  <si>
    <t>Step 2</t>
  </si>
  <si>
    <t>Increased Limit Factor</t>
  </si>
  <si>
    <t>KY Tort Factor</t>
  </si>
  <si>
    <t>Final Factor</t>
  </si>
  <si>
    <t>Step 2A</t>
  </si>
  <si>
    <t>Result</t>
  </si>
  <si>
    <t>Step2B</t>
  </si>
  <si>
    <t>Extended Non-Owned</t>
  </si>
  <si>
    <t>Step 3A</t>
  </si>
  <si>
    <t>Driver Class - Primary Class Factor</t>
  </si>
  <si>
    <t>NC Primary Factor</t>
  </si>
  <si>
    <t>Step 3B</t>
  </si>
  <si>
    <t>Driver Class - Secondary Class Factor</t>
  </si>
  <si>
    <t>NC Experience Factor</t>
  </si>
  <si>
    <t>MI SRF Factor</t>
  </si>
  <si>
    <t>Step 4</t>
  </si>
  <si>
    <t>Add 3A with 3B</t>
  </si>
  <si>
    <t>Step 5</t>
  </si>
  <si>
    <t>Multiply Step 2 result by Step 4 value</t>
  </si>
  <si>
    <t>Step 6</t>
  </si>
  <si>
    <t>ABS Discount</t>
  </si>
  <si>
    <t>Premium after ABS Discount</t>
  </si>
  <si>
    <t>Step 7</t>
  </si>
  <si>
    <t>Accident Prevention Course Discount Factor</t>
  </si>
  <si>
    <t>Step 8</t>
  </si>
  <si>
    <t>SDIP Surcharge</t>
  </si>
  <si>
    <t>Accident Prevention Course Discount</t>
  </si>
  <si>
    <t>Loss Free Credit Discount</t>
  </si>
  <si>
    <t xml:space="preserve">Minivan Discount </t>
  </si>
  <si>
    <t>Step 9</t>
  </si>
  <si>
    <t>Premium after SDIP and discounts</t>
  </si>
  <si>
    <t>Premium After MI High Performance Surcharge</t>
  </si>
  <si>
    <t>Premium After Expense Fees</t>
  </si>
  <si>
    <t>Step 10</t>
  </si>
  <si>
    <t>Minimum Premium</t>
  </si>
  <si>
    <t>Premium after Min Premium Adjustment</t>
  </si>
  <si>
    <t>Step 12</t>
  </si>
  <si>
    <t>Premium Before Discounts</t>
  </si>
  <si>
    <t>Step 12A</t>
  </si>
  <si>
    <t>MI Named Non-owner</t>
  </si>
  <si>
    <t>Step 13</t>
  </si>
  <si>
    <t>Premium after Valued Customer Discount</t>
  </si>
  <si>
    <t>Premium after MI Superior Driver Discount</t>
  </si>
  <si>
    <t>Pro-rated Premium</t>
  </si>
  <si>
    <t>Premium after Fampak Discount</t>
  </si>
  <si>
    <t>Premium after Prime Life Discount</t>
  </si>
  <si>
    <t>Premium after PA Accident Prevention Course Discount</t>
  </si>
  <si>
    <t>PA Tort Factor</t>
  </si>
  <si>
    <t xml:space="preserve"> Premium after PA Tort</t>
  </si>
  <si>
    <t>Premium after Mass Merchandising Discount</t>
  </si>
  <si>
    <t>Premium after Standard Agent Commission Discount</t>
  </si>
  <si>
    <t>Step 13A</t>
  </si>
  <si>
    <t>Premium after multiple policy discount</t>
  </si>
  <si>
    <t>Applicability</t>
  </si>
  <si>
    <t>Bodily Injury Premium</t>
  </si>
  <si>
    <t>AZ Expense Fees</t>
  </si>
  <si>
    <t>Output</t>
  </si>
  <si>
    <t>NC Bodily Injury Clean Risk Surcharge</t>
  </si>
  <si>
    <t>Property Damage</t>
  </si>
  <si>
    <t>This calculation skipped for CSL</t>
  </si>
  <si>
    <t>Step 12B</t>
  </si>
  <si>
    <t>Premium after MI Property Damage Buy Back</t>
  </si>
  <si>
    <t>Property Damage Premium</t>
  </si>
  <si>
    <t>Set to 0 for CSL</t>
  </si>
  <si>
    <t>NC Propert Damage Clean Risk Surcharge</t>
  </si>
  <si>
    <t>MI Property Protection Insurance</t>
  </si>
  <si>
    <t>Step 4A</t>
  </si>
  <si>
    <t>Step 4B</t>
  </si>
  <si>
    <t>Add 3A with 4A</t>
  </si>
  <si>
    <t>Step 4C</t>
  </si>
  <si>
    <t>Multiply Step 1 result by Step 4B value</t>
  </si>
  <si>
    <t>Step 6B</t>
  </si>
  <si>
    <t>Premium after Minivan Discount</t>
  </si>
  <si>
    <t>MI PPI Premium</t>
  </si>
  <si>
    <t>Coordination Benefits Factor</t>
  </si>
  <si>
    <t>KY Guest PIP Premium</t>
  </si>
  <si>
    <t>Only for KY</t>
  </si>
  <si>
    <t>IL Additional PIP Charge</t>
  </si>
  <si>
    <t>Only for IL</t>
  </si>
  <si>
    <t>Deductible &amp; Copay factor</t>
  </si>
  <si>
    <t>Premium after deductible discount</t>
  </si>
  <si>
    <t>PIP work loss rejection factor</t>
  </si>
  <si>
    <t>Premium after work loss discount</t>
  </si>
  <si>
    <t>Exclusion of Medical Benefits Factor</t>
  </si>
  <si>
    <t>Only for PIP (MD)</t>
  </si>
  <si>
    <t>Premium after exclusion benefit</t>
  </si>
  <si>
    <t>Step 1D</t>
  </si>
  <si>
    <t>MI Special PIP Factor</t>
  </si>
  <si>
    <t>Airbag Discount Factor</t>
  </si>
  <si>
    <t>Airbag Discount</t>
  </si>
  <si>
    <t>Premium after Airbag Discount</t>
  </si>
  <si>
    <t xml:space="preserve">Premium after Expense Fees </t>
  </si>
  <si>
    <t>Step 16</t>
  </si>
  <si>
    <t>Additional PIP Charge</t>
  </si>
  <si>
    <t>Is APIP Charge Applicable on State</t>
  </si>
  <si>
    <t>For other than MI/MD it is amount</t>
  </si>
  <si>
    <t>Final APIP Charge</t>
  </si>
  <si>
    <t>Premium after APIP</t>
  </si>
  <si>
    <t>Step 17</t>
  </si>
  <si>
    <t>Accidental Death Benefits Charge</t>
  </si>
  <si>
    <t>IS DB Charge Applicable on state</t>
  </si>
  <si>
    <t>For other than PA it s amount (PIP)</t>
  </si>
  <si>
    <t>DB Adjustment Factor</t>
  </si>
  <si>
    <t>For PA it is an factor and also the medical increased limits factor is applied here even as it is considered PIP</t>
  </si>
  <si>
    <t>Final DB Charge</t>
  </si>
  <si>
    <t>Disability Weekly Income Limit Charge</t>
  </si>
  <si>
    <t>Income loss benefit Charge</t>
  </si>
  <si>
    <t>Funeral Expenses Benefit Charge</t>
  </si>
  <si>
    <t>Combined First Party Benefits Charge</t>
  </si>
  <si>
    <t>Extraordinary Medical Benefits Charge</t>
  </si>
  <si>
    <t>Premium after additions</t>
  </si>
  <si>
    <t>PIP Premium</t>
  </si>
  <si>
    <t>Medical</t>
  </si>
  <si>
    <t>Premium after Loss Free Credit Discount</t>
  </si>
  <si>
    <t>Medical Premium</t>
  </si>
  <si>
    <t>NC Medical Clean Risk Surcharge</t>
  </si>
  <si>
    <t>Uninsured Motorist</t>
  </si>
  <si>
    <t>NC Economic loss base rate</t>
  </si>
  <si>
    <t>NC this is can be chosen instead of BI  (only one of them)</t>
  </si>
  <si>
    <t>BI Base Premium</t>
  </si>
  <si>
    <t>Step 3</t>
  </si>
  <si>
    <t>Multiply Base Rate by Increased Limit Factor</t>
  </si>
  <si>
    <t>PD Base Rate</t>
  </si>
  <si>
    <t>PD Base Premium</t>
  </si>
  <si>
    <t>Step 5A</t>
  </si>
  <si>
    <t>Step 5B</t>
  </si>
  <si>
    <t>Multiply PD Base Rate by PD Increased Limit Factor</t>
  </si>
  <si>
    <t>PD Deductible discount</t>
  </si>
  <si>
    <t>PD Premium after deductible</t>
  </si>
  <si>
    <t>Step 6A</t>
  </si>
  <si>
    <t>Uninsured Motorist Bodily Injury Premium</t>
  </si>
  <si>
    <t>Uninsured Motorist PD Premium</t>
  </si>
  <si>
    <t>Underinsured Motorist</t>
  </si>
  <si>
    <t>Underinsured Motorist Bodily Injury Premium</t>
  </si>
  <si>
    <t>Uninsured-Underinsured Motorist</t>
  </si>
  <si>
    <t>BI Base Rate</t>
  </si>
  <si>
    <t>Multiply BI Base Rate by BI Increased Limit Factor</t>
  </si>
  <si>
    <t>UMUIM Motorist Bodily Injury Premium</t>
  </si>
  <si>
    <t>UMUIM Motorist PD Premium</t>
  </si>
  <si>
    <t>Rating Symbol Factor</t>
  </si>
  <si>
    <t>Step 2B</t>
  </si>
  <si>
    <t>Age Factor</t>
  </si>
  <si>
    <t>Step 2C</t>
  </si>
  <si>
    <t>Deductible Factor</t>
  </si>
  <si>
    <t>AZ Full Safety Glass Factor</t>
  </si>
  <si>
    <t>Final Deductible Factor</t>
  </si>
  <si>
    <t>Step 2D</t>
  </si>
  <si>
    <t>Base after the symbol, age and deductibles</t>
  </si>
  <si>
    <t>Step 2E</t>
  </si>
  <si>
    <t>Base after application of Tier Rating Factor</t>
  </si>
  <si>
    <t>Pickup or Van</t>
  </si>
  <si>
    <t>NC Repair or Replacement Factor</t>
  </si>
  <si>
    <t>MI SRF Factor COMP</t>
  </si>
  <si>
    <t>Anti-theft discount factor</t>
  </si>
  <si>
    <t>Step 9B</t>
  </si>
  <si>
    <t>Anti-theft Discount</t>
  </si>
  <si>
    <t>Step 11</t>
  </si>
  <si>
    <t>Comp Coverage Premium</t>
  </si>
  <si>
    <t>Final Base</t>
  </si>
  <si>
    <t>Effective Collision Factor</t>
  </si>
  <si>
    <t>MI Broadened Collision Premium</t>
  </si>
  <si>
    <t>Final Base afer factors</t>
  </si>
  <si>
    <t>Accident Prevention discount</t>
  </si>
  <si>
    <t>Step 11B</t>
  </si>
  <si>
    <t>Collision Coverage Premium</t>
  </si>
  <si>
    <t>Auto Loan Coverage</t>
  </si>
  <si>
    <t>Auto Loan Lease Factor</t>
  </si>
  <si>
    <t>Comprehensive Lease Premium</t>
  </si>
  <si>
    <t>Collision Lease Premium</t>
  </si>
  <si>
    <t>Towing Coverage</t>
  </si>
  <si>
    <t>Towing Premium</t>
  </si>
  <si>
    <t>Extended Transportation ExpensesCoverage(NC)</t>
  </si>
  <si>
    <t>Extended Transportation Expenses Rate</t>
  </si>
  <si>
    <t>Pro-rated Extended Transportation Expenses Premium</t>
  </si>
  <si>
    <t>Fampak Discount</t>
  </si>
  <si>
    <t>Premium After Fampak Discount</t>
  </si>
  <si>
    <t>Prime Life Discount</t>
  </si>
  <si>
    <t>Premium After Prime Life Discount</t>
  </si>
  <si>
    <t>Communication Equipment</t>
  </si>
  <si>
    <t>Sum of all the base rates</t>
  </si>
  <si>
    <t>Step 1E</t>
  </si>
  <si>
    <t>Communications Equipment before expense fees Premium</t>
  </si>
  <si>
    <t>Communications Equipment Premium</t>
  </si>
  <si>
    <t>Ext Non Owned</t>
  </si>
  <si>
    <t>Bodily Injury Base Rate</t>
  </si>
  <si>
    <t>Step 1A</t>
  </si>
  <si>
    <t>MI Bodily Injury Base Rate</t>
  </si>
  <si>
    <t>Step 1B</t>
  </si>
  <si>
    <t>Final Bodily Injury Base Rate</t>
  </si>
  <si>
    <t>Bodily Injury Base Premium</t>
  </si>
  <si>
    <t>BI Increased Limit Factor</t>
  </si>
  <si>
    <t>BI Premium Before Discounts</t>
  </si>
  <si>
    <t>Pro-rated Ext NO BI Premium</t>
  </si>
  <si>
    <t>Property Damage Base Rate</t>
  </si>
  <si>
    <t>MI Property Damage Base Rate</t>
  </si>
  <si>
    <t>Final Property Damage Base Rate</t>
  </si>
  <si>
    <t>Property Damage Base Premium</t>
  </si>
  <si>
    <t>PD Increased Limit Factor</t>
  </si>
  <si>
    <t>Step 5C</t>
  </si>
  <si>
    <t>PD Premium Before Discounts</t>
  </si>
  <si>
    <t>Step 5D</t>
  </si>
  <si>
    <t>Step 5E</t>
  </si>
  <si>
    <t>Step 5F</t>
  </si>
  <si>
    <t>step 6</t>
  </si>
  <si>
    <t>Pro-rated Ext NO PD Premium</t>
  </si>
  <si>
    <t>Step 7A</t>
  </si>
  <si>
    <t>MI Medical Base Rate</t>
  </si>
  <si>
    <t>Step 7B</t>
  </si>
  <si>
    <t>Final Medical Base Rate</t>
  </si>
  <si>
    <t>Step 7C</t>
  </si>
  <si>
    <t>Medical Base Premium</t>
  </si>
  <si>
    <t>Medical Increased Limit Factor</t>
  </si>
  <si>
    <t>Step 8C</t>
  </si>
  <si>
    <t>Medical Premium Before Discounts</t>
  </si>
  <si>
    <t>Step 8D</t>
  </si>
  <si>
    <t>Step 8E</t>
  </si>
  <si>
    <t>Pro-rated Ext NO Medical Premium</t>
  </si>
  <si>
    <t>Applicability for BI</t>
  </si>
  <si>
    <t>Applicability for PD</t>
  </si>
  <si>
    <t>Applicability for Medical</t>
  </si>
  <si>
    <t>Applicability for Comprehensive</t>
  </si>
  <si>
    <t>Applicability for Collision</t>
  </si>
  <si>
    <t>Ext Nonowned Bodily Injury Premium</t>
  </si>
  <si>
    <t>Ext Nonowned Property Damage Premium</t>
  </si>
  <si>
    <t>Ext Nonowned Medical Premium</t>
  </si>
  <si>
    <t>Ext Nonowned Comprehensive Premium</t>
  </si>
  <si>
    <t>Ext Nonowned Collision Premium</t>
  </si>
  <si>
    <t>Charge Expense Fees Ext Nonowned Liability</t>
  </si>
  <si>
    <t>Charge Expense Fees Ext Nonowned PD</t>
  </si>
  <si>
    <t>Charge Expense Fees Ext Nonowned Medical</t>
  </si>
  <si>
    <t>Charge Expense Fees Ext Nonowned Comprehensive</t>
  </si>
  <si>
    <t>Charge Expense Fees Ext Nonowned Collision</t>
  </si>
  <si>
    <t>Named Non-owner</t>
  </si>
  <si>
    <t>Bodily Injury</t>
  </si>
  <si>
    <t>Named Non-Owner Bodily Injury Premium</t>
  </si>
  <si>
    <t>Named Non-Owner Property Damage Premium</t>
  </si>
  <si>
    <t>Named Non-onwer Medical Factor</t>
  </si>
  <si>
    <t>Step3</t>
  </si>
  <si>
    <t>Named Non-Owner Medical Payments Premium</t>
  </si>
  <si>
    <t>UM Base Premium</t>
  </si>
  <si>
    <t>Named Non-owner UM BI Factor</t>
  </si>
  <si>
    <t>Named Non-owner UM PD Factor</t>
  </si>
  <si>
    <t>Named Non-Owner Uninsured Motorist Bodily Injury Premium</t>
  </si>
  <si>
    <t>Named Non-Owner Uninsured Motorist PD Premium</t>
  </si>
  <si>
    <t>UIM BI Base Premium</t>
  </si>
  <si>
    <t>Named Non-owner UIM BI Factor</t>
  </si>
  <si>
    <t>Named Non-Owner Underinsured Motorist Bodily Injury Premium</t>
  </si>
  <si>
    <t>MotorHome</t>
  </si>
  <si>
    <t xml:space="preserve">BI Premium with MH Rating Factor </t>
  </si>
  <si>
    <t>MotorHome BI Premium</t>
  </si>
  <si>
    <t xml:space="preserve">PD Premium with MH Rating Factor </t>
  </si>
  <si>
    <t>MotorHome PD Premium</t>
  </si>
  <si>
    <t>Step 9C</t>
  </si>
  <si>
    <t>PIP Deductible &amp; Copay discount</t>
  </si>
  <si>
    <t>Only for PIP</t>
  </si>
  <si>
    <t>Medical Deductible &amp; copay discount</t>
  </si>
  <si>
    <t>Only for medical</t>
  </si>
  <si>
    <t>PIP work loss rejection discount</t>
  </si>
  <si>
    <t>Only for MD</t>
  </si>
  <si>
    <t>Only for Medical</t>
  </si>
  <si>
    <t xml:space="preserve">Medical Premium with MH Rating Factor </t>
  </si>
  <si>
    <t>Step 13B</t>
  </si>
  <si>
    <t>MotorHome Medical Premium</t>
  </si>
  <si>
    <t>Step 14</t>
  </si>
  <si>
    <t>UM Bodily Injury Base Rate</t>
  </si>
  <si>
    <t>Step 14C</t>
  </si>
  <si>
    <t>UM Bodily Injury Base Premium</t>
  </si>
  <si>
    <t>Step 15</t>
  </si>
  <si>
    <t>UM BI Increased Limit Factor</t>
  </si>
  <si>
    <t xml:space="preserve">UM BI Premium with MH Rating Factor </t>
  </si>
  <si>
    <t>Step 16A</t>
  </si>
  <si>
    <t>Coverage Code</t>
  </si>
  <si>
    <t>BI</t>
  </si>
  <si>
    <t>PPI</t>
  </si>
  <si>
    <t>UMPD</t>
  </si>
  <si>
    <t>UM</t>
  </si>
  <si>
    <t>COMP</t>
  </si>
  <si>
    <t>COLL</t>
  </si>
  <si>
    <t>MEDPM</t>
  </si>
  <si>
    <t>LEASE</t>
  </si>
  <si>
    <t>RENT</t>
  </si>
  <si>
    <t>TRNEX</t>
  </si>
  <si>
    <t>TL</t>
  </si>
  <si>
    <t>TR</t>
  </si>
  <si>
    <t>CRRS</t>
  </si>
  <si>
    <t>STS</t>
  </si>
  <si>
    <t>CITTX</t>
  </si>
  <si>
    <t>PCL</t>
  </si>
  <si>
    <t>UNDUM</t>
  </si>
  <si>
    <t>CP</t>
  </si>
  <si>
    <t>MHC</t>
  </si>
  <si>
    <t>MotorHome UM BI Premium</t>
  </si>
  <si>
    <t>Comprehensive Base Rate</t>
  </si>
  <si>
    <t>Step 17A</t>
  </si>
  <si>
    <t>Step 17B</t>
  </si>
  <si>
    <t>Step 17C</t>
  </si>
  <si>
    <t>Step 17D</t>
  </si>
  <si>
    <t>Step 18</t>
  </si>
  <si>
    <t>Comprehensive Base Premium</t>
  </si>
  <si>
    <t>Step 19</t>
  </si>
  <si>
    <t xml:space="preserve">Comprehensive Premium with MH Rating Factor </t>
  </si>
  <si>
    <t>Step 20</t>
  </si>
  <si>
    <t>Step 20A</t>
  </si>
  <si>
    <t>MotorHome COMP Premium</t>
  </si>
  <si>
    <t>Step 25</t>
  </si>
  <si>
    <t>Collision Base Rate</t>
  </si>
  <si>
    <t>Step 25A</t>
  </si>
  <si>
    <t>Step 25B</t>
  </si>
  <si>
    <t>Step 25C</t>
  </si>
  <si>
    <t>Step 25D</t>
  </si>
  <si>
    <t>Step 26</t>
  </si>
  <si>
    <t>Collision Base Premium</t>
  </si>
  <si>
    <t>Step 27</t>
  </si>
  <si>
    <t xml:space="preserve">Collision Premium with MH Rating Factor </t>
  </si>
  <si>
    <t>Step 28</t>
  </si>
  <si>
    <t>Step 28A</t>
  </si>
  <si>
    <t>MotorHome COLL Premium</t>
  </si>
  <si>
    <t>Step 33</t>
  </si>
  <si>
    <t>Rental based on comprehensive</t>
  </si>
  <si>
    <t>Rental based on collision</t>
  </si>
  <si>
    <t>Step 34</t>
  </si>
  <si>
    <t>Step 34A</t>
  </si>
  <si>
    <t>MotorHome Rental Premium</t>
  </si>
  <si>
    <t>Motor Home Bodily Injury Premium</t>
  </si>
  <si>
    <t>Motor Home Property Damage Premium</t>
  </si>
  <si>
    <t>Motor Home Medical Premium</t>
  </si>
  <si>
    <t>Motor Home UM Bodily Injury Premium</t>
  </si>
  <si>
    <t>Motor Home COMP Premium</t>
  </si>
  <si>
    <t>Motor Home COLL Premium</t>
  </si>
  <si>
    <t>Motor Home Rental Premium</t>
  </si>
  <si>
    <t>Recreational Trailer</t>
  </si>
  <si>
    <t>Comprehensive Deducitlbe Factor</t>
  </si>
  <si>
    <t>Collision Deductible Factor</t>
  </si>
  <si>
    <t>Comprehensive Result</t>
  </si>
  <si>
    <t>Collision Result</t>
  </si>
  <si>
    <t>Recreational Trailer Comprehensive Premium</t>
  </si>
  <si>
    <t>Recreational Trailer Collision Premium</t>
  </si>
  <si>
    <t>Medical Payments Premium</t>
  </si>
  <si>
    <t>Pro-rated Medical Payments Premium</t>
  </si>
  <si>
    <t>Original Cost New / 100</t>
  </si>
  <si>
    <t>Recreational Trailer Contents Applicability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</si>
</sst>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"/>
    <numFmt numFmtId="169" formatCode="&quot;$&quot;#,##0.0"/>
    <numFmt numFmtId="170" formatCode="&quot;$&quot;#,##0.00"/>
    <numFmt numFmtId="171" formatCode="[$-409]dddd\,\ mmmm\ dd\,\ yyyy"/>
  </numFmts>
  <fonts count="22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b/>
      <sz val="12"/>
      <color indexed="17"/>
      <name val="Arial"/>
      <family val="2"/>
    </font>
    <font>
      <b/>
      <sz val="12"/>
      <color indexed="10"/>
      <name val="Arial"/>
      <family val="2"/>
    </font>
    <font>
      <b/>
      <sz val="16"/>
      <name val="Arial"/>
      <family val="2"/>
    </font>
    <font>
      <sz val="14"/>
      <color indexed="12"/>
      <name val="Arial"/>
      <family val="2"/>
    </font>
    <font>
      <sz val="10"/>
      <color indexed="12"/>
      <name val="Arial"/>
      <family val="2"/>
    </font>
    <font>
      <sz val="16"/>
      <color indexed="53"/>
      <name val="Arial"/>
      <family val="2"/>
    </font>
    <font>
      <sz val="9"/>
      <name val="Arial"/>
      <family val="2"/>
    </font>
    <font>
      <sz val="16"/>
      <name val="Arial"/>
      <family val="2"/>
    </font>
    <font>
      <b/>
      <sz val="16"/>
      <color indexed="53"/>
      <name val="Arial"/>
      <family val="2"/>
    </font>
    <font>
      <sz val="10"/>
      <color indexed="57"/>
      <name val="Arial"/>
      <family val="2"/>
    </font>
    <font>
      <b/>
      <sz val="10"/>
      <color indexed="17"/>
      <name val="Arial"/>
      <family val="2"/>
    </font>
    <font>
      <b/>
      <sz val="8"/>
      <color indexed="8"/>
      <name val="Tahoma"/>
      <family val="0"/>
    </font>
    <font>
      <sz val="8"/>
      <color indexed="8"/>
      <name val="Tahoma"/>
      <family val="0"/>
    </font>
    <font>
      <sz val="8"/>
      <name val="Arial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medium">
        <color indexed="53"/>
      </right>
      <top style="medium">
        <color indexed="53"/>
      </top>
      <bottom>
        <color indexed="63"/>
      </bottom>
    </border>
    <border>
      <left style="medium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3"/>
      </right>
      <top>
        <color indexed="63"/>
      </top>
      <bottom>
        <color indexed="63"/>
      </bottom>
    </border>
    <border>
      <left style="medium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medium">
        <color indexed="53"/>
      </right>
      <top>
        <color indexed="63"/>
      </top>
      <bottom style="medium">
        <color indexed="5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0" applyAlignment="1">
      <alignment vertical="top" wrapText="1"/>
    </xf>
    <xf numFmtId="49" fontId="0" fillId="0" borderId="0" xfId="0" applyNumberFormat="1" applyFont="1" applyAlignment="1">
      <alignment vertical="top" wrapText="1"/>
    </xf>
    <xf numFmtId="49" fontId="7" fillId="0" borderId="0" xfId="0" applyNumberFormat="1" applyFont="1" applyAlignment="1">
      <alignment horizontal="center" vertical="top" wrapText="1"/>
    </xf>
    <xf numFmtId="49" fontId="7" fillId="0" borderId="0" xfId="0" applyNumberFormat="1" applyFont="1" applyAlignment="1">
      <alignment horizontal="left" vertical="top" wrapText="1"/>
    </xf>
    <xf numFmtId="49" fontId="1" fillId="0" borderId="0" xfId="0" applyNumberFormat="1" applyFont="1" applyAlignment="1">
      <alignment vertical="top" wrapText="1"/>
    </xf>
    <xf numFmtId="0" fontId="1" fillId="0" borderId="0" xfId="0" applyFont="1" applyAlignment="1">
      <alignment vertical="top" wrapText="1"/>
    </xf>
    <xf numFmtId="49" fontId="3" fillId="0" borderId="0" xfId="0" applyNumberFormat="1" applyFont="1" applyAlignment="1">
      <alignment horizontal="left" vertical="top" wrapText="1" indent="1"/>
    </xf>
    <xf numFmtId="0" fontId="3" fillId="2" borderId="1" xfId="0" applyFont="1" applyFill="1" applyBorder="1" applyAlignment="1">
      <alignment horizontal="right" vertical="top" wrapText="1"/>
    </xf>
    <xf numFmtId="14" fontId="3" fillId="2" borderId="1" xfId="0" applyNumberFormat="1" applyFont="1" applyFill="1" applyBorder="1" applyAlignment="1">
      <alignment horizontal="right" vertical="top" wrapText="1"/>
    </xf>
    <xf numFmtId="0" fontId="3" fillId="2" borderId="1" xfId="0" applyNumberFormat="1" applyFont="1" applyFill="1" applyBorder="1" applyAlignment="1">
      <alignment horizontal="right" vertical="top" wrapText="1"/>
    </xf>
    <xf numFmtId="49" fontId="0" fillId="0" borderId="0" xfId="0" applyNumberFormat="1" applyFont="1" applyAlignment="1">
      <alignment horizontal="left" vertical="top" wrapText="1" indent="1"/>
    </xf>
    <xf numFmtId="14" fontId="3" fillId="0" borderId="0" xfId="0" applyNumberFormat="1" applyFont="1" applyAlignment="1">
      <alignment horizontal="right" vertical="top" wrapText="1"/>
    </xf>
    <xf numFmtId="0" fontId="0" fillId="0" borderId="1" xfId="0" applyFont="1" applyFill="1" applyBorder="1" applyAlignment="1">
      <alignment horizontal="right" vertical="top" wrapText="1"/>
    </xf>
    <xf numFmtId="0" fontId="3" fillId="0" borderId="0" xfId="0" applyFont="1" applyAlignment="1">
      <alignment horizontal="right" vertical="top" wrapText="1"/>
    </xf>
    <xf numFmtId="0" fontId="0" fillId="0" borderId="0" xfId="0" applyFont="1" applyAlignment="1">
      <alignment vertical="top" wrapText="1"/>
    </xf>
    <xf numFmtId="49" fontId="3" fillId="0" borderId="0" xfId="0" applyNumberFormat="1" applyFont="1" applyAlignment="1">
      <alignment horizontal="left" vertical="top" wrapText="1" indent="2"/>
    </xf>
    <xf numFmtId="49" fontId="0" fillId="0" borderId="0" xfId="0" applyNumberFormat="1" applyFont="1" applyAlignment="1">
      <alignment horizontal="left" vertical="top" wrapText="1" indent="2"/>
    </xf>
    <xf numFmtId="49" fontId="1" fillId="0" borderId="0" xfId="0" applyNumberFormat="1" applyFont="1" applyAlignment="1">
      <alignment horizontal="left" vertical="top" wrapText="1"/>
    </xf>
    <xf numFmtId="0" fontId="0" fillId="0" borderId="0" xfId="0" applyAlignment="1">
      <alignment horizontal="left" vertical="top" wrapText="1" indent="1"/>
    </xf>
    <xf numFmtId="0" fontId="3" fillId="2" borderId="1" xfId="0" applyFont="1" applyFill="1" applyBorder="1" applyAlignment="1">
      <alignment horizontal="left" vertical="top" wrapText="1" indent="1"/>
    </xf>
    <xf numFmtId="49" fontId="0" fillId="0" borderId="0" xfId="0" applyNumberFormat="1" applyFont="1" applyAlignment="1">
      <alignment horizontal="left" vertical="top" wrapText="1"/>
    </xf>
    <xf numFmtId="0" fontId="3" fillId="2" borderId="1" xfId="0" applyFont="1" applyFill="1" applyBorder="1" applyAlignment="1">
      <alignment vertical="top" wrapText="1"/>
    </xf>
    <xf numFmtId="0" fontId="0" fillId="0" borderId="0" xfId="0" applyFill="1" applyAlignment="1">
      <alignment vertical="top" wrapText="1"/>
    </xf>
    <xf numFmtId="49" fontId="0" fillId="0" borderId="0" xfId="0" applyNumberFormat="1" applyFont="1" applyFill="1" applyAlignment="1">
      <alignment horizontal="left" vertical="top" wrapText="1" inden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left" vertical="top" wrapText="1" indent="1"/>
    </xf>
    <xf numFmtId="0" fontId="0" fillId="0" borderId="0" xfId="0" applyAlignment="1">
      <alignment horizontal="left" vertical="top" wrapText="1"/>
    </xf>
    <xf numFmtId="49" fontId="1" fillId="0" borderId="0" xfId="0" applyNumberFormat="1" applyFont="1" applyAlignment="1">
      <alignment horizontal="left" vertical="top" wrapText="1" indent="1"/>
    </xf>
    <xf numFmtId="0" fontId="17" fillId="0" borderId="0" xfId="0" applyFont="1" applyAlignment="1">
      <alignment horizontal="right" vertical="top" wrapText="1"/>
    </xf>
    <xf numFmtId="0" fontId="1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 indent="1"/>
    </xf>
    <xf numFmtId="0" fontId="0" fillId="0" borderId="0" xfId="0" applyAlignment="1">
      <alignment horizontal="left"/>
    </xf>
    <xf numFmtId="0" fontId="11" fillId="0" borderId="0" xfId="0" applyFont="1" applyAlignment="1">
      <alignment/>
    </xf>
    <xf numFmtId="0" fontId="11" fillId="0" borderId="1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0" fillId="3" borderId="1" xfId="0" applyFill="1" applyBorder="1" applyAlignment="1">
      <alignment/>
    </xf>
    <xf numFmtId="0" fontId="11" fillId="0" borderId="0" xfId="0" applyFont="1" applyAlignment="1">
      <alignment/>
    </xf>
    <xf numFmtId="0" fontId="0" fillId="0" borderId="0" xfId="0" applyFill="1" applyBorder="1" applyAlignment="1">
      <alignment/>
    </xf>
    <xf numFmtId="0" fontId="11" fillId="0" borderId="0" xfId="0" applyFont="1" applyAlignment="1">
      <alignment horizontal="left" indent="1"/>
    </xf>
    <xf numFmtId="0" fontId="11" fillId="3" borderId="1" xfId="0" applyFont="1" applyFill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left" indent="1"/>
    </xf>
    <xf numFmtId="0" fontId="11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11" fillId="4" borderId="1" xfId="0" applyFont="1" applyFill="1" applyBorder="1" applyAlignment="1">
      <alignment/>
    </xf>
    <xf numFmtId="0" fontId="11" fillId="0" borderId="0" xfId="0" applyFont="1" applyBorder="1" applyAlignment="1">
      <alignment horizontal="left"/>
    </xf>
    <xf numFmtId="0" fontId="0" fillId="0" borderId="1" xfId="0" applyFont="1" applyFill="1" applyBorder="1" applyAlignment="1">
      <alignment/>
    </xf>
    <xf numFmtId="0" fontId="11" fillId="0" borderId="1" xfId="0" applyFont="1" applyBorder="1" applyAlignment="1">
      <alignment/>
    </xf>
    <xf numFmtId="0" fontId="11" fillId="0" borderId="0" xfId="0" applyFont="1" applyAlignment="1">
      <alignment horizontal="left"/>
    </xf>
    <xf numFmtId="0" fontId="11" fillId="3" borderId="2" xfId="0" applyFont="1" applyFill="1" applyBorder="1" applyAlignment="1">
      <alignment/>
    </xf>
    <xf numFmtId="9" fontId="0" fillId="3" borderId="1" xfId="0" applyNumberFormat="1" applyFill="1" applyBorder="1" applyAlignment="1">
      <alignment/>
    </xf>
    <xf numFmtId="0" fontId="11" fillId="0" borderId="0" xfId="0" applyFont="1" applyFill="1" applyBorder="1" applyAlignment="1">
      <alignment/>
    </xf>
    <xf numFmtId="0" fontId="0" fillId="0" borderId="1" xfId="0" applyFill="1" applyBorder="1" applyAlignment="1">
      <alignment/>
    </xf>
    <xf numFmtId="0" fontId="0" fillId="3" borderId="1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69" fontId="0" fillId="3" borderId="1" xfId="0" applyNumberFormat="1" applyFill="1" applyBorder="1" applyAlignment="1">
      <alignment/>
    </xf>
    <xf numFmtId="169" fontId="0" fillId="0" borderId="0" xfId="0" applyNumberFormat="1" applyAlignment="1">
      <alignment/>
    </xf>
    <xf numFmtId="3" fontId="0" fillId="3" borderId="1" xfId="0" applyNumberFormat="1" applyFill="1" applyBorder="1" applyAlignment="1">
      <alignment/>
    </xf>
    <xf numFmtId="3" fontId="0" fillId="3" borderId="0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11" fillId="0" borderId="0" xfId="0" applyFont="1" applyAlignment="1">
      <alignment horizontal="left" indent="2"/>
    </xf>
    <xf numFmtId="0" fontId="11" fillId="3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/>
    </xf>
    <xf numFmtId="49" fontId="8" fillId="0" borderId="0" xfId="0" applyNumberFormat="1" applyFont="1" applyAlignment="1">
      <alignment horizontal="center" vertical="top" wrapText="1"/>
    </xf>
    <xf numFmtId="49" fontId="1" fillId="0" borderId="3" xfId="0" applyNumberFormat="1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vertical="top" wrapText="1"/>
    </xf>
    <xf numFmtId="0" fontId="1" fillId="0" borderId="4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49" fontId="1" fillId="0" borderId="6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7" xfId="0" applyFont="1" applyFill="1" applyBorder="1" applyAlignment="1">
      <alignment/>
    </xf>
    <xf numFmtId="49" fontId="0" fillId="0" borderId="6" xfId="0" applyNumberFormat="1" applyFont="1" applyFill="1" applyBorder="1" applyAlignment="1">
      <alignment horizontal="left" vertical="top" wrapText="1"/>
    </xf>
    <xf numFmtId="0" fontId="2" fillId="0" borderId="0" xfId="0" applyNumberFormat="1" applyFont="1" applyFill="1" applyBorder="1" applyAlignment="1">
      <alignment horizontal="right" vertical="top" wrapText="1"/>
    </xf>
    <xf numFmtId="0" fontId="2" fillId="0" borderId="7" xfId="0" applyNumberFormat="1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right"/>
    </xf>
    <xf numFmtId="0" fontId="1" fillId="0" borderId="7" xfId="0" applyFont="1" applyFill="1" applyBorder="1" applyAlignment="1">
      <alignment horizontal="right"/>
    </xf>
    <xf numFmtId="0" fontId="0" fillId="0" borderId="6" xfId="0" applyNumberFormat="1" applyFont="1" applyFill="1" applyBorder="1" applyAlignment="1">
      <alignment horizontal="left" vertical="top" wrapText="1"/>
    </xf>
    <xf numFmtId="170" fontId="2" fillId="0" borderId="0" xfId="0" applyNumberFormat="1" applyFont="1" applyFill="1" applyBorder="1" applyAlignment="1">
      <alignment vertical="top" wrapText="1"/>
    </xf>
    <xf numFmtId="170" fontId="2" fillId="0" borderId="7" xfId="0" applyNumberFormat="1" applyFont="1" applyFill="1" applyBorder="1" applyAlignment="1">
      <alignment vertical="top" wrapText="1"/>
    </xf>
    <xf numFmtId="168" fontId="2" fillId="0" borderId="0" xfId="0" applyNumberFormat="1" applyFont="1" applyFill="1" applyBorder="1" applyAlignment="1">
      <alignment vertical="top" wrapText="1"/>
    </xf>
    <xf numFmtId="168" fontId="2" fillId="0" borderId="7" xfId="0" applyNumberFormat="1" applyFont="1" applyFill="1" applyBorder="1" applyAlignment="1">
      <alignment vertical="top" wrapText="1"/>
    </xf>
    <xf numFmtId="0" fontId="2" fillId="0" borderId="0" xfId="0" applyFont="1" applyAlignment="1">
      <alignment/>
    </xf>
    <xf numFmtId="0" fontId="2" fillId="0" borderId="6" xfId="0" applyNumberFormat="1" applyFont="1" applyFill="1" applyBorder="1" applyAlignment="1">
      <alignment horizontal="left" vertical="top" wrapText="1"/>
    </xf>
    <xf numFmtId="0" fontId="2" fillId="0" borderId="0" xfId="0" applyFont="1" applyAlignment="1">
      <alignment vertical="top" wrapText="1"/>
    </xf>
    <xf numFmtId="168" fontId="2" fillId="0" borderId="0" xfId="0" applyNumberFormat="1" applyFont="1" applyFill="1" applyBorder="1" applyAlignment="1">
      <alignment/>
    </xf>
    <xf numFmtId="168" fontId="2" fillId="0" borderId="7" xfId="0" applyNumberFormat="1" applyFont="1" applyFill="1" applyBorder="1" applyAlignment="1">
      <alignment/>
    </xf>
    <xf numFmtId="0" fontId="0" fillId="0" borderId="6" xfId="0" applyFill="1" applyBorder="1" applyAlignment="1">
      <alignment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170" fontId="2" fillId="0" borderId="0" xfId="0" applyNumberFormat="1" applyFont="1" applyFill="1" applyBorder="1" applyAlignment="1">
      <alignment/>
    </xf>
    <xf numFmtId="0" fontId="0" fillId="0" borderId="7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9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Alignment="1">
      <alignment vertical="top"/>
    </xf>
    <xf numFmtId="0" fontId="12" fillId="0" borderId="0" xfId="0" applyFont="1" applyFill="1" applyAlignment="1">
      <alignment vertical="top"/>
    </xf>
    <xf numFmtId="0" fontId="9" fillId="0" borderId="0" xfId="0" applyFont="1" applyFill="1" applyAlignment="1">
      <alignment horizontal="center" vertical="top"/>
    </xf>
    <xf numFmtId="0" fontId="15" fillId="0" borderId="0" xfId="0" applyFont="1" applyFill="1" applyAlignment="1">
      <alignment horizontal="left" vertical="top"/>
    </xf>
    <xf numFmtId="0" fontId="1" fillId="0" borderId="0" xfId="0" applyFont="1" applyAlignment="1">
      <alignment vertical="top"/>
    </xf>
    <xf numFmtId="0" fontId="0" fillId="0" borderId="0" xfId="0" applyFill="1" applyAlignment="1">
      <alignment vertical="top"/>
    </xf>
    <xf numFmtId="0" fontId="13" fillId="0" borderId="0" xfId="0" applyFont="1" applyAlignment="1">
      <alignment vertical="top"/>
    </xf>
    <xf numFmtId="0" fontId="5" fillId="0" borderId="0" xfId="0" applyFont="1" applyAlignment="1">
      <alignment vertical="top"/>
    </xf>
    <xf numFmtId="1" fontId="0" fillId="0" borderId="0" xfId="0" applyNumberFormat="1" applyAlignment="1">
      <alignment vertical="top"/>
    </xf>
    <xf numFmtId="2" fontId="0" fillId="0" borderId="0" xfId="0" applyNumberFormat="1" applyAlignment="1">
      <alignment vertical="top"/>
    </xf>
    <xf numFmtId="0" fontId="0" fillId="0" borderId="0" xfId="0" applyFont="1" applyAlignment="1">
      <alignment vertical="top"/>
    </xf>
    <xf numFmtId="0" fontId="14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0" fontId="4" fillId="0" borderId="0" xfId="0" applyFont="1" applyAlignment="1">
      <alignment horizontal="left" inden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" fontId="1" fillId="0" borderId="0" xfId="0" applyNumberFormat="1" applyFont="1" applyAlignment="1">
      <alignment vertical="top"/>
    </xf>
    <xf numFmtId="168" fontId="0" fillId="0" borderId="0" xfId="0" applyNumberFormat="1" applyFont="1" applyFill="1" applyBorder="1" applyAlignment="1">
      <alignment vertical="top" wrapText="1"/>
    </xf>
    <xf numFmtId="168" fontId="0" fillId="0" borderId="0" xfId="0" applyNumberFormat="1" applyAlignment="1">
      <alignment vertical="top"/>
    </xf>
    <xf numFmtId="168" fontId="1" fillId="0" borderId="0" xfId="0" applyNumberFormat="1" applyFont="1" applyAlignment="1">
      <alignment vertical="top"/>
    </xf>
    <xf numFmtId="0" fontId="12" fillId="0" borderId="0" xfId="0" applyFont="1" applyFill="1" applyAlignment="1">
      <alignment horizontal="left" vertical="center" indent="4" shrinkToFit="1"/>
    </xf>
    <xf numFmtId="0" fontId="9" fillId="0" borderId="0" xfId="0" applyFont="1" applyFill="1" applyAlignment="1">
      <alignment horizontal="left" vertical="top"/>
    </xf>
    <xf numFmtId="0" fontId="12" fillId="0" borderId="0" xfId="0" applyFont="1" applyFill="1" applyAlignment="1">
      <alignment horizontal="left" vertical="top"/>
    </xf>
    <xf numFmtId="0" fontId="1" fillId="0" borderId="0" xfId="0" applyFont="1" applyFill="1" applyAlignment="1">
      <alignment vertical="top"/>
    </xf>
    <xf numFmtId="0" fontId="16" fillId="0" borderId="0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16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1" xfId="0" applyFont="1" applyFill="1" applyBorder="1" applyAlignment="1">
      <alignment horizontal="right" vertical="top" wrapText="1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6" fontId="3" fillId="2" borderId="1" xfId="0" applyNumberFormat="1" applyFont="1" applyFill="1" applyBorder="1" applyAlignment="1">
      <alignment horizontal="right" vertical="top" wrapText="1"/>
    </xf>
    <xf numFmtId="4" fontId="3" fillId="2" borderId="1" xfId="0" applyNumberFormat="1" applyFont="1" applyFill="1" applyBorder="1" applyAlignment="1">
      <alignment horizontal="right" vertical="top" wrapText="1"/>
    </xf>
    <xf numFmtId="49" fontId="1" fillId="0" borderId="4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left" vertical="top" wrapText="1"/>
    </xf>
    <xf numFmtId="49" fontId="0" fillId="0" borderId="0" xfId="0" applyNumberFormat="1" applyFont="1" applyFill="1" applyBorder="1" applyAlignment="1">
      <alignment horizontal="left" vertical="top" wrapText="1"/>
    </xf>
    <xf numFmtId="0" fontId="0" fillId="0" borderId="0" xfId="0" applyNumberFormat="1" applyFont="1" applyFill="1" applyBorder="1" applyAlignment="1">
      <alignment horizontal="left" vertical="top" wrapText="1"/>
    </xf>
    <xf numFmtId="0" fontId="2" fillId="0" borderId="0" xfId="0" applyNumberFormat="1" applyFont="1" applyFill="1" applyBorder="1" applyAlignment="1">
      <alignment horizontal="left" vertical="top" wrapText="1"/>
    </xf>
    <xf numFmtId="14" fontId="3" fillId="2" borderId="0" xfId="0" applyNumberFormat="1" applyFont="1" applyFill="1" applyBorder="1" applyAlignment="1">
      <alignment horizontal="righ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externalLink" Target="externalLinks/externalLink1.xml" /><Relationship Id="rId3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mp\PARating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tes and Factors"/>
      <sheetName val="Input"/>
      <sheetName val="Output"/>
      <sheetName val="BI"/>
      <sheetName val="PD"/>
      <sheetName val="PIP"/>
      <sheetName val="UM"/>
      <sheetName val="UIM"/>
      <sheetName val="UMUIM"/>
      <sheetName val="COMP"/>
      <sheetName val="COLL"/>
      <sheetName val="AutoLoan"/>
      <sheetName val="Towing"/>
      <sheetName val="Rental"/>
      <sheetName val="Comm Equipment"/>
      <sheetName val="Ext NonOwned"/>
      <sheetName val="MotorHome"/>
      <sheetName val="Recreational Trailer"/>
      <sheetName val="BI Other"/>
      <sheetName val="PD Other"/>
      <sheetName val="Medical Other"/>
      <sheetName val="UM Other"/>
      <sheetName val="COMP Other"/>
      <sheetName val="COLL Other"/>
      <sheetName val="Classification"/>
      <sheetName val="Veh Applicabilit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comments" Target="../comments29.xml" /><Relationship Id="rId2" Type="http://schemas.openxmlformats.org/officeDocument/2006/relationships/vmlDrawing" Target="../drawings/vmlDrawing4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comments" Target="../comments30.xml" /><Relationship Id="rId2" Type="http://schemas.openxmlformats.org/officeDocument/2006/relationships/vmlDrawing" Target="../drawings/vmlDrawing5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8"/>
  <sheetViews>
    <sheetView tabSelected="1" zoomScale="75" zoomScaleNormal="75" workbookViewId="0" topLeftCell="A1">
      <pane xSplit="1" topLeftCell="B1" activePane="topRight" state="frozen"/>
      <selection pane="topLeft" activeCell="G16" sqref="G16"/>
      <selection pane="topRight" activeCell="B19" sqref="B19"/>
    </sheetView>
  </sheetViews>
  <sheetFormatPr defaultColWidth="9.140625" defaultRowHeight="12.75"/>
  <cols>
    <col min="1" max="1" width="47.57421875" style="2" bestFit="1" customWidth="1"/>
    <col min="2" max="2" width="14.7109375" style="1" customWidth="1"/>
    <col min="3" max="3" width="9.421875" style="1" bestFit="1" customWidth="1"/>
    <col min="4" max="4" width="10.00390625" style="1" customWidth="1"/>
    <col min="5" max="7" width="9.421875" style="1" bestFit="1" customWidth="1"/>
    <col min="8" max="8" width="64.28125" style="1" customWidth="1"/>
    <col min="9" max="9" width="36.28125" style="1" customWidth="1"/>
    <col min="10" max="16384" width="9.140625" style="1" customWidth="1"/>
  </cols>
  <sheetData>
    <row r="1" spans="1:7" ht="15.75" customHeight="1">
      <c r="A1" s="3" t="s">
        <v>225</v>
      </c>
      <c r="B1" s="4"/>
      <c r="C1" s="4"/>
      <c r="D1" s="4"/>
      <c r="E1" s="4"/>
      <c r="F1" s="4"/>
      <c r="G1" s="4"/>
    </row>
    <row r="2" spans="1:8" s="6" customFormat="1" ht="12.75">
      <c r="A2" s="5" t="s">
        <v>226</v>
      </c>
      <c r="B2" s="6" t="s">
        <v>227</v>
      </c>
      <c r="C2" s="6" t="s">
        <v>228</v>
      </c>
      <c r="H2" s="6" t="s">
        <v>229</v>
      </c>
    </row>
    <row r="3" spans="1:8" ht="12.75">
      <c r="A3" s="7" t="s">
        <v>230</v>
      </c>
      <c r="B3" s="8"/>
      <c r="H3" s="1" t="s">
        <v>231</v>
      </c>
    </row>
    <row r="4" spans="1:8" ht="12.75">
      <c r="A4" s="7" t="s">
        <v>232</v>
      </c>
      <c r="B4" s="9"/>
      <c r="H4" s="1" t="s">
        <v>233</v>
      </c>
    </row>
    <row r="5" spans="1:8" ht="12.75">
      <c r="A5" s="7" t="s">
        <v>234</v>
      </c>
      <c r="B5" s="8"/>
      <c r="H5" s="1" t="s">
        <v>235</v>
      </c>
    </row>
    <row r="6" spans="1:2" ht="12.75">
      <c r="A6" s="7" t="s">
        <v>236</v>
      </c>
      <c r="B6" s="8"/>
    </row>
    <row r="7" spans="1:2" ht="12.75">
      <c r="A7" s="7" t="s">
        <v>237</v>
      </c>
      <c r="B7" s="8"/>
    </row>
    <row r="8" spans="1:2" ht="12.75">
      <c r="A8" s="7" t="s">
        <v>238</v>
      </c>
      <c r="B8" s="8"/>
    </row>
    <row r="9" spans="1:8" ht="12.75">
      <c r="A9" s="7" t="s">
        <v>239</v>
      </c>
      <c r="B9" s="10"/>
      <c r="H9" s="1" t="s">
        <v>240</v>
      </c>
    </row>
    <row r="10" spans="1:2" ht="12" customHeight="1">
      <c r="A10" s="11"/>
      <c r="B10" s="12"/>
    </row>
    <row r="11" spans="1:8" ht="12.75">
      <c r="A11" s="7" t="s">
        <v>241</v>
      </c>
      <c r="B11" s="8"/>
      <c r="H11" s="1" t="s">
        <v>242</v>
      </c>
    </row>
    <row r="12" spans="1:2" ht="12.75">
      <c r="A12" s="7" t="s">
        <v>243</v>
      </c>
      <c r="B12" s="9"/>
    </row>
    <row r="13" spans="1:8" ht="12.75">
      <c r="A13" s="7" t="s">
        <v>244</v>
      </c>
      <c r="B13" s="9"/>
      <c r="H13" s="1" t="s">
        <v>245</v>
      </c>
    </row>
    <row r="14" spans="1:8" ht="12.75">
      <c r="A14" s="7" t="s">
        <v>246</v>
      </c>
      <c r="B14" s="9"/>
      <c r="H14" s="1" t="s">
        <v>247</v>
      </c>
    </row>
    <row r="15" spans="1:8" ht="25.5" customHeight="1">
      <c r="A15" s="7" t="s">
        <v>248</v>
      </c>
      <c r="B15" s="8"/>
      <c r="H15" s="1" t="s">
        <v>249</v>
      </c>
    </row>
    <row r="16" spans="1:2" ht="12.75">
      <c r="A16" s="7" t="s">
        <v>250</v>
      </c>
      <c r="B16" s="8"/>
    </row>
    <row r="17" spans="1:2" ht="12.75">
      <c r="A17" s="7" t="s">
        <v>251</v>
      </c>
      <c r="B17" s="8"/>
    </row>
    <row r="18" spans="1:8" ht="12.75">
      <c r="A18" s="7" t="s">
        <v>252</v>
      </c>
      <c r="B18" s="8"/>
      <c r="H18" s="1" t="s">
        <v>253</v>
      </c>
    </row>
    <row r="19" spans="1:8" ht="12.75">
      <c r="A19" s="11" t="s">
        <v>254</v>
      </c>
      <c r="B19" s="13">
        <f>IF(SUM(Is_Multicar_Vehicle)&gt;1,1,0)</f>
        <v>0</v>
      </c>
      <c r="C19" s="1">
        <f>SUM(Is_Multicar_Vehicle)</f>
        <v>1</v>
      </c>
      <c r="D19" s="1">
        <f>INDEX(Is_Multicar_Vehicle,1)</f>
        <v>1</v>
      </c>
      <c r="H19" s="1" t="s">
        <v>255</v>
      </c>
    </row>
    <row r="20" spans="1:2" ht="12.75">
      <c r="A20" s="11"/>
      <c r="B20" s="14"/>
    </row>
    <row r="21" spans="1:8" s="15" customFormat="1" ht="12.75">
      <c r="A21" s="5" t="s">
        <v>256</v>
      </c>
      <c r="B21" s="6" t="s">
        <v>227</v>
      </c>
      <c r="C21" s="6" t="s">
        <v>228</v>
      </c>
      <c r="H21" s="6" t="s">
        <v>229</v>
      </c>
    </row>
    <row r="22" spans="1:2" ht="12.75">
      <c r="A22" s="11" t="s">
        <v>257</v>
      </c>
      <c r="B22" s="14"/>
    </row>
    <row r="23" spans="1:8" ht="12.75" customHeight="1">
      <c r="A23" s="16" t="s">
        <v>258</v>
      </c>
      <c r="B23" s="9" t="str">
        <f>IF(CSL_for_BI_and_PD&lt;&gt;"","S#CSLSPLIT01","S#CSLSPLIT02")</f>
        <v>S#CSLSPLIT02</v>
      </c>
      <c r="H23" s="1" t="s">
        <v>259</v>
      </c>
    </row>
    <row r="24" spans="1:2" ht="12.75" customHeight="1">
      <c r="A24" s="16" t="s">
        <v>260</v>
      </c>
      <c r="B24" s="9" t="str">
        <f>IF(CSL_for_BI_and_PD&lt;&gt;"","CSL","Split Limit")</f>
        <v>Split Limit</v>
      </c>
    </row>
    <row r="25" spans="1:2" ht="12.75">
      <c r="A25" s="16" t="s">
        <v>262</v>
      </c>
      <c r="B25" s="8"/>
    </row>
    <row r="26" spans="1:2" s="15" customFormat="1" ht="12.75">
      <c r="A26" s="16" t="s">
        <v>263</v>
      </c>
      <c r="B26" s="142"/>
    </row>
    <row r="27" spans="1:2" ht="12.75">
      <c r="A27" s="16" t="s">
        <v>264</v>
      </c>
      <c r="B27" s="8"/>
    </row>
    <row r="28" spans="1:2" s="15" customFormat="1" ht="12.75">
      <c r="A28" s="16" t="s">
        <v>265</v>
      </c>
      <c r="B28" s="8"/>
    </row>
    <row r="29" spans="1:2" ht="12.75">
      <c r="A29" s="16" t="s">
        <v>266</v>
      </c>
      <c r="B29" s="8"/>
    </row>
    <row r="30" spans="1:2" s="15" customFormat="1" ht="12.75">
      <c r="A30" s="16" t="s">
        <v>267</v>
      </c>
      <c r="B30" s="8"/>
    </row>
    <row r="31" spans="1:8" ht="25.5" customHeight="1">
      <c r="A31" s="16" t="s">
        <v>268</v>
      </c>
      <c r="B31" s="8"/>
      <c r="H31" s="1" t="s">
        <v>269</v>
      </c>
    </row>
    <row r="32" spans="1:2" ht="25.5" customHeight="1">
      <c r="A32" s="16" t="s">
        <v>127</v>
      </c>
      <c r="B32" s="8"/>
    </row>
    <row r="33" spans="1:2" ht="12.75">
      <c r="A33" s="16"/>
      <c r="B33" s="8"/>
    </row>
    <row r="34" spans="1:2" ht="12.75">
      <c r="A34" s="16" t="s">
        <v>270</v>
      </c>
      <c r="B34" s="8"/>
    </row>
    <row r="35" spans="1:2" s="15" customFormat="1" ht="12.75">
      <c r="A35" s="16" t="s">
        <v>271</v>
      </c>
      <c r="B35" s="8"/>
    </row>
    <row r="36" spans="1:2" ht="12.75">
      <c r="A36" s="16" t="s">
        <v>272</v>
      </c>
      <c r="B36" s="9"/>
    </row>
    <row r="37" spans="1:2" s="15" customFormat="1" ht="12.75">
      <c r="A37" s="16" t="s">
        <v>273</v>
      </c>
      <c r="B37" s="10"/>
    </row>
    <row r="38" spans="1:2" ht="12.75">
      <c r="A38" s="16"/>
      <c r="B38" s="9"/>
    </row>
    <row r="39" spans="1:2" ht="12.75">
      <c r="A39" s="16" t="s">
        <v>274</v>
      </c>
      <c r="B39" s="8"/>
    </row>
    <row r="40" spans="1:2" s="15" customFormat="1" ht="12.75">
      <c r="A40" s="16" t="s">
        <v>275</v>
      </c>
      <c r="B40" s="8"/>
    </row>
    <row r="41" spans="1:2" ht="12.75">
      <c r="A41" s="16" t="s">
        <v>276</v>
      </c>
      <c r="B41" s="9"/>
    </row>
    <row r="42" spans="1:2" s="15" customFormat="1" ht="12.75">
      <c r="A42" s="16" t="s">
        <v>277</v>
      </c>
      <c r="B42" s="143"/>
    </row>
    <row r="43" spans="1:2" ht="12.75">
      <c r="A43" s="16" t="s">
        <v>278</v>
      </c>
      <c r="B43" s="9"/>
    </row>
    <row r="44" spans="1:8" ht="12.75">
      <c r="A44" s="16" t="s">
        <v>279</v>
      </c>
      <c r="B44" s="9"/>
      <c r="H44" s="1" t="s">
        <v>280</v>
      </c>
    </row>
    <row r="45" spans="1:8" ht="12.75">
      <c r="A45" s="16" t="s">
        <v>281</v>
      </c>
      <c r="B45" s="9"/>
      <c r="H45" s="1" t="s">
        <v>282</v>
      </c>
    </row>
    <row r="46" spans="1:2" ht="12.75">
      <c r="A46" s="16"/>
      <c r="B46" s="9"/>
    </row>
    <row r="47" spans="1:2" ht="12.75">
      <c r="A47" s="16" t="s">
        <v>283</v>
      </c>
      <c r="B47" s="8"/>
    </row>
    <row r="48" spans="1:2" s="15" customFormat="1" ht="12.75">
      <c r="A48" s="16" t="s">
        <v>284</v>
      </c>
      <c r="B48" s="8"/>
    </row>
    <row r="49" spans="1:2" ht="12.75">
      <c r="A49" s="16" t="s">
        <v>285</v>
      </c>
      <c r="B49" s="9"/>
    </row>
    <row r="50" spans="1:2" ht="12.75">
      <c r="A50" s="16"/>
      <c r="B50" s="9"/>
    </row>
    <row r="51" spans="1:8" ht="25.5" customHeight="1">
      <c r="A51" s="16" t="s">
        <v>128</v>
      </c>
      <c r="B51" s="8"/>
      <c r="H51" s="1" t="s">
        <v>287</v>
      </c>
    </row>
    <row r="52" spans="1:2" ht="25.5" customHeight="1">
      <c r="A52" s="16" t="s">
        <v>286</v>
      </c>
      <c r="B52" s="8"/>
    </row>
    <row r="53" spans="1:2" ht="25.5">
      <c r="A53" s="16" t="s">
        <v>129</v>
      </c>
      <c r="B53" s="9"/>
    </row>
    <row r="54" spans="1:2" ht="12.75">
      <c r="A54" s="16" t="s">
        <v>288</v>
      </c>
      <c r="B54" s="149"/>
    </row>
    <row r="55" spans="1:2" ht="12.75">
      <c r="A55" s="17"/>
      <c r="B55" s="12"/>
    </row>
    <row r="56" spans="1:2" ht="12.75">
      <c r="A56" s="11" t="s">
        <v>289</v>
      </c>
      <c r="B56" s="12"/>
    </row>
    <row r="57" spans="1:8" ht="12.75">
      <c r="A57" s="16" t="s">
        <v>290</v>
      </c>
      <c r="B57" s="8"/>
      <c r="H57" s="1" t="s">
        <v>253</v>
      </c>
    </row>
    <row r="58" spans="1:2" ht="12.75">
      <c r="A58" s="16" t="s">
        <v>291</v>
      </c>
      <c r="B58" s="8"/>
    </row>
    <row r="59" spans="1:8" ht="12.75">
      <c r="A59" s="16" t="s">
        <v>292</v>
      </c>
      <c r="B59" s="9"/>
      <c r="H59" s="1" t="s">
        <v>293</v>
      </c>
    </row>
    <row r="60" spans="1:8" ht="12.75">
      <c r="A60" s="16" t="s">
        <v>294</v>
      </c>
      <c r="B60" s="9"/>
      <c r="H60" s="1" t="s">
        <v>295</v>
      </c>
    </row>
    <row r="61" spans="1:8" ht="12.75">
      <c r="A61" s="16" t="s">
        <v>296</v>
      </c>
      <c r="B61" s="9"/>
      <c r="H61" s="1" t="s">
        <v>253</v>
      </c>
    </row>
    <row r="62" spans="1:8" ht="12.75">
      <c r="A62" s="16" t="s">
        <v>297</v>
      </c>
      <c r="B62" s="9"/>
      <c r="H62" s="1" t="s">
        <v>298</v>
      </c>
    </row>
    <row r="63" spans="1:8" ht="12.75">
      <c r="A63" s="16" t="s">
        <v>299</v>
      </c>
      <c r="B63" s="9"/>
      <c r="H63" s="1" t="s">
        <v>298</v>
      </c>
    </row>
    <row r="64" spans="1:8" ht="12.75">
      <c r="A64" s="16" t="s">
        <v>300</v>
      </c>
      <c r="B64" s="9"/>
      <c r="H64" s="1" t="s">
        <v>298</v>
      </c>
    </row>
    <row r="65" spans="1:8" ht="12.75">
      <c r="A65" s="16" t="s">
        <v>301</v>
      </c>
      <c r="B65" s="8"/>
      <c r="H65" s="1" t="s">
        <v>302</v>
      </c>
    </row>
    <row r="66" spans="1:2" ht="12.75">
      <c r="A66" s="11"/>
      <c r="B66" s="14"/>
    </row>
    <row r="67" spans="1:2" ht="12.75">
      <c r="A67" s="11" t="s">
        <v>303</v>
      </c>
      <c r="B67" s="12"/>
    </row>
    <row r="68" spans="1:8" ht="12.75">
      <c r="A68" s="16" t="s">
        <v>304</v>
      </c>
      <c r="B68" s="9"/>
      <c r="H68" s="1" t="s">
        <v>305</v>
      </c>
    </row>
    <row r="69" spans="1:8" ht="12.75">
      <c r="A69" s="16" t="s">
        <v>306</v>
      </c>
      <c r="B69" s="9"/>
      <c r="H69" s="1" t="s">
        <v>307</v>
      </c>
    </row>
    <row r="70" spans="1:2" ht="12.75">
      <c r="A70" s="16" t="s">
        <v>308</v>
      </c>
      <c r="B70" s="9"/>
    </row>
    <row r="71" spans="1:2" ht="12.75">
      <c r="A71" s="16" t="s">
        <v>309</v>
      </c>
      <c r="B71" s="8"/>
    </row>
    <row r="72" spans="1:2" ht="12.75">
      <c r="A72" s="16" t="s">
        <v>310</v>
      </c>
      <c r="B72" s="9"/>
    </row>
    <row r="73" spans="1:2" ht="12.75">
      <c r="A73" s="16" t="s">
        <v>311</v>
      </c>
      <c r="B73" s="9"/>
    </row>
    <row r="74" spans="1:2" ht="12.75">
      <c r="A74" s="16" t="s">
        <v>312</v>
      </c>
      <c r="B74" s="9"/>
    </row>
    <row r="75" spans="1:2" ht="12.75">
      <c r="A75" s="16" t="s">
        <v>313</v>
      </c>
      <c r="B75" s="9"/>
    </row>
    <row r="76" spans="1:2" ht="12.75">
      <c r="A76" s="16" t="s">
        <v>314</v>
      </c>
      <c r="B76" s="9"/>
    </row>
    <row r="77" spans="1:2" ht="12.75">
      <c r="A77" s="16" t="s">
        <v>315</v>
      </c>
      <c r="B77" s="9"/>
    </row>
    <row r="78" spans="1:2" ht="12.75">
      <c r="A78" s="16" t="s">
        <v>316</v>
      </c>
      <c r="B78" s="8"/>
    </row>
    <row r="79" spans="1:8" ht="12.75">
      <c r="A79" s="7" t="s">
        <v>317</v>
      </c>
      <c r="B79" s="8"/>
      <c r="H79" s="1" t="s">
        <v>318</v>
      </c>
    </row>
    <row r="80" spans="1:2" ht="12" customHeight="1">
      <c r="A80" s="11" t="s">
        <v>319</v>
      </c>
      <c r="B80" s="12"/>
    </row>
    <row r="81" spans="1:2" s="15" customFormat="1" ht="12.75">
      <c r="A81" s="16" t="s">
        <v>320</v>
      </c>
      <c r="B81" s="10"/>
    </row>
    <row r="82" spans="1:8" ht="12.75">
      <c r="A82" s="16" t="s">
        <v>321</v>
      </c>
      <c r="B82" s="9"/>
      <c r="H82" s="1" t="s">
        <v>322</v>
      </c>
    </row>
    <row r="83" spans="1:8" ht="12.75">
      <c r="A83" s="16" t="s">
        <v>323</v>
      </c>
      <c r="B83" s="9"/>
      <c r="H83" s="1" t="s">
        <v>324</v>
      </c>
    </row>
    <row r="84" spans="1:2" ht="12.75">
      <c r="A84" s="16" t="s">
        <v>325</v>
      </c>
      <c r="B84" s="9"/>
    </row>
    <row r="85" spans="1:2" ht="12.75">
      <c r="A85" s="11" t="s">
        <v>326</v>
      </c>
      <c r="B85" s="14"/>
    </row>
    <row r="86" spans="1:8" ht="12.75">
      <c r="A86" s="16" t="s">
        <v>327</v>
      </c>
      <c r="B86" s="9"/>
      <c r="H86" s="1" t="s">
        <v>328</v>
      </c>
    </row>
    <row r="87" spans="1:2" ht="12.75">
      <c r="A87" s="16" t="s">
        <v>329</v>
      </c>
      <c r="B87" s="9"/>
    </row>
    <row r="88" spans="1:2" ht="12.75">
      <c r="A88" s="16" t="s">
        <v>330</v>
      </c>
      <c r="B88" s="8"/>
    </row>
    <row r="89" spans="1:8" ht="12.75">
      <c r="A89" s="16" t="s">
        <v>331</v>
      </c>
      <c r="B89" s="9"/>
      <c r="H89" s="1" t="s">
        <v>305</v>
      </c>
    </row>
    <row r="90" spans="1:8" ht="12.75">
      <c r="A90" s="7" t="s">
        <v>332</v>
      </c>
      <c r="B90" s="9"/>
      <c r="H90" s="1" t="s">
        <v>333</v>
      </c>
    </row>
    <row r="91" spans="1:8" ht="12.75">
      <c r="A91" s="7" t="s">
        <v>334</v>
      </c>
      <c r="B91" s="9"/>
      <c r="H91" s="1" t="s">
        <v>335</v>
      </c>
    </row>
    <row r="92" spans="1:2" ht="12.75">
      <c r="A92" s="11" t="s">
        <v>336</v>
      </c>
      <c r="B92" s="12"/>
    </row>
    <row r="93" spans="1:2" ht="12.75">
      <c r="A93" s="16" t="s">
        <v>337</v>
      </c>
      <c r="B93" s="9"/>
    </row>
    <row r="94" spans="1:8" ht="12.75">
      <c r="A94" s="16" t="s">
        <v>338</v>
      </c>
      <c r="B94" s="9"/>
      <c r="H94" s="1" t="s">
        <v>305</v>
      </c>
    </row>
    <row r="95" spans="1:2" ht="12.75">
      <c r="A95" s="11" t="s">
        <v>339</v>
      </c>
      <c r="B95" s="12"/>
    </row>
    <row r="96" spans="1:2" ht="12.75">
      <c r="A96" s="16" t="s">
        <v>340</v>
      </c>
      <c r="B96" s="9"/>
    </row>
    <row r="97" spans="1:2" ht="12.75">
      <c r="A97" s="16" t="s">
        <v>341</v>
      </c>
      <c r="B97" s="9"/>
    </row>
    <row r="98" spans="1:2" ht="12.75">
      <c r="A98" s="16" t="s">
        <v>342</v>
      </c>
      <c r="B98" s="8"/>
    </row>
    <row r="99" spans="1:2" ht="12.75">
      <c r="A99" s="16" t="s">
        <v>343</v>
      </c>
      <c r="B99" s="8"/>
    </row>
    <row r="100" spans="1:8" ht="12.75">
      <c r="A100" s="16" t="s">
        <v>344</v>
      </c>
      <c r="B100" s="8"/>
      <c r="H100" s="1" t="s">
        <v>345</v>
      </c>
    </row>
    <row r="101" spans="1:2" ht="12.75">
      <c r="A101" s="16" t="s">
        <v>346</v>
      </c>
      <c r="B101" s="8"/>
    </row>
    <row r="102" spans="1:8" ht="25.5">
      <c r="A102" s="16" t="s">
        <v>347</v>
      </c>
      <c r="B102" s="8"/>
      <c r="H102" s="1" t="s">
        <v>348</v>
      </c>
    </row>
    <row r="103" spans="1:2" ht="12.75">
      <c r="A103" s="16" t="s">
        <v>349</v>
      </c>
      <c r="B103" s="8"/>
    </row>
    <row r="104" spans="1:8" ht="12.75">
      <c r="A104" s="16" t="s">
        <v>350</v>
      </c>
      <c r="B104" s="8"/>
      <c r="H104" s="1" t="s">
        <v>351</v>
      </c>
    </row>
    <row r="105" spans="1:2" ht="12.75">
      <c r="A105" s="16" t="s">
        <v>352</v>
      </c>
      <c r="B105" s="8"/>
    </row>
    <row r="106" spans="1:8" ht="12.75">
      <c r="A106" s="16" t="s">
        <v>353</v>
      </c>
      <c r="B106" s="8"/>
      <c r="H106" s="1" t="s">
        <v>253</v>
      </c>
    </row>
    <row r="107" spans="1:8" ht="12.75">
      <c r="A107" s="16" t="s">
        <v>354</v>
      </c>
      <c r="B107" s="8"/>
      <c r="H107" s="1" t="s">
        <v>253</v>
      </c>
    </row>
    <row r="108" spans="1:8" ht="12.75">
      <c r="A108" s="16" t="s">
        <v>355</v>
      </c>
      <c r="B108" s="8"/>
      <c r="H108" s="1" t="s">
        <v>253</v>
      </c>
    </row>
    <row r="109" spans="1:8" ht="12.75">
      <c r="A109" s="16" t="s">
        <v>356</v>
      </c>
      <c r="B109" s="8"/>
      <c r="H109" s="1" t="s">
        <v>253</v>
      </c>
    </row>
    <row r="110" spans="1:8" ht="12.75">
      <c r="A110" s="16" t="s">
        <v>357</v>
      </c>
      <c r="B110" s="8"/>
      <c r="H110" s="1" t="s">
        <v>253</v>
      </c>
    </row>
    <row r="111" spans="1:2" ht="12.75">
      <c r="A111" s="11"/>
      <c r="B111" s="14"/>
    </row>
    <row r="112" spans="1:7" s="6" customFormat="1" ht="12.75">
      <c r="A112" s="18" t="s">
        <v>358</v>
      </c>
      <c r="B112" s="6" t="s">
        <v>359</v>
      </c>
      <c r="C112" s="6" t="s">
        <v>360</v>
      </c>
      <c r="D112" s="6" t="s">
        <v>361</v>
      </c>
      <c r="E112" s="6" t="s">
        <v>362</v>
      </c>
      <c r="F112" s="6" t="s">
        <v>363</v>
      </c>
      <c r="G112" s="6" t="s">
        <v>364</v>
      </c>
    </row>
    <row r="113" spans="1:7" ht="12.75">
      <c r="A113" s="7" t="s">
        <v>365</v>
      </c>
      <c r="B113" s="8"/>
      <c r="C113" s="8"/>
      <c r="D113" s="8"/>
      <c r="E113" s="8"/>
      <c r="F113" s="8"/>
      <c r="G113" s="8"/>
    </row>
    <row r="114" spans="1:7" ht="12.75">
      <c r="A114" s="7" t="s">
        <v>366</v>
      </c>
      <c r="B114" s="8"/>
      <c r="C114" s="8"/>
      <c r="D114" s="8"/>
      <c r="E114" s="8"/>
      <c r="F114" s="8"/>
      <c r="G114" s="8"/>
    </row>
    <row r="115" spans="1:8" ht="12.75">
      <c r="A115" s="7" t="s">
        <v>367</v>
      </c>
      <c r="B115" s="8"/>
      <c r="C115" s="8"/>
      <c r="D115" s="8"/>
      <c r="E115" s="8"/>
      <c r="F115" s="8"/>
      <c r="G115" s="8"/>
      <c r="H115" s="1" t="s">
        <v>253</v>
      </c>
    </row>
    <row r="116" spans="1:7" ht="12.75">
      <c r="A116" s="7" t="s">
        <v>368</v>
      </c>
      <c r="B116" s="8"/>
      <c r="C116" s="8"/>
      <c r="D116" s="8"/>
      <c r="E116" s="8"/>
      <c r="F116" s="8"/>
      <c r="G116" s="8"/>
    </row>
    <row r="117" spans="1:7" ht="12.75">
      <c r="A117" s="7" t="s">
        <v>369</v>
      </c>
      <c r="B117" s="8"/>
      <c r="C117" s="8"/>
      <c r="D117" s="8"/>
      <c r="E117" s="8"/>
      <c r="F117" s="8"/>
      <c r="G117" s="8"/>
    </row>
    <row r="118" spans="1:8" ht="12.75">
      <c r="A118" s="7" t="s">
        <v>370</v>
      </c>
      <c r="B118" s="8"/>
      <c r="C118" s="8"/>
      <c r="D118" s="8"/>
      <c r="E118" s="8"/>
      <c r="F118" s="8"/>
      <c r="G118" s="8"/>
      <c r="H118" s="1" t="s">
        <v>371</v>
      </c>
    </row>
    <row r="119" spans="1:8" ht="12.75">
      <c r="A119" s="7" t="s">
        <v>372</v>
      </c>
      <c r="B119" s="8"/>
      <c r="C119" s="8"/>
      <c r="D119" s="8"/>
      <c r="E119" s="8"/>
      <c r="F119" s="8"/>
      <c r="G119" s="8"/>
      <c r="H119" s="1" t="s">
        <v>373</v>
      </c>
    </row>
    <row r="120" spans="1:8" ht="12.75">
      <c r="A120" s="7" t="s">
        <v>374</v>
      </c>
      <c r="B120" s="8"/>
      <c r="C120" s="8"/>
      <c r="D120" s="8"/>
      <c r="E120" s="8"/>
      <c r="F120" s="8"/>
      <c r="G120" s="8"/>
      <c r="H120" s="1" t="s">
        <v>253</v>
      </c>
    </row>
    <row r="121" spans="1:7" ht="12.75">
      <c r="A121" s="7" t="s">
        <v>375</v>
      </c>
      <c r="B121" s="14" t="str">
        <f aca="true" t="shared" si="0" ref="B121:G121">IF(B120="Y","N","Y")</f>
        <v>Y</v>
      </c>
      <c r="C121" s="14" t="str">
        <f t="shared" si="0"/>
        <v>Y</v>
      </c>
      <c r="D121" s="14" t="str">
        <f t="shared" si="0"/>
        <v>Y</v>
      </c>
      <c r="E121" s="14" t="str">
        <f t="shared" si="0"/>
        <v>Y</v>
      </c>
      <c r="F121" s="14" t="str">
        <f t="shared" si="0"/>
        <v>Y</v>
      </c>
      <c r="G121" s="14" t="str">
        <f t="shared" si="0"/>
        <v>Y</v>
      </c>
    </row>
    <row r="122" spans="1:8" ht="12.75">
      <c r="A122" s="7" t="s">
        <v>376</v>
      </c>
      <c r="B122" s="8"/>
      <c r="C122" s="8"/>
      <c r="D122" s="8"/>
      <c r="E122" s="8"/>
      <c r="F122" s="8"/>
      <c r="G122" s="8"/>
      <c r="H122" s="1" t="s">
        <v>253</v>
      </c>
    </row>
    <row r="123" spans="1:7" ht="12.75">
      <c r="A123" s="11" t="s">
        <v>377</v>
      </c>
      <c r="B123" s="14"/>
      <c r="C123" s="14"/>
      <c r="D123" s="14"/>
      <c r="E123" s="14"/>
      <c r="F123" s="14"/>
      <c r="G123" s="14"/>
    </row>
    <row r="124" spans="1:7" s="19" customFormat="1" ht="12.75">
      <c r="A124" s="16" t="s">
        <v>378</v>
      </c>
      <c r="B124" s="20"/>
      <c r="C124" s="20"/>
      <c r="D124" s="20"/>
      <c r="E124" s="20"/>
      <c r="F124" s="20"/>
      <c r="G124" s="20"/>
    </row>
    <row r="125" spans="1:7" s="19" customFormat="1" ht="12.75">
      <c r="A125" s="16" t="s">
        <v>379</v>
      </c>
      <c r="B125" s="20"/>
      <c r="C125" s="20"/>
      <c r="D125" s="20"/>
      <c r="E125" s="20"/>
      <c r="F125" s="20"/>
      <c r="G125" s="20"/>
    </row>
    <row r="126" spans="1:7" s="19" customFormat="1" ht="12.75">
      <c r="A126" s="16" t="s">
        <v>380</v>
      </c>
      <c r="B126" s="20"/>
      <c r="C126" s="20"/>
      <c r="D126" s="20"/>
      <c r="E126" s="20"/>
      <c r="F126" s="20"/>
      <c r="G126" s="20"/>
    </row>
    <row r="127" spans="1:7" s="19" customFormat="1" ht="12.75">
      <c r="A127" s="16" t="s">
        <v>381</v>
      </c>
      <c r="B127" s="20"/>
      <c r="C127" s="20"/>
      <c r="D127" s="20"/>
      <c r="E127" s="20"/>
      <c r="F127" s="20"/>
      <c r="G127" s="20"/>
    </row>
    <row r="128" spans="1:7" s="19" customFormat="1" ht="12.75">
      <c r="A128" s="16" t="s">
        <v>382</v>
      </c>
      <c r="B128" s="20"/>
      <c r="C128" s="20"/>
      <c r="D128" s="20"/>
      <c r="E128" s="20"/>
      <c r="F128" s="20"/>
      <c r="G128" s="20"/>
    </row>
    <row r="129" spans="1:7" s="19" customFormat="1" ht="12.75">
      <c r="A129" s="16" t="s">
        <v>383</v>
      </c>
      <c r="B129" s="20"/>
      <c r="C129" s="20"/>
      <c r="D129" s="20"/>
      <c r="E129" s="20"/>
      <c r="F129" s="20"/>
      <c r="G129" s="20"/>
    </row>
    <row r="130" spans="1:7" ht="12.75">
      <c r="A130" s="7" t="s">
        <v>384</v>
      </c>
      <c r="B130" s="8"/>
      <c r="C130" s="8"/>
      <c r="D130" s="8"/>
      <c r="E130" s="8"/>
      <c r="F130" s="8"/>
      <c r="G130" s="8"/>
    </row>
    <row r="131" spans="1:7" ht="12.75">
      <c r="A131" s="7" t="s">
        <v>385</v>
      </c>
      <c r="B131" s="8"/>
      <c r="C131" s="8"/>
      <c r="D131" s="8"/>
      <c r="E131" s="8"/>
      <c r="F131" s="8"/>
      <c r="G131" s="8"/>
    </row>
    <row r="132" spans="1:8" ht="12.75">
      <c r="A132" s="7" t="s">
        <v>386</v>
      </c>
      <c r="B132" s="8"/>
      <c r="C132" s="8"/>
      <c r="D132" s="8"/>
      <c r="E132" s="8"/>
      <c r="F132" s="8"/>
      <c r="G132" s="8"/>
      <c r="H132" s="1" t="s">
        <v>387</v>
      </c>
    </row>
    <row r="133" spans="1:8" ht="12.75">
      <c r="A133" s="7" t="s">
        <v>388</v>
      </c>
      <c r="B133" s="8"/>
      <c r="C133" s="8"/>
      <c r="D133" s="8"/>
      <c r="E133" s="8"/>
      <c r="F133" s="8"/>
      <c r="G133" s="8"/>
      <c r="H133" s="1" t="s">
        <v>387</v>
      </c>
    </row>
    <row r="134" spans="1:8" ht="12.75">
      <c r="A134" s="7" t="s">
        <v>389</v>
      </c>
      <c r="B134" s="8"/>
      <c r="C134" s="8"/>
      <c r="D134" s="8"/>
      <c r="E134" s="8"/>
      <c r="F134" s="8"/>
      <c r="G134" s="8"/>
      <c r="H134" s="1" t="s">
        <v>253</v>
      </c>
    </row>
    <row r="135" spans="1:8" ht="25.5">
      <c r="A135" s="7" t="s">
        <v>390</v>
      </c>
      <c r="B135" s="8"/>
      <c r="C135" s="8"/>
      <c r="D135" s="8"/>
      <c r="E135" s="8"/>
      <c r="F135" s="8"/>
      <c r="G135" s="8"/>
      <c r="H135" s="1" t="s">
        <v>253</v>
      </c>
    </row>
    <row r="136" spans="1:8" ht="12.75">
      <c r="A136" s="7" t="s">
        <v>391</v>
      </c>
      <c r="B136" s="8"/>
      <c r="C136" s="8"/>
      <c r="D136" s="8"/>
      <c r="E136" s="8"/>
      <c r="F136" s="8"/>
      <c r="G136" s="8"/>
      <c r="H136" s="1" t="s">
        <v>253</v>
      </c>
    </row>
    <row r="137" spans="1:8" ht="12.75">
      <c r="A137" s="7" t="s">
        <v>392</v>
      </c>
      <c r="B137" s="8"/>
      <c r="C137" s="8"/>
      <c r="D137" s="8"/>
      <c r="E137" s="8"/>
      <c r="F137" s="8"/>
      <c r="G137" s="8"/>
      <c r="H137" s="1" t="s">
        <v>253</v>
      </c>
    </row>
    <row r="138" spans="1:8" ht="12.75">
      <c r="A138" s="7" t="s">
        <v>393</v>
      </c>
      <c r="B138" s="8"/>
      <c r="C138" s="8"/>
      <c r="D138" s="8"/>
      <c r="E138" s="8"/>
      <c r="F138" s="8"/>
      <c r="G138" s="8"/>
      <c r="H138" s="1" t="s">
        <v>394</v>
      </c>
    </row>
    <row r="139" spans="1:8" ht="12.75">
      <c r="A139" s="7" t="s">
        <v>395</v>
      </c>
      <c r="B139" s="8"/>
      <c r="C139" s="8"/>
      <c r="D139" s="8"/>
      <c r="E139" s="8"/>
      <c r="F139" s="8"/>
      <c r="G139" s="8"/>
      <c r="H139" s="1" t="s">
        <v>396</v>
      </c>
    </row>
    <row r="140" spans="1:8" ht="25.5">
      <c r="A140" s="7" t="s">
        <v>397</v>
      </c>
      <c r="B140" s="8"/>
      <c r="C140" s="8"/>
      <c r="D140" s="8"/>
      <c r="E140" s="8"/>
      <c r="F140" s="8"/>
      <c r="G140" s="8"/>
      <c r="H140" s="1" t="s">
        <v>253</v>
      </c>
    </row>
    <row r="141" spans="1:8" ht="12.75">
      <c r="A141" s="7" t="s">
        <v>398</v>
      </c>
      <c r="B141" s="8"/>
      <c r="C141" s="8"/>
      <c r="D141" s="8"/>
      <c r="E141" s="8"/>
      <c r="F141" s="8"/>
      <c r="G141" s="8"/>
      <c r="H141" s="1" t="s">
        <v>253</v>
      </c>
    </row>
    <row r="142" spans="1:8" ht="12.75">
      <c r="A142" s="7" t="s">
        <v>399</v>
      </c>
      <c r="B142" s="8"/>
      <c r="C142" s="8"/>
      <c r="D142" s="8"/>
      <c r="E142" s="8"/>
      <c r="F142" s="8"/>
      <c r="G142" s="8"/>
      <c r="H142" s="1" t="s">
        <v>253</v>
      </c>
    </row>
    <row r="143" spans="1:8" ht="12.75">
      <c r="A143" s="7" t="s">
        <v>400</v>
      </c>
      <c r="B143" s="8"/>
      <c r="C143" s="8"/>
      <c r="D143" s="8"/>
      <c r="E143" s="8"/>
      <c r="F143" s="8"/>
      <c r="G143" s="8"/>
      <c r="H143" s="1" t="s">
        <v>253</v>
      </c>
    </row>
    <row r="144" spans="1:8" ht="12.75">
      <c r="A144" s="7" t="s">
        <v>401</v>
      </c>
      <c r="B144" s="8"/>
      <c r="C144" s="8"/>
      <c r="D144" s="8"/>
      <c r="E144" s="8"/>
      <c r="F144" s="8"/>
      <c r="G144" s="8"/>
      <c r="H144" s="1" t="s">
        <v>253</v>
      </c>
    </row>
    <row r="145" spans="1:8" ht="12.75" customHeight="1">
      <c r="A145" s="7" t="s">
        <v>402</v>
      </c>
      <c r="B145" s="8"/>
      <c r="C145" s="8"/>
      <c r="D145" s="8"/>
      <c r="E145" s="8"/>
      <c r="F145" s="8"/>
      <c r="G145" s="8"/>
      <c r="H145" s="1" t="s">
        <v>253</v>
      </c>
    </row>
    <row r="146" spans="1:8" ht="25.5">
      <c r="A146" s="7" t="s">
        <v>403</v>
      </c>
      <c r="B146" s="8"/>
      <c r="C146" s="8"/>
      <c r="D146" s="8"/>
      <c r="E146" s="8"/>
      <c r="F146" s="8"/>
      <c r="G146" s="8"/>
      <c r="H146" s="1" t="s">
        <v>253</v>
      </c>
    </row>
    <row r="147" spans="1:8" ht="25.5" customHeight="1">
      <c r="A147" s="7" t="s">
        <v>404</v>
      </c>
      <c r="B147" s="8"/>
      <c r="C147" s="8"/>
      <c r="D147" s="8"/>
      <c r="E147" s="8"/>
      <c r="F147" s="8"/>
      <c r="G147" s="8"/>
      <c r="H147" s="1" t="s">
        <v>405</v>
      </c>
    </row>
    <row r="148" spans="1:8" ht="12.75" customHeight="1">
      <c r="A148" s="7" t="s">
        <v>406</v>
      </c>
      <c r="B148" s="8"/>
      <c r="C148" s="8"/>
      <c r="D148" s="8"/>
      <c r="E148" s="8"/>
      <c r="F148" s="8"/>
      <c r="G148" s="8"/>
      <c r="H148" s="1" t="s">
        <v>407</v>
      </c>
    </row>
    <row r="149" spans="1:8" ht="12.75">
      <c r="A149" s="7" t="s">
        <v>408</v>
      </c>
      <c r="B149" s="8"/>
      <c r="C149" s="8"/>
      <c r="D149" s="8"/>
      <c r="E149" s="8"/>
      <c r="F149" s="8"/>
      <c r="G149" s="8"/>
      <c r="H149" s="1" t="s">
        <v>253</v>
      </c>
    </row>
    <row r="150" spans="1:8" ht="12.75">
      <c r="A150" s="7" t="s">
        <v>409</v>
      </c>
      <c r="B150" s="8"/>
      <c r="C150" s="8"/>
      <c r="D150" s="8"/>
      <c r="E150" s="8"/>
      <c r="F150" s="8"/>
      <c r="G150" s="8"/>
      <c r="H150" s="1" t="s">
        <v>253</v>
      </c>
    </row>
    <row r="151" spans="1:8" ht="12.75">
      <c r="A151" s="7" t="s">
        <v>410</v>
      </c>
      <c r="B151" s="8"/>
      <c r="C151" s="8"/>
      <c r="D151" s="8"/>
      <c r="E151" s="8"/>
      <c r="F151" s="8"/>
      <c r="G151" s="8"/>
      <c r="H151" s="1" t="s">
        <v>253</v>
      </c>
    </row>
    <row r="152" spans="1:8" ht="12.75">
      <c r="A152" s="7" t="s">
        <v>411</v>
      </c>
      <c r="B152" s="8"/>
      <c r="C152" s="8"/>
      <c r="D152" s="8"/>
      <c r="E152" s="8"/>
      <c r="F152" s="8"/>
      <c r="G152" s="8"/>
      <c r="H152" s="1" t="s">
        <v>253</v>
      </c>
    </row>
    <row r="153" spans="1:8" ht="12.75">
      <c r="A153" s="7" t="s">
        <v>412</v>
      </c>
      <c r="B153" s="8"/>
      <c r="C153" s="8"/>
      <c r="D153" s="8"/>
      <c r="E153" s="8"/>
      <c r="F153" s="8"/>
      <c r="G153" s="8"/>
      <c r="H153" s="1" t="s">
        <v>253</v>
      </c>
    </row>
    <row r="154" spans="1:8" ht="25.5">
      <c r="A154" s="7" t="s">
        <v>413</v>
      </c>
      <c r="B154" s="8"/>
      <c r="C154" s="8"/>
      <c r="D154" s="8"/>
      <c r="E154" s="8"/>
      <c r="F154" s="8"/>
      <c r="G154" s="8"/>
      <c r="H154" s="1" t="s">
        <v>253</v>
      </c>
    </row>
    <row r="155" spans="1:8" ht="12.75">
      <c r="A155" s="7" t="s">
        <v>414</v>
      </c>
      <c r="B155" s="8"/>
      <c r="C155" s="8"/>
      <c r="D155" s="8"/>
      <c r="E155" s="8"/>
      <c r="F155" s="8"/>
      <c r="G155" s="8"/>
      <c r="H155" s="1" t="s">
        <v>415</v>
      </c>
    </row>
    <row r="156" spans="1:8" ht="12.75">
      <c r="A156" s="7" t="s">
        <v>416</v>
      </c>
      <c r="B156" s="8"/>
      <c r="C156" s="8"/>
      <c r="D156" s="8"/>
      <c r="E156" s="8"/>
      <c r="F156" s="8"/>
      <c r="G156" s="8"/>
      <c r="H156" s="1" t="s">
        <v>253</v>
      </c>
    </row>
    <row r="157" spans="1:8" ht="12.75">
      <c r="A157" s="7" t="s">
        <v>417</v>
      </c>
      <c r="B157" s="8"/>
      <c r="C157" s="8"/>
      <c r="D157" s="8"/>
      <c r="E157" s="8"/>
      <c r="F157" s="8"/>
      <c r="G157" s="8"/>
      <c r="H157" s="1" t="s">
        <v>253</v>
      </c>
    </row>
    <row r="158" spans="1:8" ht="12.75">
      <c r="A158" s="7" t="s">
        <v>418</v>
      </c>
      <c r="B158" s="8"/>
      <c r="C158" s="8"/>
      <c r="D158" s="8"/>
      <c r="E158" s="8"/>
      <c r="F158" s="8"/>
      <c r="G158" s="8"/>
      <c r="H158" s="1" t="s">
        <v>419</v>
      </c>
    </row>
    <row r="159" spans="1:8" ht="25.5">
      <c r="A159" s="7" t="s">
        <v>420</v>
      </c>
      <c r="B159" s="8"/>
      <c r="C159" s="8"/>
      <c r="D159" s="8"/>
      <c r="E159" s="8"/>
      <c r="F159" s="8"/>
      <c r="G159" s="8"/>
      <c r="H159" s="1" t="s">
        <v>421</v>
      </c>
    </row>
    <row r="160" spans="1:8" ht="12.75">
      <c r="A160" s="7" t="s">
        <v>422</v>
      </c>
      <c r="B160" s="8"/>
      <c r="C160" s="8"/>
      <c r="D160" s="8"/>
      <c r="E160" s="8"/>
      <c r="F160" s="8"/>
      <c r="G160" s="8"/>
      <c r="H160" s="1" t="s">
        <v>253</v>
      </c>
    </row>
    <row r="161" spans="1:8" ht="12.75">
      <c r="A161" s="7" t="s">
        <v>423</v>
      </c>
      <c r="B161" s="8"/>
      <c r="C161" s="8"/>
      <c r="D161" s="8"/>
      <c r="E161" s="8"/>
      <c r="F161" s="8"/>
      <c r="G161" s="8"/>
      <c r="H161" s="1" t="s">
        <v>253</v>
      </c>
    </row>
    <row r="162" spans="1:7" s="15" customFormat="1" ht="12.75">
      <c r="A162" s="7" t="s">
        <v>424</v>
      </c>
      <c r="B162" s="8"/>
      <c r="C162" s="8"/>
      <c r="D162" s="8"/>
      <c r="E162" s="8"/>
      <c r="F162" s="8"/>
      <c r="G162" s="8"/>
    </row>
    <row r="163" spans="1:7" s="15" customFormat="1" ht="12.75">
      <c r="A163" s="7" t="s">
        <v>425</v>
      </c>
      <c r="B163" s="8"/>
      <c r="C163" s="8"/>
      <c r="D163" s="8"/>
      <c r="E163" s="8"/>
      <c r="F163" s="8"/>
      <c r="G163" s="8"/>
    </row>
    <row r="164" spans="1:8" ht="12.75">
      <c r="A164" s="7" t="s">
        <v>426</v>
      </c>
      <c r="B164" s="8"/>
      <c r="C164" s="8"/>
      <c r="D164" s="8"/>
      <c r="E164" s="8"/>
      <c r="F164" s="8"/>
      <c r="G164" s="8"/>
      <c r="H164" s="1" t="s">
        <v>253</v>
      </c>
    </row>
    <row r="165" ht="12.75">
      <c r="A165" s="21"/>
    </row>
    <row r="166" spans="1:7" s="6" customFormat="1" ht="25.5">
      <c r="A166" s="18" t="s">
        <v>427</v>
      </c>
      <c r="B166" s="6" t="s">
        <v>428</v>
      </c>
      <c r="C166" s="6" t="s">
        <v>429</v>
      </c>
      <c r="D166" s="6" t="s">
        <v>430</v>
      </c>
      <c r="E166" s="6" t="s">
        <v>431</v>
      </c>
      <c r="F166" s="6" t="s">
        <v>432</v>
      </c>
      <c r="G166" s="6" t="s">
        <v>433</v>
      </c>
    </row>
    <row r="167" spans="1:7" ht="12.75">
      <c r="A167" s="7" t="s">
        <v>434</v>
      </c>
      <c r="B167" s="8"/>
      <c r="C167" s="8"/>
      <c r="D167" s="8"/>
      <c r="E167" s="22"/>
      <c r="F167" s="22"/>
      <c r="G167" s="22"/>
    </row>
    <row r="168" spans="1:7" ht="12.75">
      <c r="A168" s="7" t="s">
        <v>435</v>
      </c>
      <c r="B168" s="8"/>
      <c r="C168" s="8"/>
      <c r="D168" s="8"/>
      <c r="E168" s="22"/>
      <c r="F168" s="22"/>
      <c r="G168" s="22"/>
    </row>
    <row r="169" spans="1:8" ht="25.5">
      <c r="A169" s="7" t="s">
        <v>436</v>
      </c>
      <c r="B169" s="8"/>
      <c r="C169" s="8"/>
      <c r="D169" s="8"/>
      <c r="E169" s="22"/>
      <c r="F169" s="22"/>
      <c r="G169" s="22"/>
      <c r="H169" s="1" t="s">
        <v>437</v>
      </c>
    </row>
    <row r="170" spans="1:7" ht="12.75">
      <c r="A170" s="7" t="s">
        <v>438</v>
      </c>
      <c r="B170" s="8"/>
      <c r="C170" s="8"/>
      <c r="D170" s="8"/>
      <c r="E170" s="22"/>
      <c r="F170" s="22"/>
      <c r="G170" s="22"/>
    </row>
    <row r="171" spans="1:7" ht="12.75">
      <c r="A171" s="7" t="s">
        <v>439</v>
      </c>
      <c r="B171" s="8"/>
      <c r="C171" s="8"/>
      <c r="D171" s="8"/>
      <c r="E171" s="22"/>
      <c r="F171" s="22"/>
      <c r="G171" s="22"/>
    </row>
    <row r="172" spans="1:7" ht="12.75">
      <c r="A172" s="7" t="s">
        <v>440</v>
      </c>
      <c r="B172" s="8"/>
      <c r="C172" s="8"/>
      <c r="D172" s="8"/>
      <c r="E172" s="22"/>
      <c r="F172" s="22"/>
      <c r="G172" s="22"/>
    </row>
    <row r="173" spans="1:7" ht="12.75">
      <c r="A173" s="7" t="s">
        <v>441</v>
      </c>
      <c r="B173" s="8"/>
      <c r="C173" s="8"/>
      <c r="D173" s="8"/>
      <c r="E173" s="22"/>
      <c r="F173" s="22"/>
      <c r="G173" s="22"/>
    </row>
    <row r="174" spans="1:7" ht="12.75">
      <c r="A174" s="7" t="s">
        <v>442</v>
      </c>
      <c r="B174" s="8"/>
      <c r="C174" s="8"/>
      <c r="D174" s="8"/>
      <c r="E174" s="8"/>
      <c r="F174" s="8"/>
      <c r="G174" s="8"/>
    </row>
    <row r="175" spans="1:8" ht="12.75">
      <c r="A175" s="7" t="s">
        <v>443</v>
      </c>
      <c r="B175" s="8"/>
      <c r="C175" s="8"/>
      <c r="D175" s="8"/>
      <c r="E175" s="22"/>
      <c r="F175" s="22"/>
      <c r="G175" s="22"/>
      <c r="H175" s="1" t="s">
        <v>444</v>
      </c>
    </row>
    <row r="176" spans="1:7" ht="12.75">
      <c r="A176" s="7" t="s">
        <v>445</v>
      </c>
      <c r="B176" s="8"/>
      <c r="C176" s="8"/>
      <c r="D176" s="8"/>
      <c r="E176" s="22"/>
      <c r="F176" s="22"/>
      <c r="G176" s="22"/>
    </row>
    <row r="177" spans="1:7" ht="12.75">
      <c r="A177" s="7" t="s">
        <v>446</v>
      </c>
      <c r="B177" s="8"/>
      <c r="C177" s="8"/>
      <c r="D177" s="8"/>
      <c r="E177" s="22"/>
      <c r="F177" s="22"/>
      <c r="G177" s="22"/>
    </row>
    <row r="178" spans="1:7" s="23" customFormat="1" ht="12.75">
      <c r="A178" s="24" t="s">
        <v>447</v>
      </c>
      <c r="B178" s="13">
        <f>IF(ISBLANK(INDEX(Primary_Driver,,1)),"",LOOKUP(INDEX(Primary_Driver,,1),Driver_Number,Age))</f>
      </c>
      <c r="C178" s="13">
        <f>IF(ISBLANK(INDEX(Primary_Driver,,2)),"",LOOKUP(INDEX(Primary_Driver,,2),Driver_Number,Age))</f>
      </c>
      <c r="D178" s="13">
        <f>IF(ISBLANK(INDEX(Primary_Driver,,3)),"",LOOKUP(INDEX(Primary_Driver,,3),Driver_Number,Age))</f>
      </c>
      <c r="E178" s="13">
        <f>IF(ISBLANK(INDEX(Primary_Driver,,4)),"",LOOKUP(INDEX(Primary_Driver,,4),Driver_Number,Age))</f>
      </c>
      <c r="F178" s="13">
        <f>IF(ISBLANK(INDEX(Primary_Driver,,5)),"",LOOKUP(INDEX(Primary_Driver,,5),Driver_Number,Age))</f>
      </c>
      <c r="G178" s="13">
        <f>IF(ISBLANK(INDEX(Primary_Driver,,6)),"",LOOKUP(INDEX(Primary_Driver,,6),Driver_Number,Age))</f>
      </c>
    </row>
    <row r="179" spans="1:7" s="23" customFormat="1" ht="12.75">
      <c r="A179" s="24" t="s">
        <v>448</v>
      </c>
      <c r="B179" s="13">
        <f>IF(ISBLANK(INDEX(Primary_Driver,,1)),"",LOOKUP(INDEX(Primary_Driver,,1),Driver_Number,Relationship))</f>
      </c>
      <c r="C179" s="13">
        <f>IF(ISBLANK(INDEX(Primary_Driver,,2)),"",LOOKUP(INDEX(Primary_Driver,,2),Driver_Number,Relationship))</f>
      </c>
      <c r="D179" s="13">
        <f>IF(ISBLANK(INDEX(Primary_Driver,,3)),"",LOOKUP(INDEX(Primary_Driver,,3),Driver_Number,Relationship))</f>
      </c>
      <c r="E179" s="13">
        <f>IF(ISBLANK(INDEX(Primary_Driver,,4)),"",LOOKUP(INDEX(Primary_Driver,,4),Driver_Number,Relationship))</f>
      </c>
      <c r="F179" s="13">
        <f>IF(ISBLANK(INDEX(Primary_Driver,,5)),"",LOOKUP(INDEX(Primary_Driver,,5),Driver_Number,Relationship))</f>
      </c>
      <c r="G179" s="13">
        <f>IF(ISBLANK(INDEX(Primary_Driver,,6)),"",LOOKUP(INDEX(Primary_Driver,,6),Driver_Number,Relationship))</f>
      </c>
    </row>
    <row r="180" spans="1:7" s="23" customFormat="1" ht="12.75">
      <c r="A180" s="24" t="s">
        <v>449</v>
      </c>
      <c r="B180" s="13">
        <f>IF(ISBLANK(INDEX(Primary_Driver,,1)),"",LOOKUP(INDEX(Primary_Driver,,1),Driver_Number,NC_Clean_Risk_Indicator))</f>
      </c>
      <c r="C180" s="13">
        <f>IF(ISBLANK(INDEX(Primary_Driver,,2)),"",LOOKUP(INDEX(Primary_Driver,,2),Driver_Number,NC_Clean_Risk_Indicator))</f>
      </c>
      <c r="D180" s="13">
        <f>IF(ISBLANK(INDEX(Primary_Driver,,3)),"",LOOKUP(INDEX(Primary_Driver,,3),Driver_Number,NC_Clean_Risk_Indicator))</f>
      </c>
      <c r="E180" s="13">
        <f>IF(ISBLANK(INDEX(Primary_Driver,,4)),"",LOOKUP(INDEX(Primary_Driver,,4),Driver_Number,NC_Clean_Risk_Indicator))</f>
      </c>
      <c r="F180" s="13">
        <f>IF(ISBLANK(INDEX(Primary_Driver,,5)),"",LOOKUP(INDEX(Primary_Driver,,5),Driver_Number,NC_Clean_Risk_Indicator))</f>
      </c>
      <c r="G180" s="13">
        <f>IF(ISBLANK(INDEX(Primary_Driver,,6)),"",LOOKUP(INDEX(Primary_Driver,,6),Driver_Number,NC_Clean_Risk_Indicator))</f>
      </c>
    </row>
    <row r="181" spans="1:7" s="23" customFormat="1" ht="12.75">
      <c r="A181" s="24" t="s">
        <v>450</v>
      </c>
      <c r="B181" s="13">
        <f>IF(ISBLANK(INDEX(Primary_Driver,,1)),"",LOOKUP(INDEX(Primary_Driver,,1),Driver_Number,Financial_Responsibility_Certified_Risk_Surcharge))</f>
      </c>
      <c r="C181" s="13">
        <f>IF(ISBLANK(INDEX(Primary_Driver,,2)),"",LOOKUP(INDEX(Primary_Driver,,2),Driver_Number,Financial_Responsibility_Certified_Risk_Surcharge))</f>
      </c>
      <c r="D181" s="13">
        <f>IF(ISBLANK(INDEX(Primary_Driver,,3)),"",LOOKUP(INDEX(Primary_Driver,,3),Driver_Number,Financial_Responsibility_Certified_Risk_Surcharge))</f>
      </c>
      <c r="E181" s="13">
        <f>IF(ISBLANK(INDEX(Primary_Driver,,4)),"",LOOKUP(INDEX(Primary_Driver,,4),Driver_Number,Financial_Responsibility_Certified_Risk_Surcharge))</f>
      </c>
      <c r="F181" s="13">
        <f>IF(ISBLANK(INDEX(Primary_Driver,,5)),"",LOOKUP(INDEX(Primary_Driver,,5),Driver_Number,Financial_Responsibility_Certified_Risk_Surcharge))</f>
      </c>
      <c r="G181" s="13">
        <f>IF(ISBLANK(INDEX(Primary_Driver,,6)),"",LOOKUP(INDEX(Primary_Driver,,6),Driver_Number,Financial_Responsibility_Certified_Risk_Surcharge))</f>
      </c>
    </row>
    <row r="182" spans="1:7" s="23" customFormat="1" ht="12.75">
      <c r="A182" s="24" t="s">
        <v>451</v>
      </c>
      <c r="B182" s="13">
        <f>IF(ISBLANK(INDEX(Primary_Driver,,1)),"",LOOKUP(INDEX(Primary_Driver,,1),Driver_Number,Financial_Responsibility_Insured_Type))</f>
      </c>
      <c r="C182" s="13">
        <f>IF(ISBLANK(INDEX(Primary_Driver,,2)),"",LOOKUP(INDEX(Primary_Driver,,2),Driver_Number,Financial_Responsibility_Insured_Type))</f>
      </c>
      <c r="D182" s="13">
        <f>IF(ISBLANK(INDEX(Primary_Driver,,3)),"",LOOKUP(INDEX(Primary_Driver,,3),Driver_Number,Financial_Responsibility_Insured_Type))</f>
      </c>
      <c r="E182" s="13">
        <f>IF(ISBLANK(INDEX(Primary_Driver,,4)),"",LOOKUP(INDEX(Primary_Driver,,4),Driver_Number,Financial_Responsibility_Insured_Type))</f>
      </c>
      <c r="F182" s="13">
        <f>IF(ISBLANK(INDEX(Primary_Driver,,5)),"",LOOKUP(INDEX(Primary_Driver,,5),Driver_Number,Financial_Responsibility_Insured_Type))</f>
      </c>
      <c r="G182" s="13">
        <f>IF(ISBLANK(INDEX(Primary_Driver,,6)),"",LOOKUP(INDEX(Primary_Driver,,6),Driver_Number,Financial_Responsibility_Insured_Type))</f>
      </c>
    </row>
    <row r="183" spans="1:7" s="23" customFormat="1" ht="12.75">
      <c r="A183" s="24" t="s">
        <v>452</v>
      </c>
      <c r="B183" s="13">
        <f>IF(ISBLANK(INDEX(Primary_Driver,,1)),"",LOOKUP(INDEX(Primary_Driver,,1),Driver_Number,Financial_Responsibility_Surcharge))</f>
      </c>
      <c r="C183" s="13">
        <f>IF(ISBLANK(INDEX(Primary_Driver,,2)),"",LOOKUP(INDEX(Primary_Driver,,2),Driver_Number,Financial_Responsibility_Surcharge))</f>
      </c>
      <c r="D183" s="13">
        <f>IF(ISBLANK(INDEX(Primary_Driver,,3)),"",LOOKUP(INDEX(Primary_Driver,,3),Driver_Number,Financial_Responsibility_Surcharge))</f>
      </c>
      <c r="E183" s="13">
        <f>IF(ISBLANK(INDEX(Primary_Driver,,4)),"",LOOKUP(INDEX(Primary_Driver,,4),Driver_Number,Financial_Responsibility_Surcharge))</f>
      </c>
      <c r="F183" s="13">
        <f>IF(ISBLANK(INDEX(Primary_Driver,,5)),"",LOOKUP(INDEX(Primary_Driver,,5),Driver_Number,Financial_Responsibility_Surcharge))</f>
      </c>
      <c r="G183" s="13">
        <f>IF(ISBLANK(INDEX(Primary_Driver,,6)),"",LOOKUP(INDEX(Primary_Driver,,6),Driver_Number,Financial_Responsibility_Surcharge))</f>
      </c>
    </row>
    <row r="184" spans="1:7" s="23" customFormat="1" ht="12.75">
      <c r="A184" s="24" t="s">
        <v>453</v>
      </c>
      <c r="B184" s="13">
        <f>IF(ISBLANK(INDEX(Primary_Driver,,1)),"",LOOKUP(INDEX(Primary_Driver,,1),Driver_Number,Accident_Prevention_Course_Discount?))</f>
      </c>
      <c r="C184" s="13">
        <f>IF(ISBLANK(INDEX(Primary_Driver,,2)),"",LOOKUP(INDEX(Primary_Driver,,2),Driver_Number,Accident_Prevention_Course_Discount?))</f>
      </c>
      <c r="D184" s="13">
        <f>IF(ISBLANK(INDEX(Primary_Driver,,3)),"",LOOKUP(INDEX(Primary_Driver,,3),Driver_Number,Accident_Prevention_Course_Discount?))</f>
      </c>
      <c r="E184" s="13">
        <f>IF(ISBLANK(INDEX(Primary_Driver,,4)),"",LOOKUP(INDEX(Primary_Driver,,4),Driver_Number,Accident_Prevention_Course_Discount?))</f>
      </c>
      <c r="F184" s="13">
        <f>IF(ISBLANK(INDEX(Primary_Driver,,5)),"",LOOKUP(INDEX(Primary_Driver,,5),Driver_Number,Accident_Prevention_Course_Discount?))</f>
      </c>
      <c r="G184" s="13">
        <f>IF(ISBLANK(INDEX(Primary_Driver,,6)),"",LOOKUP(INDEX(Primary_Driver,,6),Driver_Number,Accident_Prevention_Course_Discount?))</f>
      </c>
    </row>
    <row r="185" spans="1:7" s="23" customFormat="1" ht="12.75">
      <c r="A185" s="24" t="s">
        <v>454</v>
      </c>
      <c r="B185" s="13">
        <f>IF(ISBLANK(INDEX(Primary_Driver,,1)),"",LOOKUP(INDEX(Primary_Driver,,1),Driver_Number,Safe_Driver_Plan_Surcharge_Points))</f>
      </c>
      <c r="C185" s="13">
        <f>IF(ISBLANK(INDEX(Primary_Driver,,2)),"",LOOKUP(INDEX(Primary_Driver,,2),Driver_Number,Safe_Driver_Plan_Surcharge_Points))</f>
      </c>
      <c r="D185" s="13">
        <f>IF(ISBLANK(INDEX(Primary_Driver,,3)),"",LOOKUP(INDEX(Primary_Driver,,3),Driver_Number,Safe_Driver_Plan_Surcharge_Points))</f>
      </c>
      <c r="E185" s="13">
        <f>IF(ISBLANK(INDEX(Primary_Driver,,4)),"",LOOKUP(INDEX(Primary_Driver,,4),Driver_Number,Safe_Driver_Plan_Surcharge_Points))</f>
      </c>
      <c r="F185" s="13">
        <f>IF(ISBLANK(INDEX(Primary_Driver,,5)),"",LOOKUP(INDEX(Primary_Driver,,5),Driver_Number,Safe_Driver_Plan_Surcharge_Points))</f>
      </c>
      <c r="G185" s="13">
        <f>IF(ISBLANK(INDEX(Primary_Driver,,6)),"",LOOKUP(INDEX(Primary_Driver,,6),Driver_Number,Safe_Driver_Plan_Surcharge_Points))</f>
      </c>
    </row>
    <row r="186" spans="1:7" s="23" customFormat="1" ht="12.75" customHeight="1">
      <c r="A186" s="24" t="s">
        <v>455</v>
      </c>
      <c r="B186" s="13">
        <f>IF(ISBLANK(INDEX(Primary_Driver,,1)),"",LOOKUP(INDEX(Primary_Driver,,1),Driver_Number,Named_Non_owned_Liability_Coverage))</f>
      </c>
      <c r="C186" s="13">
        <f>IF(ISBLANK(INDEX(Primary_Driver,,2)),"",LOOKUP(INDEX(Primary_Driver,,2),Driver_Number,Named_Non_owned_Liability_Coverage))</f>
      </c>
      <c r="D186" s="13">
        <f>IF(ISBLANK(INDEX(Primary_Driver,,3)),"",LOOKUP(INDEX(Primary_Driver,,3),Driver_Number,Named_Non_owned_Liability_Coverage))</f>
      </c>
      <c r="E186" s="13">
        <f>IF(ISBLANK(INDEX(Primary_Driver,,4)),"",LOOKUP(INDEX(Primary_Driver,,4),Driver_Number,Named_Non_owned_Liability_Coverage))</f>
      </c>
      <c r="F186" s="13">
        <f>IF(ISBLANK(INDEX(Primary_Driver,,5)),"",LOOKUP(INDEX(Primary_Driver,,5),Driver_Number,Named_Non_owned_Liability_Coverage))</f>
      </c>
      <c r="G186" s="13">
        <f>IF(ISBLANK(INDEX(Primary_Driver,,6)),"",LOOKUP(INDEX(Primary_Driver,,6),Driver_Number,Named_Non_owned_Liability_Coverage))</f>
      </c>
    </row>
    <row r="187" spans="1:7" s="23" customFormat="1" ht="12.75" customHeight="1">
      <c r="A187" s="24" t="s">
        <v>456</v>
      </c>
      <c r="B187" s="13">
        <f>IF(ISBLANK(INDEX(Primary_Driver,,1)),"",LOOKUP(INDEX(Primary_Driver,,1),Driver_Number,Extended_Non_owned_Property_Damage_Coverage))</f>
      </c>
      <c r="C187" s="13">
        <f>IF(ISBLANK(INDEX(Primary_Driver,,2)),"",LOOKUP(INDEX(Primary_Driver,,2),Driver_Number,Extended_Non_owned_Property_Damage_Coverage))</f>
      </c>
      <c r="D187" s="13">
        <f>IF(ISBLANK(INDEX(Primary_Driver,,3)),"",LOOKUP(INDEX(Primary_Driver,,3),Driver_Number,Extended_Non_owned_Property_Damage_Coverage))</f>
      </c>
      <c r="E187" s="13">
        <f>IF(ISBLANK(INDEX(Primary_Driver,,4)),"",LOOKUP(INDEX(Primary_Driver,,4),Driver_Number,Extended_Non_owned_Property_Damage_Coverage))</f>
      </c>
      <c r="F187" s="13">
        <f>IF(ISBLANK(INDEX(Primary_Driver,,5)),"",LOOKUP(INDEX(Primary_Driver,,5),Driver_Number,Extended_Non_owned_Property_Damage_Coverage))</f>
      </c>
      <c r="G187" s="13">
        <f>IF(ISBLANK(INDEX(Primary_Driver,,6)),"",LOOKUP(INDEX(Primary_Driver,,6),Driver_Number,Extended_Non_owned_Property_Damage_Coverage))</f>
      </c>
    </row>
    <row r="188" spans="1:7" s="23" customFormat="1" ht="12.75" customHeight="1">
      <c r="A188" s="24" t="s">
        <v>457</v>
      </c>
      <c r="B188" s="13">
        <f>IF(ISBLANK(INDEX(Primary_Driver,,1)),"",LOOKUP(INDEX(Primary_Driver,,1),Driver_Number,Named_Non_owned_Medical_Payments_Coverage))</f>
      </c>
      <c r="C188" s="13">
        <f>IF(ISBLANK(INDEX(Primary_Driver,,2)),"",LOOKUP(INDEX(Primary_Driver,,2),Driver_Number,Named_Non_owned_Medical_Payments_Coverage))</f>
      </c>
      <c r="D188" s="13">
        <f>IF(ISBLANK(INDEX(Primary_Driver,,3)),"",LOOKUP(INDEX(Primary_Driver,,3),Driver_Number,Named_Non_owned_Medical_Payments_Coverage))</f>
      </c>
      <c r="E188" s="13">
        <f>IF(ISBLANK(INDEX(Primary_Driver,,4)),"",LOOKUP(INDEX(Primary_Driver,,4),Driver_Number,Named_Non_owned_Medical_Payments_Coverage))</f>
      </c>
      <c r="F188" s="13">
        <f>IF(ISBLANK(INDEX(Primary_Driver,,5)),"",LOOKUP(INDEX(Primary_Driver,,5),Driver_Number,Named_Non_owned_Medical_Payments_Coverage))</f>
      </c>
      <c r="G188" s="13">
        <f>IF(ISBLANK(INDEX(Primary_Driver,,6)),"",LOOKUP(INDEX(Primary_Driver,,6),Driver_Number,Named_Non_owned_Medical_Payments_Coverage))</f>
      </c>
    </row>
    <row r="189" spans="1:7" s="23" customFormat="1" ht="12.75" customHeight="1">
      <c r="A189" s="24" t="s">
        <v>458</v>
      </c>
      <c r="B189" s="13">
        <f>IF(ISBLANK(INDEX(Primary_Driver,,1)),"",LOOKUP(INDEX(Primary_Driver,,1),Driver_Number,Named_Non_Owner_UM_Coverage))</f>
      </c>
      <c r="C189" s="13">
        <f>IF(ISBLANK(INDEX(Primary_Driver,,2)),"",LOOKUP(INDEX(Primary_Driver,,2),Driver_Number,Named_Non_Owner_UM_Coverage))</f>
      </c>
      <c r="D189" s="13">
        <f>IF(ISBLANK(INDEX(Primary_Driver,,3)),"",LOOKUP(INDEX(Primary_Driver,,3),Driver_Number,Named_Non_Owner_UM_Coverage))</f>
      </c>
      <c r="E189" s="13">
        <f>IF(ISBLANK(INDEX(Primary_Driver,,4)),"",LOOKUP(INDEX(Primary_Driver,,4),Driver_Number,Named_Non_Owner_UM_Coverage))</f>
      </c>
      <c r="F189" s="13">
        <f>IF(ISBLANK(INDEX(Primary_Driver,,5)),"",LOOKUP(INDEX(Primary_Driver,,5),Driver_Number,Named_Non_Owner_UM_Coverage))</f>
      </c>
      <c r="G189" s="13">
        <f>IF(ISBLANK(INDEX(Primary_Driver,,6)),"",LOOKUP(INDEX(Primary_Driver,,6),Driver_Number,Named_Non_Owner_UM_Coverage))</f>
      </c>
    </row>
    <row r="190" spans="1:7" s="23" customFormat="1" ht="12.75" customHeight="1">
      <c r="A190" s="24" t="s">
        <v>459</v>
      </c>
      <c r="B190" s="13">
        <f>IF(ISBLANK(INDEX(Primary_Driver,,1)),"",LOOKUP(INDEX(Primary_Driver,,1),Driver_Number,Named_Non_Owner_Policy_Term))</f>
      </c>
      <c r="C190" s="13">
        <f>IF(ISBLANK(INDEX(Primary_Driver,,2)),"",LOOKUP(INDEX(Primary_Driver,,2),Driver_Number,Named_Non_Owner_Policy_Term))</f>
      </c>
      <c r="D190" s="13">
        <f>IF(ISBLANK(INDEX(Primary_Driver,,3)),"",LOOKUP(INDEX(Primary_Driver,,3),Driver_Number,Named_Non_Owner_Policy_Term))</f>
      </c>
      <c r="E190" s="13">
        <f>IF(ISBLANK(INDEX(Primary_Driver,,4)),"",LOOKUP(INDEX(Primary_Driver,,4),Driver_Number,Named_Non_Owner_Policy_Term))</f>
      </c>
      <c r="F190" s="13">
        <f>IF(ISBLANK(INDEX(Primary_Driver,,5)),"",LOOKUP(INDEX(Primary_Driver,,5),Driver_Number,Named_Non_Owner_Policy_Term))</f>
      </c>
      <c r="G190" s="13">
        <f>IF(ISBLANK(INDEX(Primary_Driver,,6)),"",LOOKUP(INDEX(Primary_Driver,,6),Driver_Number,Named_Non_Owner_Policy_Term))</f>
      </c>
    </row>
    <row r="191" spans="1:7" s="23" customFormat="1" ht="12.75" customHeight="1">
      <c r="A191" s="24" t="s">
        <v>460</v>
      </c>
      <c r="B191" s="13">
        <f>IF(ISBLANK(INDEX(Primary_Driver,,1)),"",LOOKUP(INDEX(Primary_Driver,,1),Driver_Number,Named_Non_owned_COMP_Coverage))</f>
      </c>
      <c r="C191" s="13">
        <f>IF(ISBLANK(INDEX(Primary_Driver,,2)),"",LOOKUP(INDEX(Primary_Driver,,2),Driver_Number,Named_Non_owned_COMP_Coverage))</f>
      </c>
      <c r="D191" s="13">
        <f>IF(ISBLANK(INDEX(Primary_Driver,,3)),"",LOOKUP(INDEX(Primary_Driver,,3),Driver_Number,Named_Non_owned_COMP_Coverage))</f>
      </c>
      <c r="E191" s="13">
        <f>IF(ISBLANK(INDEX(Primary_Driver,,4)),"",LOOKUP(INDEX(Primary_Driver,,4),Driver_Number,Named_Non_owned_COMP_Coverage))</f>
      </c>
      <c r="F191" s="13">
        <f>IF(ISBLANK(INDEX(Primary_Driver,,5)),"",LOOKUP(INDEX(Primary_Driver,,5),Driver_Number,Named_Non_owned_COMP_Coverage))</f>
      </c>
      <c r="G191" s="13">
        <f>IF(ISBLANK(INDEX(Primary_Driver,,6)),"",LOOKUP(INDEX(Primary_Driver,,6),Driver_Number,Named_Non_owned_COMP_Coverage))</f>
      </c>
    </row>
    <row r="192" spans="1:7" s="23" customFormat="1" ht="12.75" customHeight="1">
      <c r="A192" s="24" t="s">
        <v>461</v>
      </c>
      <c r="B192" s="13">
        <f>IF(ISBLANK(INDEX(Primary_Driver,,1)),"",LOOKUP(INDEX(Primary_Driver,,1),Driver_Number,Named_Non_owned_COLL_Coverage))</f>
      </c>
      <c r="C192" s="13">
        <f>IF(ISBLANK(INDEX(Primary_Driver,,2)),"",LOOKUP(INDEX(Primary_Driver,,2),Driver_Number,Named_Non_owned_COLL_Coverage))</f>
      </c>
      <c r="D192" s="13">
        <f>IF(ISBLANK(INDEX(Primary_Driver,,3)),"",LOOKUP(INDEX(Primary_Driver,,3),Driver_Number,Named_Non_owned_COLL_Coverage))</f>
      </c>
      <c r="E192" s="13">
        <f>IF(ISBLANK(INDEX(Primary_Driver,,4)),"",LOOKUP(INDEX(Primary_Driver,,4),Driver_Number,Named_Non_owned_COLL_Coverage))</f>
      </c>
      <c r="F192" s="13">
        <f>IF(ISBLANK(INDEX(Primary_Driver,,5)),"",LOOKUP(INDEX(Primary_Driver,,5),Driver_Number,Named_Non_owned_COLL_Coverage))</f>
      </c>
      <c r="G192" s="13">
        <f>IF(ISBLANK(INDEX(Primary_Driver,,6)),"",LOOKUP(INDEX(Primary_Driver,,6),Driver_Number,Named_Non_owned_COLL_Coverage))</f>
      </c>
    </row>
    <row r="193" spans="1:7" s="23" customFormat="1" ht="12.75" customHeight="1">
      <c r="A193" s="24" t="s">
        <v>462</v>
      </c>
      <c r="B193" s="13">
        <f>IF(ISBLANK(INDEX(Primary_Driver,,1)),"",LOOKUP(INDEX(Primary_Driver,,1),Driver_Number,Extended_Non_owned_Liability_Coverage))</f>
      </c>
      <c r="C193" s="13">
        <f>IF(ISBLANK(INDEX(Primary_Driver,,2)),"",LOOKUP(INDEX(Primary_Driver,,2),Driver_Number,Extended_Non_owned_Liability_Coverage))</f>
      </c>
      <c r="D193" s="13">
        <f>IF(ISBLANK(INDEX(Primary_Driver,,3)),"",LOOKUP(INDEX(Primary_Driver,,3),Driver_Number,Extended_Non_owned_Liability_Coverage))</f>
      </c>
      <c r="E193" s="13">
        <f>IF(ISBLANK(INDEX(Primary_Driver,,4)),"",LOOKUP(INDEX(Primary_Driver,,4),Driver_Number,Extended_Non_owned_Liability_Coverage))</f>
      </c>
      <c r="F193" s="13">
        <f>IF(ISBLANK(INDEX(Primary_Driver,,5)),"",LOOKUP(INDEX(Primary_Driver,,5),Driver_Number,Extended_Non_owned_Liability_Coverage))</f>
      </c>
      <c r="G193" s="13">
        <f>IF(ISBLANK(INDEX(Primary_Driver,,6)),"",LOOKUP(INDEX(Primary_Driver,,6),Driver_Number,Extended_Non_owned_Liability_Coverage))</f>
      </c>
    </row>
    <row r="194" spans="1:7" s="23" customFormat="1" ht="12.75" customHeight="1">
      <c r="A194" s="24" t="s">
        <v>463</v>
      </c>
      <c r="B194" s="13">
        <f>IF(ISBLANK(INDEX(Primary_Driver,,1)),"",LOOKUP(INDEX(Primary_Driver,,1),Driver_Number,Primary_Liability_for_Furnished_Automobile))</f>
      </c>
      <c r="C194" s="13">
        <f>IF(ISBLANK(INDEX(Primary_Driver,,2)),"",LOOKUP(INDEX(Primary_Driver,,2),Driver_Number,Primary_Liability_for_Furnished_Automobile))</f>
      </c>
      <c r="D194" s="13">
        <f>IF(ISBLANK(INDEX(Primary_Driver,,3)),"",LOOKUP(INDEX(Primary_Driver,,3),Driver_Number,Primary_Liability_for_Furnished_Automobile))</f>
      </c>
      <c r="E194" s="13">
        <f>IF(ISBLANK(INDEX(Primary_Driver,,4)),"",LOOKUP(INDEX(Primary_Driver,,4),Driver_Number,Primary_Liability_for_Furnished_Automobile))</f>
      </c>
      <c r="F194" s="13">
        <f>IF(ISBLANK(INDEX(Primary_Driver,,5)),"",LOOKUP(INDEX(Primary_Driver,,5),Driver_Number,Primary_Liability_for_Furnished_Automobile))</f>
      </c>
      <c r="G194" s="13">
        <f>IF(ISBLANK(INDEX(Primary_Driver,,6)),"",LOOKUP(INDEX(Primary_Driver,,6),Driver_Number,Primary_Liability_for_Furnished_Automobile))</f>
      </c>
    </row>
    <row r="195" spans="1:7" s="23" customFormat="1" ht="12.75" customHeight="1">
      <c r="A195" s="24" t="s">
        <v>464</v>
      </c>
      <c r="B195" s="13">
        <f>IF(ISBLANK(INDEX(Primary_Driver,,1)),"",LOOKUP(INDEX(Primary_Driver,,1),Driver_Number,Extended_Non_owned_Property_Damage_Coverage))</f>
      </c>
      <c r="C195" s="13">
        <f>IF(ISBLANK(INDEX(Primary_Driver,,2)),"",LOOKUP(INDEX(Primary_Driver,,2),Driver_Number,Extended_Non_owned_Property_Damage_Coverage))</f>
      </c>
      <c r="D195" s="13">
        <f>IF(ISBLANK(INDEX(Primary_Driver,,3)),"",LOOKUP(INDEX(Primary_Driver,,3),Driver_Number,Extended_Non_owned_Property_Damage_Coverage))</f>
      </c>
      <c r="E195" s="13">
        <f>IF(ISBLANK(INDEX(Primary_Driver,,4)),"",LOOKUP(INDEX(Primary_Driver,,4),Driver_Number,Extended_Non_owned_Property_Damage_Coverage))</f>
      </c>
      <c r="F195" s="13">
        <f>IF(ISBLANK(INDEX(Primary_Driver,,5)),"",LOOKUP(INDEX(Primary_Driver,,5),Driver_Number,Extended_Non_owned_Property_Damage_Coverage))</f>
      </c>
      <c r="G195" s="13">
        <f>IF(ISBLANK(INDEX(Primary_Driver,,6)),"",LOOKUP(INDEX(Primary_Driver,,6),Driver_Number,Extended_Non_owned_Property_Damage_Coverage))</f>
      </c>
    </row>
    <row r="196" spans="1:7" s="23" customFormat="1" ht="12.75" customHeight="1">
      <c r="A196" s="24" t="s">
        <v>465</v>
      </c>
      <c r="B196" s="13">
        <f>IF(ISBLANK(INDEX(Primary_Driver,,1)),"",LOOKUP(INDEX(Primary_Driver,,1),Driver_Number,Extended_Non_owned_Medical_Payments_Coverage))</f>
      </c>
      <c r="C196" s="13">
        <f>IF(ISBLANK(INDEX(Primary_Driver,,2)),"",LOOKUP(INDEX(Primary_Driver,,2),Driver_Number,Extended_Non_owned_Medical_Payments_Coverage))</f>
      </c>
      <c r="D196" s="13">
        <f>IF(ISBLANK(INDEX(Primary_Driver,,3)),"",LOOKUP(INDEX(Primary_Driver,,3),Driver_Number,Extended_Non_owned_Medical_Payments_Coverage))</f>
      </c>
      <c r="E196" s="13">
        <f>IF(ISBLANK(INDEX(Primary_Driver,,4)),"",LOOKUP(INDEX(Primary_Driver,,4),Driver_Number,Extended_Non_owned_Medical_Payments_Coverage))</f>
      </c>
      <c r="F196" s="13">
        <f>IF(ISBLANK(INDEX(Primary_Driver,,5)),"",LOOKUP(INDEX(Primary_Driver,,5),Driver_Number,Extended_Non_owned_Medical_Payments_Coverage))</f>
      </c>
      <c r="G196" s="13">
        <f>IF(ISBLANK(INDEX(Primary_Driver,,6)),"",LOOKUP(INDEX(Primary_Driver,,6),Driver_Number,Extended_Non_owned_Medical_Payments_Coverage))</f>
      </c>
    </row>
    <row r="197" spans="1:7" s="23" customFormat="1" ht="12.75" customHeight="1">
      <c r="A197" s="24" t="s">
        <v>466</v>
      </c>
      <c r="B197" s="13">
        <f>IF(ISBLANK(INDEX(Primary_Driver,,1)),"",LOOKUP(INDEX(Primary_Driver,,1),Driver_Number,Extended_Non_owned_COMP_Coverage))</f>
      </c>
      <c r="C197" s="13">
        <f>IF(ISBLANK(INDEX(Primary_Driver,,2)),"",LOOKUP(INDEX(Primary_Driver,,2),Driver_Number,Extended_Non_owned_COMP_Coverage))</f>
      </c>
      <c r="D197" s="13">
        <f>IF(ISBLANK(INDEX(Primary_Driver,,3)),"",LOOKUP(INDEX(Primary_Driver,,3),Driver_Number,Extended_Non_owned_COMP_Coverage))</f>
      </c>
      <c r="E197" s="13">
        <f>IF(ISBLANK(INDEX(Primary_Driver,,4)),"",LOOKUP(INDEX(Primary_Driver,,4),Driver_Number,Extended_Non_owned_COMP_Coverage))</f>
      </c>
      <c r="F197" s="13">
        <f>IF(ISBLANK(INDEX(Primary_Driver,,5)),"",LOOKUP(INDEX(Primary_Driver,,5),Driver_Number,Extended_Non_owned_COMP_Coverage))</f>
      </c>
      <c r="G197" s="13">
        <f>IF(ISBLANK(INDEX(Primary_Driver,,6)),"",LOOKUP(INDEX(Primary_Driver,,6),Driver_Number,Extended_Non_owned_COMP_Coverage))</f>
      </c>
    </row>
    <row r="198" spans="1:7" s="23" customFormat="1" ht="12.75" customHeight="1">
      <c r="A198" s="24" t="s">
        <v>467</v>
      </c>
      <c r="B198" s="13">
        <f>IF(ISBLANK(INDEX(Primary_Driver,,1)),"",LOOKUP(INDEX(Primary_Driver,,1),Driver_Number,Extended_Non_owned_COLL_Coverage))</f>
      </c>
      <c r="C198" s="13">
        <f>IF(ISBLANK(INDEX(Primary_Driver,,2)),"",LOOKUP(INDEX(Primary_Driver,,2),Driver_Number,Extended_Non_owned_COLL_Coverage))</f>
      </c>
      <c r="D198" s="13">
        <f>IF(ISBLANK(INDEX(Primary_Driver,,3)),"",LOOKUP(INDEX(Primary_Driver,,3),Driver_Number,Extended_Non_owned_COLL_Coverage))</f>
      </c>
      <c r="E198" s="13">
        <f>IF(ISBLANK(INDEX(Primary_Driver,,4)),"",LOOKUP(INDEX(Primary_Driver,,4),Driver_Number,Extended_Non_owned_COLL_Coverage))</f>
      </c>
      <c r="F198" s="13">
        <f>IF(ISBLANK(INDEX(Primary_Driver,,5)),"",LOOKUP(INDEX(Primary_Driver,,5),Driver_Number,Extended_Non_owned_COLL_Coverage))</f>
      </c>
      <c r="G198" s="13">
        <f>IF(ISBLANK(INDEX(Primary_Driver,,6)),"",LOOKUP(INDEX(Primary_Driver,,6),Driver_Number,Extended_Non_owned_COLL_Coverage))</f>
      </c>
    </row>
    <row r="199" spans="1:7" s="23" customFormat="1" ht="12.75" customHeight="1">
      <c r="A199" s="24" t="s">
        <v>468</v>
      </c>
      <c r="B199" s="13">
        <f>IF(ISBLANK(INDEX(Primary_Driver,,1)),"",LOOKUP(INDEX(Primary_Driver,,1),Driver_Number,Driver_Training_in_Last_3_Years))</f>
      </c>
      <c r="C199" s="13">
        <f>IF(ISBLANK(INDEX(Primary_Driver,,2)),"",LOOKUP(INDEX(Primary_Driver,,2),Driver_Number,Driver_Training_in_Last_3_Years))</f>
      </c>
      <c r="D199" s="13">
        <f>IF(ISBLANK(INDEX(Primary_Driver,,3)),"",LOOKUP(INDEX(Primary_Driver,,3),Driver_Number,Driver_Training_in_Last_3_Years))</f>
      </c>
      <c r="E199" s="13">
        <f>IF(ISBLANK(INDEX(Primary_Driver,,4)),"",LOOKUP(INDEX(Primary_Driver,,4),Driver_Number,Driver_Training_in_Last_3_Years))</f>
      </c>
      <c r="F199" s="13">
        <f>IF(ISBLANK(INDEX(Primary_Driver,,5)),"",LOOKUP(INDEX(Primary_Driver,,5),Driver_Number,Driver_Training_in_Last_3_Years))</f>
      </c>
      <c r="G199" s="13">
        <f>IF(ISBLANK(INDEX(Primary_Driver,,6)),"",LOOKUP(INDEX(Primary_Driver,,6),Driver_Number,Driver_Training_in_Last_3_Years))</f>
      </c>
    </row>
    <row r="200" spans="1:8" ht="12.75">
      <c r="A200" s="7" t="s">
        <v>469</v>
      </c>
      <c r="B200" s="8"/>
      <c r="C200" s="8"/>
      <c r="D200" s="8"/>
      <c r="E200" s="22"/>
      <c r="F200" s="22"/>
      <c r="G200" s="22"/>
      <c r="H200" s="1" t="s">
        <v>470</v>
      </c>
    </row>
    <row r="201" spans="1:8" ht="12.75" customHeight="1">
      <c r="A201" s="7" t="s">
        <v>471</v>
      </c>
      <c r="B201" s="8"/>
      <c r="C201" s="8"/>
      <c r="D201" s="8"/>
      <c r="E201" s="22"/>
      <c r="F201" s="22"/>
      <c r="G201" s="22"/>
      <c r="H201" s="1" t="s">
        <v>472</v>
      </c>
    </row>
    <row r="202" spans="1:7" ht="12.75">
      <c r="A202" s="11" t="s">
        <v>473</v>
      </c>
      <c r="B202" s="14"/>
      <c r="C202" s="14"/>
      <c r="D202" s="14"/>
      <c r="E202" s="25"/>
      <c r="F202" s="25"/>
      <c r="G202" s="25"/>
    </row>
    <row r="203" spans="1:7" ht="12.75">
      <c r="A203" s="16" t="s">
        <v>474</v>
      </c>
      <c r="B203" s="8"/>
      <c r="C203" s="8"/>
      <c r="D203" s="8"/>
      <c r="E203" s="22"/>
      <c r="F203" s="22"/>
      <c r="G203" s="22"/>
    </row>
    <row r="204" spans="1:7" ht="12.75">
      <c r="A204" s="16" t="s">
        <v>475</v>
      </c>
      <c r="B204" s="8"/>
      <c r="C204" s="8"/>
      <c r="D204" s="8"/>
      <c r="E204" s="22"/>
      <c r="F204" s="22"/>
      <c r="G204" s="22"/>
    </row>
    <row r="205" spans="1:7" ht="12.75">
      <c r="A205" s="16" t="s">
        <v>476</v>
      </c>
      <c r="B205" s="8"/>
      <c r="C205" s="8"/>
      <c r="D205" s="8"/>
      <c r="E205" s="22"/>
      <c r="F205" s="22"/>
      <c r="G205" s="22"/>
    </row>
    <row r="206" spans="1:7" ht="12.75">
      <c r="A206" s="16" t="s">
        <v>477</v>
      </c>
      <c r="B206" s="8"/>
      <c r="C206" s="8"/>
      <c r="D206" s="8"/>
      <c r="E206" s="22"/>
      <c r="F206" s="22"/>
      <c r="G206" s="22"/>
    </row>
    <row r="207" spans="1:7" ht="12.75">
      <c r="A207" s="16" t="s">
        <v>478</v>
      </c>
      <c r="B207" s="8"/>
      <c r="C207" s="8"/>
      <c r="D207" s="8"/>
      <c r="E207" s="22"/>
      <c r="F207" s="22"/>
      <c r="G207" s="22"/>
    </row>
    <row r="208" spans="1:7" ht="12" customHeight="1">
      <c r="A208" s="7" t="s">
        <v>479</v>
      </c>
      <c r="B208" s="8"/>
      <c r="C208" s="8"/>
      <c r="D208" s="8"/>
      <c r="E208" s="22"/>
      <c r="F208" s="22"/>
      <c r="G208" s="22"/>
    </row>
    <row r="209" spans="1:7" ht="12.75">
      <c r="A209" s="7" t="s">
        <v>480</v>
      </c>
      <c r="B209" s="8"/>
      <c r="C209" s="8"/>
      <c r="D209" s="8"/>
      <c r="E209" s="22"/>
      <c r="F209" s="22"/>
      <c r="G209" s="22"/>
    </row>
    <row r="210" spans="1:7" ht="12.75">
      <c r="A210" s="7" t="s">
        <v>481</v>
      </c>
      <c r="B210" s="8"/>
      <c r="C210" s="8"/>
      <c r="D210" s="8"/>
      <c r="E210" s="22"/>
      <c r="F210" s="22"/>
      <c r="G210" s="22"/>
    </row>
    <row r="211" spans="1:7" ht="12.75">
      <c r="A211" s="7" t="s">
        <v>482</v>
      </c>
      <c r="B211" s="8"/>
      <c r="C211" s="8"/>
      <c r="D211" s="8"/>
      <c r="E211" s="22"/>
      <c r="F211" s="22"/>
      <c r="G211" s="22"/>
    </row>
    <row r="212" spans="1:7" ht="12.75">
      <c r="A212" s="11" t="s">
        <v>483</v>
      </c>
      <c r="B212" s="14"/>
      <c r="C212" s="14"/>
      <c r="D212" s="14"/>
      <c r="E212" s="25"/>
      <c r="F212" s="25"/>
      <c r="G212" s="25"/>
    </row>
    <row r="213" spans="1:7" s="19" customFormat="1" ht="12.75">
      <c r="A213" s="16" t="s">
        <v>484</v>
      </c>
      <c r="B213" s="20"/>
      <c r="C213" s="20"/>
      <c r="D213" s="20"/>
      <c r="E213" s="20"/>
      <c r="F213" s="20"/>
      <c r="G213" s="20"/>
    </row>
    <row r="214" spans="1:7" s="19" customFormat="1" ht="12.75">
      <c r="A214" s="16" t="s">
        <v>485</v>
      </c>
      <c r="B214" s="20"/>
      <c r="C214" s="20"/>
      <c r="D214" s="20"/>
      <c r="E214" s="20"/>
      <c r="F214" s="20"/>
      <c r="G214" s="20"/>
    </row>
    <row r="215" spans="1:7" s="19" customFormat="1" ht="12.75">
      <c r="A215" s="16" t="s">
        <v>486</v>
      </c>
      <c r="B215" s="20"/>
      <c r="C215" s="20"/>
      <c r="D215" s="20"/>
      <c r="E215" s="20"/>
      <c r="F215" s="20"/>
      <c r="G215" s="20"/>
    </row>
    <row r="216" spans="1:7" s="19" customFormat="1" ht="12.75">
      <c r="A216" s="16" t="s">
        <v>487</v>
      </c>
      <c r="B216" s="20"/>
      <c r="C216" s="20"/>
      <c r="D216" s="20"/>
      <c r="E216" s="20"/>
      <c r="F216" s="20"/>
      <c r="G216" s="20"/>
    </row>
    <row r="217" spans="1:8" s="19" customFormat="1" ht="12.75">
      <c r="A217" s="16" t="s">
        <v>488</v>
      </c>
      <c r="B217" s="20"/>
      <c r="C217" s="20"/>
      <c r="D217" s="20"/>
      <c r="E217" s="20"/>
      <c r="F217" s="20"/>
      <c r="G217" s="20"/>
      <c r="H217" s="19" t="s">
        <v>489</v>
      </c>
    </row>
    <row r="218" spans="1:8" s="19" customFormat="1" ht="12.75">
      <c r="A218" s="16" t="s">
        <v>490</v>
      </c>
      <c r="B218" s="20"/>
      <c r="C218" s="20"/>
      <c r="D218" s="20"/>
      <c r="E218" s="20"/>
      <c r="F218" s="20"/>
      <c r="G218" s="20"/>
      <c r="H218" s="19" t="s">
        <v>491</v>
      </c>
    </row>
    <row r="219" spans="1:8" s="19" customFormat="1" ht="12.75">
      <c r="A219" s="16" t="s">
        <v>492</v>
      </c>
      <c r="B219" s="20"/>
      <c r="C219" s="20"/>
      <c r="D219" s="20"/>
      <c r="E219" s="20"/>
      <c r="F219" s="20"/>
      <c r="G219" s="20"/>
      <c r="H219" s="19" t="s">
        <v>491</v>
      </c>
    </row>
    <row r="220" spans="1:8" s="19" customFormat="1" ht="12.75">
      <c r="A220" s="16" t="s">
        <v>493</v>
      </c>
      <c r="B220" s="20"/>
      <c r="C220" s="20"/>
      <c r="D220" s="20"/>
      <c r="E220" s="20"/>
      <c r="F220" s="20"/>
      <c r="G220" s="20"/>
      <c r="H220" s="19" t="s">
        <v>491</v>
      </c>
    </row>
    <row r="221" spans="1:8" s="19" customFormat="1" ht="12.75">
      <c r="A221" s="16" t="s">
        <v>494</v>
      </c>
      <c r="B221" s="20"/>
      <c r="C221" s="20"/>
      <c r="D221" s="20"/>
      <c r="E221" s="20"/>
      <c r="F221" s="20"/>
      <c r="G221" s="20"/>
      <c r="H221" s="19" t="s">
        <v>491</v>
      </c>
    </row>
    <row r="222" spans="1:8" s="19" customFormat="1" ht="12.75">
      <c r="A222" s="16" t="s">
        <v>495</v>
      </c>
      <c r="B222" s="20"/>
      <c r="C222" s="20"/>
      <c r="D222" s="20"/>
      <c r="E222" s="20"/>
      <c r="F222" s="20"/>
      <c r="G222" s="20"/>
      <c r="H222" s="19" t="s">
        <v>491</v>
      </c>
    </row>
    <row r="223" spans="1:8" s="19" customFormat="1" ht="12.75">
      <c r="A223" s="16" t="s">
        <v>496</v>
      </c>
      <c r="B223" s="20"/>
      <c r="C223" s="20"/>
      <c r="D223" s="20"/>
      <c r="E223" s="20"/>
      <c r="F223" s="20"/>
      <c r="G223" s="20"/>
      <c r="H223" s="19" t="s">
        <v>491</v>
      </c>
    </row>
    <row r="224" spans="1:8" s="19" customFormat="1" ht="12.75">
      <c r="A224" s="16" t="s">
        <v>497</v>
      </c>
      <c r="B224" s="20"/>
      <c r="C224" s="20"/>
      <c r="D224" s="20"/>
      <c r="E224" s="20"/>
      <c r="F224" s="20"/>
      <c r="G224" s="20"/>
      <c r="H224" s="19" t="s">
        <v>491</v>
      </c>
    </row>
    <row r="225" spans="1:7" s="19" customFormat="1" ht="12.75">
      <c r="A225" s="11" t="s">
        <v>498</v>
      </c>
      <c r="B225" s="26"/>
      <c r="C225" s="26"/>
      <c r="D225" s="26"/>
      <c r="E225" s="26"/>
      <c r="F225" s="26"/>
      <c r="G225" s="26"/>
    </row>
    <row r="226" spans="1:7" s="19" customFormat="1" ht="12.75">
      <c r="A226" s="16" t="s">
        <v>499</v>
      </c>
      <c r="B226" s="20"/>
      <c r="C226" s="20"/>
      <c r="D226" s="20"/>
      <c r="E226" s="20"/>
      <c r="F226" s="20"/>
      <c r="G226" s="20"/>
    </row>
    <row r="227" spans="1:8" s="19" customFormat="1" ht="12.75">
      <c r="A227" s="16" t="s">
        <v>500</v>
      </c>
      <c r="B227" s="20"/>
      <c r="C227" s="20"/>
      <c r="D227" s="20"/>
      <c r="E227" s="20"/>
      <c r="F227" s="20"/>
      <c r="G227" s="20"/>
      <c r="H227" s="27" t="s">
        <v>501</v>
      </c>
    </row>
    <row r="228" spans="1:7" s="19" customFormat="1" ht="12.75">
      <c r="A228" s="7" t="s">
        <v>502</v>
      </c>
      <c r="B228" s="20"/>
      <c r="C228" s="20"/>
      <c r="D228" s="20"/>
      <c r="E228" s="20"/>
      <c r="F228" s="20"/>
      <c r="G228" s="20"/>
    </row>
    <row r="229" spans="1:8" s="19" customFormat="1" ht="12.75" customHeight="1">
      <c r="A229" s="7" t="s">
        <v>503</v>
      </c>
      <c r="B229" s="20"/>
      <c r="C229" s="20"/>
      <c r="D229" s="20"/>
      <c r="E229" s="20"/>
      <c r="F229" s="20"/>
      <c r="G229" s="20"/>
      <c r="H229" s="19" t="s">
        <v>504</v>
      </c>
    </row>
    <row r="230" spans="1:4" s="19" customFormat="1" ht="12.75">
      <c r="A230" s="11"/>
      <c r="B230" s="26"/>
      <c r="C230" s="26"/>
      <c r="D230" s="26"/>
    </row>
    <row r="231" spans="1:7" s="6" customFormat="1" ht="25.5">
      <c r="A231" s="18" t="s">
        <v>505</v>
      </c>
      <c r="B231" s="6" t="s">
        <v>428</v>
      </c>
      <c r="C231" s="6" t="s">
        <v>429</v>
      </c>
      <c r="D231" s="6" t="s">
        <v>430</v>
      </c>
      <c r="E231" s="6" t="s">
        <v>431</v>
      </c>
      <c r="F231" s="6" t="s">
        <v>432</v>
      </c>
      <c r="G231" s="6" t="s">
        <v>433</v>
      </c>
    </row>
    <row r="232" ht="12.75"/>
    <row r="233" spans="1:7" ht="12.75">
      <c r="A233" s="11" t="s">
        <v>506</v>
      </c>
      <c r="B233" s="25"/>
      <c r="C233" s="25"/>
      <c r="D233" s="25"/>
      <c r="E233" s="25"/>
      <c r="F233" s="25"/>
      <c r="G233" s="25"/>
    </row>
    <row r="234" spans="1:8" ht="12.75">
      <c r="A234" s="16" t="s">
        <v>507</v>
      </c>
      <c r="B234" s="8"/>
      <c r="C234" s="8"/>
      <c r="D234" s="8"/>
      <c r="E234" s="22"/>
      <c r="F234" s="22"/>
      <c r="G234" s="22"/>
      <c r="H234" s="1" t="s">
        <v>508</v>
      </c>
    </row>
    <row r="235" spans="1:7" ht="12.75">
      <c r="A235" s="16" t="s">
        <v>509</v>
      </c>
      <c r="B235" s="8"/>
      <c r="C235" s="8"/>
      <c r="D235" s="8"/>
      <c r="E235" s="22"/>
      <c r="F235" s="22"/>
      <c r="G235" s="22"/>
    </row>
    <row r="236" spans="1:8" ht="12.75">
      <c r="A236" s="16" t="s">
        <v>510</v>
      </c>
      <c r="B236" s="8"/>
      <c r="C236" s="8"/>
      <c r="D236" s="8"/>
      <c r="E236" s="22"/>
      <c r="F236" s="22"/>
      <c r="G236" s="22"/>
      <c r="H236" s="1" t="s">
        <v>253</v>
      </c>
    </row>
    <row r="237" spans="1:7" ht="12.75">
      <c r="A237" s="11" t="s">
        <v>511</v>
      </c>
      <c r="B237" s="14"/>
      <c r="C237" s="14"/>
      <c r="D237" s="14"/>
      <c r="E237" s="25"/>
      <c r="F237" s="25"/>
      <c r="G237" s="25"/>
    </row>
    <row r="238" spans="1:8" ht="12.75">
      <c r="A238" s="16" t="s">
        <v>512</v>
      </c>
      <c r="B238" s="8"/>
      <c r="C238" s="8"/>
      <c r="D238" s="8"/>
      <c r="E238" s="22"/>
      <c r="F238" s="22"/>
      <c r="G238" s="22"/>
      <c r="H238" s="1" t="s">
        <v>513</v>
      </c>
    </row>
    <row r="239" spans="1:7" ht="12.75">
      <c r="A239" s="16" t="s">
        <v>514</v>
      </c>
      <c r="B239" s="8"/>
      <c r="C239" s="8"/>
      <c r="D239" s="8"/>
      <c r="E239" s="22"/>
      <c r="F239" s="22"/>
      <c r="G239" s="22"/>
    </row>
    <row r="240" spans="1:7" ht="12.75">
      <c r="A240" s="16" t="s">
        <v>515</v>
      </c>
      <c r="B240" s="8"/>
      <c r="C240" s="8"/>
      <c r="D240" s="8"/>
      <c r="E240" s="22"/>
      <c r="F240" s="22"/>
      <c r="G240" s="22"/>
    </row>
    <row r="241" spans="1:8" ht="12.75">
      <c r="A241" s="16" t="s">
        <v>516</v>
      </c>
      <c r="B241" s="8"/>
      <c r="C241" s="8"/>
      <c r="D241" s="8"/>
      <c r="E241" s="22"/>
      <c r="F241" s="22"/>
      <c r="G241" s="22"/>
      <c r="H241" s="27" t="s">
        <v>253</v>
      </c>
    </row>
    <row r="242" spans="1:8" s="19" customFormat="1" ht="12.75">
      <c r="A242" s="16" t="s">
        <v>517</v>
      </c>
      <c r="B242" s="20"/>
      <c r="C242" s="20"/>
      <c r="D242" s="20"/>
      <c r="E242" s="20"/>
      <c r="F242" s="20"/>
      <c r="G242" s="20"/>
      <c r="H242" s="27" t="s">
        <v>253</v>
      </c>
    </row>
    <row r="243" spans="1:8" ht="12.75">
      <c r="A243" s="7" t="s">
        <v>518</v>
      </c>
      <c r="B243" s="8"/>
      <c r="C243" s="8"/>
      <c r="D243" s="8"/>
      <c r="E243" s="22"/>
      <c r="F243" s="22"/>
      <c r="G243" s="22"/>
      <c r="H243" s="1" t="s">
        <v>519</v>
      </c>
    </row>
    <row r="244" spans="1:8" ht="12.75">
      <c r="A244" s="7" t="s">
        <v>520</v>
      </c>
      <c r="B244" s="8"/>
      <c r="C244" s="8"/>
      <c r="D244" s="8"/>
      <c r="E244" s="22"/>
      <c r="F244" s="22"/>
      <c r="G244" s="22"/>
      <c r="H244" s="1" t="s">
        <v>253</v>
      </c>
    </row>
    <row r="245" spans="1:8" ht="12.75">
      <c r="A245" s="7" t="s">
        <v>521</v>
      </c>
      <c r="B245" s="8"/>
      <c r="C245" s="8"/>
      <c r="D245" s="8"/>
      <c r="E245" s="22"/>
      <c r="F245" s="22"/>
      <c r="G245" s="22"/>
      <c r="H245" s="1" t="s">
        <v>522</v>
      </c>
    </row>
    <row r="246" spans="1:8" ht="12.75">
      <c r="A246" s="7" t="s">
        <v>523</v>
      </c>
      <c r="B246" s="8"/>
      <c r="C246" s="8"/>
      <c r="D246" s="8"/>
      <c r="E246" s="22"/>
      <c r="F246" s="22"/>
      <c r="G246" s="22"/>
      <c r="H246" s="1" t="s">
        <v>253</v>
      </c>
    </row>
    <row r="247" spans="1:8" ht="25.5">
      <c r="A247" s="7" t="s">
        <v>524</v>
      </c>
      <c r="B247" s="8"/>
      <c r="C247" s="8"/>
      <c r="D247" s="8"/>
      <c r="E247" s="22"/>
      <c r="F247" s="22"/>
      <c r="G247" s="22"/>
      <c r="H247" s="1" t="s">
        <v>253</v>
      </c>
    </row>
    <row r="248" spans="1:8" ht="12.75">
      <c r="A248" s="7" t="s">
        <v>525</v>
      </c>
      <c r="B248" s="8"/>
      <c r="C248" s="8"/>
      <c r="D248" s="8"/>
      <c r="E248" s="22"/>
      <c r="F248" s="22"/>
      <c r="G248" s="22"/>
      <c r="H248" s="1" t="s">
        <v>253</v>
      </c>
    </row>
    <row r="249" spans="1:8" ht="12.75">
      <c r="A249" s="7" t="s">
        <v>526</v>
      </c>
      <c r="B249" s="8"/>
      <c r="C249" s="8"/>
      <c r="D249" s="8"/>
      <c r="E249" s="22"/>
      <c r="F249" s="22"/>
      <c r="G249" s="22"/>
      <c r="H249" s="1" t="s">
        <v>253</v>
      </c>
    </row>
    <row r="250" spans="1:8" ht="12.75">
      <c r="A250" s="7" t="s">
        <v>527</v>
      </c>
      <c r="B250" s="8"/>
      <c r="C250" s="8"/>
      <c r="D250" s="8"/>
      <c r="E250" s="22"/>
      <c r="F250" s="22"/>
      <c r="G250" s="22"/>
      <c r="H250" s="1" t="s">
        <v>253</v>
      </c>
    </row>
    <row r="251" spans="1:8" ht="15.75" customHeight="1">
      <c r="A251" s="7" t="s">
        <v>528</v>
      </c>
      <c r="B251" s="8"/>
      <c r="C251" s="8"/>
      <c r="D251" s="8"/>
      <c r="E251" s="22"/>
      <c r="F251" s="22"/>
      <c r="G251" s="22"/>
      <c r="H251" s="1" t="s">
        <v>529</v>
      </c>
    </row>
    <row r="252" spans="1:8" ht="15.75" customHeight="1">
      <c r="A252" s="7" t="s">
        <v>530</v>
      </c>
      <c r="B252" s="8"/>
      <c r="C252" s="8"/>
      <c r="D252" s="8"/>
      <c r="E252" s="22"/>
      <c r="F252" s="22"/>
      <c r="G252" s="22"/>
      <c r="H252" s="1" t="s">
        <v>531</v>
      </c>
    </row>
    <row r="253" spans="1:8" ht="17.25" customHeight="1">
      <c r="A253" s="7" t="s">
        <v>532</v>
      </c>
      <c r="B253" s="8"/>
      <c r="C253" s="8"/>
      <c r="D253" s="8"/>
      <c r="E253" s="22"/>
      <c r="F253" s="22"/>
      <c r="G253" s="22"/>
      <c r="H253" s="1" t="s">
        <v>533</v>
      </c>
    </row>
    <row r="254" spans="1:8" ht="17.25" customHeight="1">
      <c r="A254" s="7" t="s">
        <v>534</v>
      </c>
      <c r="B254" s="8"/>
      <c r="C254" s="8"/>
      <c r="D254" s="8"/>
      <c r="E254" s="8"/>
      <c r="F254" s="8"/>
      <c r="G254" s="8"/>
      <c r="H254" s="1" t="s">
        <v>535</v>
      </c>
    </row>
    <row r="255" spans="1:8" ht="12.75">
      <c r="A255" s="7" t="s">
        <v>536</v>
      </c>
      <c r="B255" s="8"/>
      <c r="C255" s="8"/>
      <c r="D255" s="8"/>
      <c r="E255" s="22"/>
      <c r="F255" s="22"/>
      <c r="G255" s="22"/>
      <c r="H255" s="1" t="s">
        <v>537</v>
      </c>
    </row>
    <row r="256" spans="1:7" s="15" customFormat="1" ht="12.75">
      <c r="A256" s="7" t="s">
        <v>538</v>
      </c>
      <c r="B256" s="8"/>
      <c r="C256" s="8"/>
      <c r="D256" s="8"/>
      <c r="E256" s="22"/>
      <c r="F256" s="22"/>
      <c r="G256" s="22"/>
    </row>
    <row r="257" spans="1:8" ht="12.75">
      <c r="A257" s="7" t="s">
        <v>539</v>
      </c>
      <c r="B257" s="8"/>
      <c r="C257" s="8"/>
      <c r="D257" s="8"/>
      <c r="E257" s="22"/>
      <c r="F257" s="22"/>
      <c r="G257" s="22"/>
      <c r="H257" s="1" t="s">
        <v>253</v>
      </c>
    </row>
    <row r="258" spans="1:8" ht="12.75">
      <c r="A258" s="7" t="s">
        <v>540</v>
      </c>
      <c r="B258" s="8"/>
      <c r="C258" s="8"/>
      <c r="D258" s="8"/>
      <c r="E258" s="22"/>
      <c r="F258" s="22"/>
      <c r="G258" s="22"/>
      <c r="H258" s="1" t="s">
        <v>541</v>
      </c>
    </row>
    <row r="259" spans="1:7" s="15" customFormat="1" ht="12.75">
      <c r="A259" s="7" t="s">
        <v>542</v>
      </c>
      <c r="B259" s="8"/>
      <c r="C259" s="8"/>
      <c r="D259" s="8"/>
      <c r="E259" s="22"/>
      <c r="F259" s="22"/>
      <c r="G259" s="22"/>
    </row>
    <row r="260" spans="1:8" ht="12.75">
      <c r="A260" s="7" t="s">
        <v>543</v>
      </c>
      <c r="B260" s="8"/>
      <c r="C260" s="8"/>
      <c r="D260" s="8"/>
      <c r="E260" s="22"/>
      <c r="F260" s="22"/>
      <c r="G260" s="22"/>
      <c r="H260" s="1" t="s">
        <v>541</v>
      </c>
    </row>
    <row r="261" spans="1:8" ht="12.75">
      <c r="A261" s="7" t="s">
        <v>544</v>
      </c>
      <c r="B261" s="8"/>
      <c r="C261" s="8"/>
      <c r="D261" s="8"/>
      <c r="E261" s="8"/>
      <c r="F261" s="8"/>
      <c r="G261" s="8"/>
      <c r="H261" s="1" t="s">
        <v>545</v>
      </c>
    </row>
    <row r="262" spans="1:8" ht="12" customHeight="1">
      <c r="A262" s="7" t="s">
        <v>546</v>
      </c>
      <c r="B262" s="8"/>
      <c r="C262" s="8"/>
      <c r="D262" s="8"/>
      <c r="E262" s="22"/>
      <c r="F262" s="22"/>
      <c r="G262" s="22"/>
      <c r="H262" s="1" t="s">
        <v>541</v>
      </c>
    </row>
    <row r="263" spans="1:7" ht="17.25" customHeight="1">
      <c r="A263" s="7" t="s">
        <v>547</v>
      </c>
      <c r="B263" s="8"/>
      <c r="C263" s="8"/>
      <c r="D263" s="8"/>
      <c r="E263" s="22"/>
      <c r="F263" s="22"/>
      <c r="G263" s="22"/>
    </row>
    <row r="264" spans="1:7" s="15" customFormat="1" ht="12" customHeight="1">
      <c r="A264" s="7" t="s">
        <v>548</v>
      </c>
      <c r="B264" s="8"/>
      <c r="C264" s="8"/>
      <c r="D264" s="8"/>
      <c r="E264" s="22"/>
      <c r="F264" s="22"/>
      <c r="G264" s="22"/>
    </row>
    <row r="265" spans="1:7" ht="12" customHeight="1">
      <c r="A265" s="7" t="s">
        <v>549</v>
      </c>
      <c r="B265" s="8"/>
      <c r="C265" s="8"/>
      <c r="D265" s="8"/>
      <c r="E265" s="22"/>
      <c r="F265" s="22"/>
      <c r="G265" s="22"/>
    </row>
    <row r="266" spans="1:8" ht="12" customHeight="1">
      <c r="A266" s="7" t="s">
        <v>550</v>
      </c>
      <c r="B266" s="8"/>
      <c r="C266" s="8"/>
      <c r="D266" s="8"/>
      <c r="E266" s="22"/>
      <c r="F266" s="22"/>
      <c r="G266" s="22"/>
      <c r="H266" s="1" t="s">
        <v>253</v>
      </c>
    </row>
    <row r="267" spans="1:4" ht="12.75">
      <c r="A267" s="11"/>
      <c r="B267" s="14"/>
      <c r="C267" s="14"/>
      <c r="D267" s="14"/>
    </row>
    <row r="268" spans="1:4" s="6" customFormat="1" ht="12.75">
      <c r="A268" s="28" t="s">
        <v>551</v>
      </c>
      <c r="B268" s="29"/>
      <c r="C268" s="29"/>
      <c r="D268" s="29"/>
    </row>
    <row r="269" spans="1:4" ht="12.75">
      <c r="A269" s="11"/>
      <c r="B269" s="14"/>
      <c r="C269" s="14"/>
      <c r="D269" s="14"/>
    </row>
    <row r="270" spans="1:8" ht="12.75">
      <c r="A270" s="11" t="s">
        <v>552</v>
      </c>
      <c r="B270" s="8"/>
      <c r="C270" s="14"/>
      <c r="D270" s="14"/>
      <c r="H270" s="1" t="s">
        <v>553</v>
      </c>
    </row>
    <row r="271" spans="1:4" ht="12.75">
      <c r="A271" s="11"/>
      <c r="B271" s="14"/>
      <c r="C271" s="14"/>
      <c r="D271" s="14"/>
    </row>
    <row r="272" spans="1:4" ht="12.75">
      <c r="A272" s="11"/>
      <c r="B272" s="14"/>
      <c r="C272" s="14"/>
      <c r="D272" s="14"/>
    </row>
    <row r="273" spans="1:4" ht="12.75">
      <c r="A273" s="11"/>
      <c r="B273" s="14"/>
      <c r="C273" s="14"/>
      <c r="D273" s="14"/>
    </row>
    <row r="274" spans="1:4" ht="12.75">
      <c r="A274" s="11"/>
      <c r="B274" s="14"/>
      <c r="C274" s="14"/>
      <c r="D274" s="14"/>
    </row>
    <row r="275" ht="12.75">
      <c r="A275" s="21"/>
    </row>
    <row r="276" spans="1:4" ht="12.75">
      <c r="A276" s="11"/>
      <c r="B276" s="14"/>
      <c r="C276" s="14"/>
      <c r="D276" s="14"/>
    </row>
    <row r="277" spans="1:4" ht="12.75">
      <c r="A277" s="11"/>
      <c r="B277" s="14"/>
      <c r="C277" s="14"/>
      <c r="D277" s="14"/>
    </row>
    <row r="278" spans="1:4" ht="12.75">
      <c r="A278" s="11"/>
      <c r="B278" s="14"/>
      <c r="C278" s="14"/>
      <c r="D278" s="14"/>
    </row>
  </sheetData>
  <printOptions gridLines="1"/>
  <pageMargins left="0.75" right="0.75" top="1" bottom="1" header="0.5" footer="0.5"/>
  <pageSetup horizontalDpi="600" verticalDpi="600" orientation="landscape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9"/>
  <sheetViews>
    <sheetView zoomScale="75" zoomScaleNormal="75" workbookViewId="0" topLeftCell="A1">
      <selection activeCell="C16" sqref="C16"/>
    </sheetView>
  </sheetViews>
  <sheetFormatPr defaultColWidth="9.140625" defaultRowHeight="12.75"/>
  <cols>
    <col min="2" max="2" width="42.8515625" style="0" bestFit="1" customWidth="1"/>
  </cols>
  <sheetData>
    <row r="1" spans="1:8" ht="20.25" customHeight="1">
      <c r="A1" s="103"/>
      <c r="B1" s="104" t="s">
        <v>1346</v>
      </c>
      <c r="C1" s="103"/>
      <c r="D1" s="103"/>
      <c r="E1" s="103"/>
      <c r="F1" s="102"/>
      <c r="G1" s="102"/>
      <c r="H1" s="102"/>
    </row>
    <row r="2" spans="1:8" ht="20.25" customHeight="1">
      <c r="A2" s="103"/>
      <c r="B2" s="105"/>
      <c r="C2" s="103"/>
      <c r="D2" s="103"/>
      <c r="E2" s="103"/>
      <c r="F2" s="102"/>
      <c r="G2" s="102"/>
      <c r="H2" s="102"/>
    </row>
    <row r="3" spans="1:8" ht="12.75">
      <c r="A3" s="106" t="s">
        <v>1206</v>
      </c>
      <c r="B3" s="106" t="s">
        <v>1207</v>
      </c>
      <c r="C3" s="106" t="s">
        <v>428</v>
      </c>
      <c r="D3" s="106" t="s">
        <v>429</v>
      </c>
      <c r="E3" s="106" t="s">
        <v>430</v>
      </c>
      <c r="F3" s="106" t="s">
        <v>431</v>
      </c>
      <c r="G3" s="106" t="s">
        <v>432</v>
      </c>
      <c r="H3" s="106" t="s">
        <v>433</v>
      </c>
    </row>
    <row r="4" spans="1:8" ht="12.75">
      <c r="A4" s="106"/>
      <c r="B4" s="106"/>
      <c r="C4" s="106"/>
      <c r="D4" s="106"/>
      <c r="E4" s="106"/>
      <c r="F4" s="106"/>
      <c r="G4" s="106"/>
      <c r="H4" s="106"/>
    </row>
    <row r="5" spans="1:8" ht="12.75">
      <c r="A5" s="106" t="s">
        <v>1208</v>
      </c>
      <c r="B5" s="102" t="s">
        <v>1209</v>
      </c>
      <c r="C5" s="102">
        <f>INDEX(IF(CSL,UIM_CSL_Base_rate,UIM_BI_Base_rate),1,1)</f>
        <v>0</v>
      </c>
      <c r="D5" s="102">
        <f>INDEX(IF(CSL,UIM_CSL_Base_rate,UIM_BI_Base_rate),1,2)</f>
        <v>0</v>
      </c>
      <c r="E5" s="102">
        <f>INDEX(IF(CSL,UIM_CSL_Base_rate,UIM_BI_Base_rate),1,3)</f>
        <v>0</v>
      </c>
      <c r="F5" s="102">
        <f>INDEX(IF(CSL,UIM_CSL_Base_rate,UIM_BI_Base_rate),1,4)</f>
        <v>0</v>
      </c>
      <c r="G5" s="102">
        <f>INDEX(IF(CSL,UIM_CSL_Base_rate,UIM_BI_Base_rate),1,5)</f>
        <v>0</v>
      </c>
      <c r="H5" s="102">
        <f>INDEX(IF(CSL,UIM_CSL_Base_rate,UIM_BI_Base_rate),1,6)</f>
        <v>0</v>
      </c>
    </row>
    <row r="6" spans="1:8" ht="12.75">
      <c r="A6" s="106"/>
      <c r="B6" s="102"/>
      <c r="C6" s="102"/>
      <c r="D6" s="102"/>
      <c r="E6" s="102"/>
      <c r="F6" s="102"/>
      <c r="G6" s="102"/>
      <c r="H6" s="102"/>
    </row>
    <row r="7" spans="1:9" s="102" customFormat="1" ht="12.75">
      <c r="A7" s="106" t="s">
        <v>1212</v>
      </c>
      <c r="B7" s="107" t="s">
        <v>1333</v>
      </c>
      <c r="C7" s="102">
        <f aca="true" t="shared" si="0" ref="C7:H7">(C5*(IF(Insured_State="NC",Company_Deviation_Factor_NC,IF(CSL,Company_Deviation_Factor_UMUIM_CSL,Company_Deviation_Factor_UMUIM_Split_BI))))</f>
        <v>0</v>
      </c>
      <c r="D7" s="102">
        <f t="shared" si="0"/>
        <v>0</v>
      </c>
      <c r="E7" s="102">
        <f t="shared" si="0"/>
        <v>0</v>
      </c>
      <c r="F7" s="102">
        <f t="shared" si="0"/>
        <v>0</v>
      </c>
      <c r="G7" s="102">
        <f t="shared" si="0"/>
        <v>0</v>
      </c>
      <c r="H7" s="102">
        <f t="shared" si="0"/>
        <v>0</v>
      </c>
      <c r="I7" s="1"/>
    </row>
    <row r="8" spans="1:9" s="102" customFormat="1" ht="12.75">
      <c r="A8" s="106"/>
      <c r="B8" s="107"/>
      <c r="I8" s="1"/>
    </row>
    <row r="9" spans="1:8" ht="12.75">
      <c r="A9" s="106" t="s">
        <v>1214</v>
      </c>
      <c r="B9" s="102" t="s">
        <v>1215</v>
      </c>
      <c r="C9" s="102">
        <f>INDEX(IF(CSL,UIM_CSL_Increased_Limits_factor,UIM_BI_Increased_Limits_Factor),1,1)</f>
        <v>0</v>
      </c>
      <c r="D9" s="102">
        <f>INDEX(IF(CSL,UIM_CSL_Increased_Limits_factor,UIM_BI_Increased_Limits_Factor),1,2)</f>
        <v>0</v>
      </c>
      <c r="E9" s="102">
        <f>INDEX(IF(CSL,UIM_CSL_Increased_Limits_factor,UIM_BI_Increased_Limits_Factor),1,3)</f>
        <v>0</v>
      </c>
      <c r="F9" s="102">
        <f>INDEX(IF(CSL,UIM_CSL_Increased_Limits_factor,UIM_BI_Increased_Limits_Factor),1,4)</f>
        <v>0</v>
      </c>
      <c r="G9" s="102">
        <f>INDEX(IF(CSL,UIM_CSL_Increased_Limits_factor,UIM_BI_Increased_Limits_Factor),1,5)</f>
        <v>0</v>
      </c>
      <c r="H9" s="102">
        <f>INDEX(IF(CSL,UIM_CSL_Increased_Limits_factor,UIM_BI_Increased_Limits_Factor),1,6)</f>
        <v>0</v>
      </c>
    </row>
    <row r="10" spans="1:8" ht="12.75">
      <c r="A10" s="106"/>
      <c r="B10" s="102"/>
      <c r="C10" s="102"/>
      <c r="D10" s="102"/>
      <c r="E10" s="102"/>
      <c r="F10" s="102"/>
      <c r="G10" s="102"/>
      <c r="H10" s="102"/>
    </row>
    <row r="11" spans="1:9" ht="12.75">
      <c r="A11" s="106"/>
      <c r="B11" s="108" t="s">
        <v>1237</v>
      </c>
      <c r="C11" s="111">
        <f>INDEX(Accident_Prevention_Discount_Factor,,1)</f>
        <v>0</v>
      </c>
      <c r="D11" s="111">
        <f>INDEX(Accident_Prevention_Discount_Factor,,2)</f>
        <v>0</v>
      </c>
      <c r="E11" s="111">
        <f>INDEX(Accident_Prevention_Discount_Factor,,3)</f>
        <v>0</v>
      </c>
      <c r="F11" s="111">
        <f>INDEX(Accident_Prevention_Discount_Factor,,4)</f>
        <v>0</v>
      </c>
      <c r="G11" s="111">
        <f>INDEX(Accident_Prevention_Discount_Factor,,5)</f>
        <v>0</v>
      </c>
      <c r="H11" s="111">
        <f>INDEX(Accident_Prevention_Discount_Factor,,6)</f>
        <v>0</v>
      </c>
      <c r="I11" s="1"/>
    </row>
    <row r="12" spans="1:9" ht="12.75">
      <c r="A12" s="106"/>
      <c r="B12" s="108"/>
      <c r="C12" s="111"/>
      <c r="D12" s="111"/>
      <c r="E12" s="111"/>
      <c r="F12" s="111"/>
      <c r="G12" s="111"/>
      <c r="H12" s="111"/>
      <c r="I12" s="1"/>
    </row>
    <row r="13" spans="1:8" ht="12.75">
      <c r="A13" s="106" t="s">
        <v>1334</v>
      </c>
      <c r="B13" s="108" t="s">
        <v>1335</v>
      </c>
      <c r="C13" s="102">
        <f aca="true" t="shared" si="1" ref="C13:H13">C7*C9</f>
        <v>0</v>
      </c>
      <c r="D13" s="102">
        <f t="shared" si="1"/>
        <v>0</v>
      </c>
      <c r="E13" s="102">
        <f t="shared" si="1"/>
        <v>0</v>
      </c>
      <c r="F13" s="102">
        <f t="shared" si="1"/>
        <v>0</v>
      </c>
      <c r="G13" s="102">
        <f t="shared" si="1"/>
        <v>0</v>
      </c>
      <c r="H13" s="102">
        <f t="shared" si="1"/>
        <v>0</v>
      </c>
    </row>
    <row r="14" spans="1:8" ht="12.75">
      <c r="A14" s="102"/>
      <c r="B14" s="109"/>
      <c r="C14" s="102"/>
      <c r="D14" s="102"/>
      <c r="E14" s="102"/>
      <c r="F14" s="102"/>
      <c r="G14" s="102"/>
      <c r="H14" s="102"/>
    </row>
    <row r="15" spans="1:9" s="102" customFormat="1" ht="12.75">
      <c r="A15" s="106" t="s">
        <v>1222</v>
      </c>
      <c r="B15" s="102" t="s">
        <v>1255</v>
      </c>
      <c r="C15" s="102">
        <f aca="true" t="shared" si="2" ref="C15:H15">C13-(C13*Valued_Customer_Discount_Factor)</f>
        <v>0</v>
      </c>
      <c r="D15" s="102">
        <f t="shared" si="2"/>
        <v>0</v>
      </c>
      <c r="E15" s="102">
        <f t="shared" si="2"/>
        <v>0</v>
      </c>
      <c r="F15" s="102">
        <f t="shared" si="2"/>
        <v>0</v>
      </c>
      <c r="G15" s="102">
        <f t="shared" si="2"/>
        <v>0</v>
      </c>
      <c r="H15" s="102">
        <f t="shared" si="2"/>
        <v>0</v>
      </c>
      <c r="I15" s="1"/>
    </row>
    <row r="16" spans="1:9" s="102" customFormat="1" ht="12.75">
      <c r="A16" s="106"/>
      <c r="B16" s="102" t="s">
        <v>1256</v>
      </c>
      <c r="C16" s="102">
        <f aca="true" t="shared" si="3" ref="C16:H16">IF(Insured_State="MI",C15-(C15*C11),C15)</f>
        <v>0</v>
      </c>
      <c r="D16" s="102">
        <f t="shared" si="3"/>
        <v>0</v>
      </c>
      <c r="E16" s="102">
        <f t="shared" si="3"/>
        <v>0</v>
      </c>
      <c r="F16" s="102">
        <f t="shared" si="3"/>
        <v>0</v>
      </c>
      <c r="G16" s="102">
        <f t="shared" si="3"/>
        <v>0</v>
      </c>
      <c r="H16" s="102">
        <f t="shared" si="3"/>
        <v>0</v>
      </c>
      <c r="I16" s="1"/>
    </row>
    <row r="17" spans="1:9" s="102" customFormat="1" ht="12.75">
      <c r="A17" s="106"/>
      <c r="B17" s="102" t="s">
        <v>1257</v>
      </c>
      <c r="C17" s="102">
        <f aca="true" t="shared" si="4" ref="C17:H17">C16*Policy_Period_Factor</f>
        <v>0</v>
      </c>
      <c r="D17" s="102">
        <f t="shared" si="4"/>
        <v>0</v>
      </c>
      <c r="E17" s="102">
        <f t="shared" si="4"/>
        <v>0</v>
      </c>
      <c r="F17" s="102">
        <f t="shared" si="4"/>
        <v>0</v>
      </c>
      <c r="G17" s="102">
        <f t="shared" si="4"/>
        <v>0</v>
      </c>
      <c r="H17" s="102">
        <f t="shared" si="4"/>
        <v>0</v>
      </c>
      <c r="I17" s="1"/>
    </row>
    <row r="18" spans="1:9" s="102" customFormat="1" ht="12.75">
      <c r="A18" s="106"/>
      <c r="B18" s="102" t="s">
        <v>1258</v>
      </c>
      <c r="C18" s="102">
        <f aca="true" t="shared" si="5" ref="C18:H18">C17-(C17*Fampak_Discount_Factor)</f>
        <v>0</v>
      </c>
      <c r="D18" s="102">
        <f t="shared" si="5"/>
        <v>0</v>
      </c>
      <c r="E18" s="102">
        <f t="shared" si="5"/>
        <v>0</v>
      </c>
      <c r="F18" s="102">
        <f t="shared" si="5"/>
        <v>0</v>
      </c>
      <c r="G18" s="102">
        <f t="shared" si="5"/>
        <v>0</v>
      </c>
      <c r="H18" s="102">
        <f t="shared" si="5"/>
        <v>0</v>
      </c>
      <c r="I18" s="1"/>
    </row>
    <row r="19" spans="1:9" s="102" customFormat="1" ht="12.75">
      <c r="A19" s="106"/>
      <c r="B19" s="112" t="s">
        <v>1259</v>
      </c>
      <c r="C19" s="102">
        <f aca="true" t="shared" si="6" ref="C19:H19">C18-(C18*Prime_Life_Discount_Factor)</f>
        <v>0</v>
      </c>
      <c r="D19" s="102">
        <f t="shared" si="6"/>
        <v>0</v>
      </c>
      <c r="E19" s="102">
        <f t="shared" si="6"/>
        <v>0</v>
      </c>
      <c r="F19" s="102">
        <f t="shared" si="6"/>
        <v>0</v>
      </c>
      <c r="G19" s="102">
        <f t="shared" si="6"/>
        <v>0</v>
      </c>
      <c r="H19" s="102">
        <f t="shared" si="6"/>
        <v>0</v>
      </c>
      <c r="I19" s="1"/>
    </row>
    <row r="20" spans="1:9" s="102" customFormat="1" ht="12.75">
      <c r="A20" s="106"/>
      <c r="B20" s="102" t="s">
        <v>1260</v>
      </c>
      <c r="C20" s="102">
        <f aca="true" t="shared" si="7" ref="C20:H20">IF(Insured_State="PA",C19-(C19*C11),C19)</f>
        <v>0</v>
      </c>
      <c r="D20" s="102">
        <f t="shared" si="7"/>
        <v>0</v>
      </c>
      <c r="E20" s="102">
        <f t="shared" si="7"/>
        <v>0</v>
      </c>
      <c r="F20" s="102">
        <f t="shared" si="7"/>
        <v>0</v>
      </c>
      <c r="G20" s="102">
        <f t="shared" si="7"/>
        <v>0</v>
      </c>
      <c r="H20" s="102">
        <f t="shared" si="7"/>
        <v>0</v>
      </c>
      <c r="I20" s="1"/>
    </row>
    <row r="21" spans="1:9" s="102" customFormat="1" ht="12.75">
      <c r="A21" s="106"/>
      <c r="B21" s="102" t="s">
        <v>1261</v>
      </c>
      <c r="C21" s="102">
        <f aca="true" t="shared" si="8" ref="C21:H21">IF(Insured_State="PA",Tort_Factor_UMUIM,1)</f>
        <v>1</v>
      </c>
      <c r="D21" s="102">
        <f t="shared" si="8"/>
        <v>1</v>
      </c>
      <c r="E21" s="102">
        <f t="shared" si="8"/>
        <v>1</v>
      </c>
      <c r="F21" s="102">
        <f t="shared" si="8"/>
        <v>1</v>
      </c>
      <c r="G21" s="102">
        <f t="shared" si="8"/>
        <v>1</v>
      </c>
      <c r="H21" s="102">
        <f t="shared" si="8"/>
        <v>1</v>
      </c>
      <c r="I21" s="1"/>
    </row>
    <row r="22" spans="1:9" s="102" customFormat="1" ht="12.75">
      <c r="A22" s="106"/>
      <c r="B22" s="102" t="s">
        <v>1262</v>
      </c>
      <c r="C22" s="102">
        <f aca="true" t="shared" si="9" ref="C22:H22">C20*C21</f>
        <v>0</v>
      </c>
      <c r="D22" s="102">
        <f t="shared" si="9"/>
        <v>0</v>
      </c>
      <c r="E22" s="102">
        <f t="shared" si="9"/>
        <v>0</v>
      </c>
      <c r="F22" s="102">
        <f t="shared" si="9"/>
        <v>0</v>
      </c>
      <c r="G22" s="102">
        <f t="shared" si="9"/>
        <v>0</v>
      </c>
      <c r="H22" s="102">
        <f t="shared" si="9"/>
        <v>0</v>
      </c>
      <c r="I22" s="1"/>
    </row>
    <row r="23" spans="1:9" s="102" customFormat="1" ht="12.75">
      <c r="A23" s="106"/>
      <c r="B23" s="112" t="s">
        <v>1263</v>
      </c>
      <c r="C23" s="102">
        <f>C22-(C22*INDEX(Mass_Merchandise_Factor,,1))</f>
        <v>0</v>
      </c>
      <c r="D23" s="102">
        <f>D22-(D22*INDEX(Mass_Merchandise_Factor,,2))</f>
        <v>0</v>
      </c>
      <c r="E23" s="102">
        <f>E22-(E22*INDEX(Mass_Merchandise_Factor,,3))</f>
        <v>0</v>
      </c>
      <c r="F23" s="102">
        <f>F22-(F22*INDEX(Mass_Merchandise_Factor,,4))</f>
        <v>0</v>
      </c>
      <c r="G23" s="102">
        <f>G22-(G22*INDEX(Mass_Merchandise_Factor,,5))</f>
        <v>0</v>
      </c>
      <c r="H23" s="102">
        <f>H22-(H22*INDEX(Mass_Merchandise_Factor,,6))</f>
        <v>0</v>
      </c>
      <c r="I23" s="1"/>
    </row>
    <row r="24" spans="1:9" s="102" customFormat="1" ht="12.75">
      <c r="A24" s="106"/>
      <c r="B24" s="112" t="s">
        <v>1264</v>
      </c>
      <c r="C24" s="102">
        <f aca="true" t="shared" si="10" ref="C24:H24">C23-(C23*IN_Standard_Agent_Commission_Factor)</f>
        <v>0</v>
      </c>
      <c r="D24" s="102">
        <f t="shared" si="10"/>
        <v>0</v>
      </c>
      <c r="E24" s="102">
        <f t="shared" si="10"/>
        <v>0</v>
      </c>
      <c r="F24" s="102">
        <f t="shared" si="10"/>
        <v>0</v>
      </c>
      <c r="G24" s="102">
        <f t="shared" si="10"/>
        <v>0</v>
      </c>
      <c r="H24" s="102">
        <f t="shared" si="10"/>
        <v>0</v>
      </c>
      <c r="I24" s="1"/>
    </row>
    <row r="25" spans="1:9" s="102" customFormat="1" ht="12.75">
      <c r="A25" s="106"/>
      <c r="B25" s="112" t="s">
        <v>1266</v>
      </c>
      <c r="C25" s="102">
        <f aca="true" t="shared" si="11" ref="C25:H25">C24</f>
        <v>0</v>
      </c>
      <c r="D25" s="102">
        <f t="shared" si="11"/>
        <v>0</v>
      </c>
      <c r="E25" s="102">
        <f t="shared" si="11"/>
        <v>0</v>
      </c>
      <c r="F25" s="102">
        <f t="shared" si="11"/>
        <v>0</v>
      </c>
      <c r="G25" s="102">
        <f t="shared" si="11"/>
        <v>0</v>
      </c>
      <c r="H25" s="102">
        <f t="shared" si="11"/>
        <v>0</v>
      </c>
      <c r="I25" s="1"/>
    </row>
    <row r="26" spans="1:9" s="102" customFormat="1" ht="12.75">
      <c r="A26" s="106"/>
      <c r="B26" s="112"/>
      <c r="I26" s="1"/>
    </row>
    <row r="27" spans="1:8" ht="12.75">
      <c r="A27" s="106"/>
      <c r="B27" s="102" t="s">
        <v>1267</v>
      </c>
      <c r="C27" s="102">
        <f>INDEX(Is_UIM_Applicable_For_Vehicle,,1)</f>
        <v>0</v>
      </c>
      <c r="D27" s="102">
        <f>INDEX(Is_UIM_Applicable_For_Vehicle,,2)</f>
        <v>0</v>
      </c>
      <c r="E27" s="102">
        <f>INDEX(Is_UIM_Applicable_For_Vehicle,,3)</f>
        <v>0</v>
      </c>
      <c r="F27" s="102">
        <f>INDEX(Is_UIM_Applicable_For_Vehicle,,4)</f>
        <v>0</v>
      </c>
      <c r="G27" s="102">
        <f>INDEX(Is_UIM_Applicable_For_Vehicle,,5)</f>
        <v>0</v>
      </c>
      <c r="H27" s="102">
        <f>INDEX(Is_UIM_Applicable_For_Vehicle,,6)</f>
        <v>0</v>
      </c>
    </row>
    <row r="28" spans="1:8" ht="12.75">
      <c r="A28" s="106"/>
      <c r="B28" s="102"/>
      <c r="C28" s="102"/>
      <c r="D28" s="102"/>
      <c r="E28" s="102"/>
      <c r="F28" s="102"/>
      <c r="G28" s="102"/>
      <c r="H28" s="102"/>
    </row>
    <row r="29" spans="1:8" ht="12.75">
      <c r="A29" s="106" t="s">
        <v>1270</v>
      </c>
      <c r="B29" s="106" t="s">
        <v>1347</v>
      </c>
      <c r="C29" s="106">
        <f aca="true" t="shared" si="12" ref="C29:H29">IF(OR(ISERROR(C25),C25&lt;=0,C27=0),0,C25)</f>
        <v>0</v>
      </c>
      <c r="D29" s="106">
        <f t="shared" si="12"/>
        <v>0</v>
      </c>
      <c r="E29" s="106">
        <f t="shared" si="12"/>
        <v>0</v>
      </c>
      <c r="F29" s="106">
        <f t="shared" si="12"/>
        <v>0</v>
      </c>
      <c r="G29" s="106">
        <f t="shared" si="12"/>
        <v>0</v>
      </c>
      <c r="H29" s="106">
        <f t="shared" si="12"/>
        <v>0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65"/>
  <sheetViews>
    <sheetView zoomScale="75" zoomScaleNormal="75" workbookViewId="0" topLeftCell="A41">
      <selection activeCell="C62" sqref="C62"/>
    </sheetView>
  </sheetViews>
  <sheetFormatPr defaultColWidth="9.140625" defaultRowHeight="12.75"/>
  <cols>
    <col min="2" max="2" width="45.00390625" style="0" customWidth="1"/>
  </cols>
  <sheetData>
    <row r="1" spans="1:8" ht="20.25" customHeight="1">
      <c r="A1" s="103"/>
      <c r="B1" s="104" t="s">
        <v>1348</v>
      </c>
      <c r="C1" s="103"/>
      <c r="D1" s="103"/>
      <c r="E1" s="103"/>
      <c r="F1" s="102"/>
      <c r="G1" s="102"/>
      <c r="H1" s="102"/>
    </row>
    <row r="3" spans="1:8" ht="12.75">
      <c r="A3" s="106" t="s">
        <v>1206</v>
      </c>
      <c r="B3" s="106" t="s">
        <v>1207</v>
      </c>
      <c r="C3" s="106" t="s">
        <v>428</v>
      </c>
      <c r="D3" s="106" t="s">
        <v>429</v>
      </c>
      <c r="E3" s="106" t="s">
        <v>430</v>
      </c>
      <c r="F3" s="106" t="s">
        <v>431</v>
      </c>
      <c r="G3" s="106" t="s">
        <v>432</v>
      </c>
      <c r="H3" s="106" t="s">
        <v>433</v>
      </c>
    </row>
    <row r="5" spans="1:8" ht="12.75">
      <c r="A5" s="31" t="s">
        <v>1208</v>
      </c>
      <c r="B5" t="s">
        <v>1349</v>
      </c>
      <c r="C5" s="102">
        <f>INDEX(IF(CSL,UMUIM_CSL_Base_Rate,UMUIM_BI_Base_Rate),1,1)</f>
        <v>0</v>
      </c>
      <c r="D5" s="102">
        <f>INDEX(IF(CSL,UMUIM_CSL_Base_Rate,UMUIM_BI_Base_Rate),1,2)</f>
        <v>0</v>
      </c>
      <c r="E5" s="102">
        <f>INDEX(IF(CSL,UMUIM_CSL_Base_Rate,UMUIM_BI_Base_Rate),1,3)</f>
        <v>0</v>
      </c>
      <c r="F5" s="102">
        <f>INDEX(IF(CSL,UMUIM_CSL_Base_Rate,UMUIM_BI_Base_Rate),1,4)</f>
        <v>0</v>
      </c>
      <c r="G5" s="102">
        <f>INDEX(IF(CSL,UMUIM_CSL_Base_Rate,UMUIM_BI_Base_Rate),1,5)</f>
        <v>0</v>
      </c>
      <c r="H5" s="102">
        <f>INDEX(IF(CSL,UMUIM_CSL_Base_Rate,UMUIM_BI_Base_Rate),1,6)</f>
        <v>0</v>
      </c>
    </row>
    <row r="6" spans="1:9" s="102" customFormat="1" ht="12.75">
      <c r="A6" s="106"/>
      <c r="B6" s="102" t="s">
        <v>1210</v>
      </c>
      <c r="C6" s="102">
        <f>IF(CSL,0,INDEX(NC_Adjusted_UMUIM_BI_Rate,,1))</f>
        <v>0</v>
      </c>
      <c r="D6" s="102">
        <f>IF(CSL,0,INDEX(NC_Adjusted_UMUIM_BI_Rate,,2))</f>
        <v>0</v>
      </c>
      <c r="E6" s="102">
        <f>IF(CSL,0,INDEX(NC_Adjusted_UMUIM_BI_Rate,,3))</f>
        <v>0</v>
      </c>
      <c r="F6" s="102">
        <f>IF(CSL,0,INDEX(NC_Adjusted_UMUIM_BI_Rate,,4))</f>
        <v>0</v>
      </c>
      <c r="G6" s="102">
        <f>IF(CSL,0,INDEX(NC_Adjusted_UMUIM_BI_Rate,,5))</f>
        <v>0</v>
      </c>
      <c r="H6" s="102">
        <f>IF(CSL,0,INDEX(NC_Adjusted_UMUIM_BI_Rate,,6))</f>
        <v>0</v>
      </c>
      <c r="I6" s="1"/>
    </row>
    <row r="7" spans="1:9" s="102" customFormat="1" ht="12.75" customHeight="1">
      <c r="A7" s="106"/>
      <c r="B7" s="102" t="s">
        <v>1331</v>
      </c>
      <c r="C7" s="102">
        <f>IF(AND(Insured_State="NC",CSL=FALSE,C6=0),INDEX(NC_Alternative_Economic_Loss_Rate,,1),0)</f>
        <v>0</v>
      </c>
      <c r="D7" s="102">
        <f>IF(AND(Insured_State="NC",CSL=FALSE,D6=0),INDEX(NC_Alternative_Economic_Loss_Rate,,2),0)</f>
        <v>0</v>
      </c>
      <c r="E7" s="102">
        <f>IF(AND(Insured_State="NC",CSL=FALSE,E6=0),INDEX(NC_Alternative_Economic_Loss_Rate,,3),0)</f>
        <v>0</v>
      </c>
      <c r="F7" s="102">
        <f>IF(AND(Insured_State="NC",CSL=FALSE,F6=0),INDEX(NC_Alternative_Economic_Loss_Rate,,4),0)</f>
        <v>0</v>
      </c>
      <c r="G7" s="102">
        <f>IF(AND(Insured_State="NC",CSL=FALSE,G6=0),INDEX(NC_Alternative_Economic_Loss_Rate,,5),0)</f>
        <v>0</v>
      </c>
      <c r="H7" s="102">
        <f>IF(AND(Insured_State="NC",CSL=FALSE,H6=0),INDEX(NC_Alternative_Economic_Loss_Rate,,6),0)</f>
        <v>0</v>
      </c>
      <c r="I7" s="1" t="s">
        <v>1332</v>
      </c>
    </row>
    <row r="8" spans="1:9" s="102" customFormat="1" ht="12.75">
      <c r="A8" s="106"/>
      <c r="B8" s="102" t="s">
        <v>1211</v>
      </c>
      <c r="C8" s="102">
        <f aca="true" t="shared" si="0" ref="C8:H8">SUM(C5:C7)</f>
        <v>0</v>
      </c>
      <c r="D8" s="102">
        <f t="shared" si="0"/>
        <v>0</v>
      </c>
      <c r="E8" s="102">
        <f t="shared" si="0"/>
        <v>0</v>
      </c>
      <c r="F8" s="102">
        <f t="shared" si="0"/>
        <v>0</v>
      </c>
      <c r="G8" s="102">
        <f t="shared" si="0"/>
        <v>0</v>
      </c>
      <c r="H8" s="102">
        <f t="shared" si="0"/>
        <v>0</v>
      </c>
      <c r="I8" s="1"/>
    </row>
    <row r="10" spans="1:9" s="102" customFormat="1" ht="12.75">
      <c r="A10" s="106" t="s">
        <v>1212</v>
      </c>
      <c r="B10" s="107" t="s">
        <v>1333</v>
      </c>
      <c r="C10" s="102">
        <f aca="true" t="shared" si="1" ref="C10:H10">(C8*(IF(Insured_State="NC",Company_Deviation_Factor_NC,IF(CSL,Company_Deviation_Factor_UMUIM_CSL,Company_Deviation_Factor_UMUIM_Split_BI))))</f>
        <v>0</v>
      </c>
      <c r="D10" s="102">
        <f t="shared" si="1"/>
        <v>0</v>
      </c>
      <c r="E10" s="102">
        <f t="shared" si="1"/>
        <v>0</v>
      </c>
      <c r="F10" s="102">
        <f t="shared" si="1"/>
        <v>0</v>
      </c>
      <c r="G10" s="102">
        <f t="shared" si="1"/>
        <v>0</v>
      </c>
      <c r="H10" s="102">
        <f t="shared" si="1"/>
        <v>0</v>
      </c>
      <c r="I10" s="1"/>
    </row>
    <row r="12" spans="1:8" ht="12.75">
      <c r="A12" s="31" t="s">
        <v>1214</v>
      </c>
      <c r="B12" t="s">
        <v>625</v>
      </c>
      <c r="C12" s="102">
        <f>INDEX(IF(CSL,UMUIM_CSL_Increased_Limits_Factor,UMUIM_BI_Increased_Limits_Factor),1,1)</f>
        <v>0</v>
      </c>
      <c r="D12" s="102">
        <f>INDEX(IF(CSL,UMUIM_CSL_Increased_Limits_Factor,UMUIM_BI_Increased_Limits_Factor),1,2)</f>
        <v>0</v>
      </c>
      <c r="E12" s="102">
        <f>INDEX(IF(CSL,UMUIM_CSL_Increased_Limits_Factor,UMUIM_BI_Increased_Limits_Factor),1,3)</f>
        <v>0</v>
      </c>
      <c r="F12" s="102">
        <f>INDEX(IF(CSL,UMUIM_CSL_Increased_Limits_Factor,UMUIM_BI_Increased_Limits_Factor),1,4)</f>
        <v>0</v>
      </c>
      <c r="G12" s="102">
        <f>INDEX(IF(CSL,UMUIM_CSL_Increased_Limits_Factor,UMUIM_BI_Increased_Limits_Factor),1,5)</f>
        <v>0</v>
      </c>
      <c r="H12" s="102">
        <f>INDEX(IF(CSL,UMUIM_CSL_Increased_Limits_Factor,UMUIM_BI_Increased_Limits_Factor),1,6)</f>
        <v>0</v>
      </c>
    </row>
    <row r="13" spans="1:9" s="102" customFormat="1" ht="12.75">
      <c r="A13" s="106"/>
      <c r="B13" s="102" t="s">
        <v>1217</v>
      </c>
      <c r="C13" s="102">
        <f aca="true" t="shared" si="2" ref="C13:H13">IF(Insured_State="NC",1,C12)</f>
        <v>0</v>
      </c>
      <c r="D13" s="102">
        <f t="shared" si="2"/>
        <v>0</v>
      </c>
      <c r="E13" s="102">
        <f t="shared" si="2"/>
        <v>0</v>
      </c>
      <c r="F13" s="102">
        <f t="shared" si="2"/>
        <v>0</v>
      </c>
      <c r="G13" s="102">
        <f t="shared" si="2"/>
        <v>0</v>
      </c>
      <c r="H13" s="102">
        <f t="shared" si="2"/>
        <v>0</v>
      </c>
      <c r="I13" s="1"/>
    </row>
    <row r="14" spans="1:9" s="102" customFormat="1" ht="12.75">
      <c r="A14" s="106" t="s">
        <v>1218</v>
      </c>
      <c r="B14" s="108" t="s">
        <v>1219</v>
      </c>
      <c r="C14" s="102">
        <f aca="true" t="shared" si="3" ref="C14:H14">C13</f>
        <v>0</v>
      </c>
      <c r="D14" s="102">
        <f t="shared" si="3"/>
        <v>0</v>
      </c>
      <c r="E14" s="102">
        <f t="shared" si="3"/>
        <v>0</v>
      </c>
      <c r="F14" s="102">
        <f t="shared" si="3"/>
        <v>0</v>
      </c>
      <c r="G14" s="102">
        <f t="shared" si="3"/>
        <v>0</v>
      </c>
      <c r="H14" s="102">
        <f t="shared" si="3"/>
        <v>0</v>
      </c>
      <c r="I14" s="1"/>
    </row>
    <row r="16" spans="1:9" ht="12.75">
      <c r="A16" s="106"/>
      <c r="B16" s="108" t="s">
        <v>1237</v>
      </c>
      <c r="C16" s="111">
        <f>INDEX(Accident_Prevention_Discount_Factor,,1)</f>
        <v>0</v>
      </c>
      <c r="D16" s="111">
        <f>INDEX(Accident_Prevention_Discount_Factor,,2)</f>
        <v>0</v>
      </c>
      <c r="E16" s="111">
        <f>INDEX(Accident_Prevention_Discount_Factor,,3)</f>
        <v>0</v>
      </c>
      <c r="F16" s="111">
        <f>INDEX(Accident_Prevention_Discount_Factor,,4)</f>
        <v>0</v>
      </c>
      <c r="G16" s="111">
        <f>INDEX(Accident_Prevention_Discount_Factor,,5)</f>
        <v>0</v>
      </c>
      <c r="H16" s="111">
        <f>INDEX(Accident_Prevention_Discount_Factor,,6)</f>
        <v>0</v>
      </c>
      <c r="I16" s="1"/>
    </row>
    <row r="17" spans="1:9" ht="12.75">
      <c r="A17" s="106"/>
      <c r="B17" s="108"/>
      <c r="C17" s="111"/>
      <c r="D17" s="111"/>
      <c r="E17" s="111"/>
      <c r="F17" s="111"/>
      <c r="G17" s="111"/>
      <c r="H17" s="111"/>
      <c r="I17" s="1"/>
    </row>
    <row r="18" spans="1:8" ht="12.75">
      <c r="A18" s="106" t="s">
        <v>1334</v>
      </c>
      <c r="B18" s="108" t="s">
        <v>1350</v>
      </c>
      <c r="C18" s="102">
        <f aca="true" t="shared" si="4" ref="C18:H18">C10*C14</f>
        <v>0</v>
      </c>
      <c r="D18" s="102">
        <f t="shared" si="4"/>
        <v>0</v>
      </c>
      <c r="E18" s="102">
        <f t="shared" si="4"/>
        <v>0</v>
      </c>
      <c r="F18" s="102">
        <f t="shared" si="4"/>
        <v>0</v>
      </c>
      <c r="G18" s="102">
        <f t="shared" si="4"/>
        <v>0</v>
      </c>
      <c r="H18" s="102">
        <f t="shared" si="4"/>
        <v>0</v>
      </c>
    </row>
    <row r="20" spans="1:9" s="102" customFormat="1" ht="12.75">
      <c r="A20" s="106" t="s">
        <v>1222</v>
      </c>
      <c r="B20" s="102" t="s">
        <v>1255</v>
      </c>
      <c r="C20" s="102">
        <f aca="true" t="shared" si="5" ref="C20:H20">C18-(C18*Valued_Customer_Discount_Factor)</f>
        <v>0</v>
      </c>
      <c r="D20" s="102">
        <f t="shared" si="5"/>
        <v>0</v>
      </c>
      <c r="E20" s="102">
        <f t="shared" si="5"/>
        <v>0</v>
      </c>
      <c r="F20" s="102">
        <f t="shared" si="5"/>
        <v>0</v>
      </c>
      <c r="G20" s="102">
        <f t="shared" si="5"/>
        <v>0</v>
      </c>
      <c r="H20" s="102">
        <f t="shared" si="5"/>
        <v>0</v>
      </c>
      <c r="I20" s="1"/>
    </row>
    <row r="21" spans="1:9" s="102" customFormat="1" ht="12.75">
      <c r="A21" s="106"/>
      <c r="B21" s="102" t="s">
        <v>1256</v>
      </c>
      <c r="C21" s="102">
        <f aca="true" t="shared" si="6" ref="C21:H21">IF(Insured_State="MI",C20-(C20*C16),C20)</f>
        <v>0</v>
      </c>
      <c r="D21" s="102">
        <f t="shared" si="6"/>
        <v>0</v>
      </c>
      <c r="E21" s="102">
        <f t="shared" si="6"/>
        <v>0</v>
      </c>
      <c r="F21" s="102">
        <f t="shared" si="6"/>
        <v>0</v>
      </c>
      <c r="G21" s="102">
        <f t="shared" si="6"/>
        <v>0</v>
      </c>
      <c r="H21" s="102">
        <f t="shared" si="6"/>
        <v>0</v>
      </c>
      <c r="I21" s="1"/>
    </row>
    <row r="22" spans="1:9" s="102" customFormat="1" ht="12.75">
      <c r="A22" s="106"/>
      <c r="B22" s="102" t="s">
        <v>1257</v>
      </c>
      <c r="C22" s="102">
        <f aca="true" t="shared" si="7" ref="C22:H22">C21*Policy_Period_Factor</f>
        <v>0</v>
      </c>
      <c r="D22" s="102">
        <f t="shared" si="7"/>
        <v>0</v>
      </c>
      <c r="E22" s="102">
        <f t="shared" si="7"/>
        <v>0</v>
      </c>
      <c r="F22" s="102">
        <f t="shared" si="7"/>
        <v>0</v>
      </c>
      <c r="G22" s="102">
        <f t="shared" si="7"/>
        <v>0</v>
      </c>
      <c r="H22" s="102">
        <f t="shared" si="7"/>
        <v>0</v>
      </c>
      <c r="I22" s="1"/>
    </row>
    <row r="23" spans="1:9" s="102" customFormat="1" ht="12.75">
      <c r="A23" s="106"/>
      <c r="B23" s="102" t="s">
        <v>1258</v>
      </c>
      <c r="C23" s="102">
        <f aca="true" t="shared" si="8" ref="C23:H23">C22-(C22*Fampak_Discount_Factor)</f>
        <v>0</v>
      </c>
      <c r="D23" s="102">
        <f t="shared" si="8"/>
        <v>0</v>
      </c>
      <c r="E23" s="102">
        <f t="shared" si="8"/>
        <v>0</v>
      </c>
      <c r="F23" s="102">
        <f t="shared" si="8"/>
        <v>0</v>
      </c>
      <c r="G23" s="102">
        <f t="shared" si="8"/>
        <v>0</v>
      </c>
      <c r="H23" s="102">
        <f t="shared" si="8"/>
        <v>0</v>
      </c>
      <c r="I23" s="1"/>
    </row>
    <row r="24" spans="1:9" s="102" customFormat="1" ht="12.75">
      <c r="A24" s="106"/>
      <c r="B24" s="112" t="s">
        <v>1259</v>
      </c>
      <c r="C24" s="102">
        <f aca="true" t="shared" si="9" ref="C24:H24">C23-(C23*Prime_Life_Discount_Factor)</f>
        <v>0</v>
      </c>
      <c r="D24" s="102">
        <f t="shared" si="9"/>
        <v>0</v>
      </c>
      <c r="E24" s="102">
        <f t="shared" si="9"/>
        <v>0</v>
      </c>
      <c r="F24" s="102">
        <f t="shared" si="9"/>
        <v>0</v>
      </c>
      <c r="G24" s="102">
        <f t="shared" si="9"/>
        <v>0</v>
      </c>
      <c r="H24" s="102">
        <f t="shared" si="9"/>
        <v>0</v>
      </c>
      <c r="I24" s="1"/>
    </row>
    <row r="25" spans="1:9" s="102" customFormat="1" ht="12.75">
      <c r="A25" s="106"/>
      <c r="B25" s="102" t="s">
        <v>1260</v>
      </c>
      <c r="C25" s="102">
        <f aca="true" t="shared" si="10" ref="C25:H25">IF(Insured_State="PA",C24-(C24*C16),C24)</f>
        <v>0</v>
      </c>
      <c r="D25" s="102">
        <f t="shared" si="10"/>
        <v>0</v>
      </c>
      <c r="E25" s="102">
        <f t="shared" si="10"/>
        <v>0</v>
      </c>
      <c r="F25" s="102">
        <f t="shared" si="10"/>
        <v>0</v>
      </c>
      <c r="G25" s="102">
        <f t="shared" si="10"/>
        <v>0</v>
      </c>
      <c r="H25" s="102">
        <f t="shared" si="10"/>
        <v>0</v>
      </c>
      <c r="I25" s="1"/>
    </row>
    <row r="26" spans="1:9" s="102" customFormat="1" ht="12.75">
      <c r="A26" s="106"/>
      <c r="B26" s="102" t="s">
        <v>1261</v>
      </c>
      <c r="C26" s="102">
        <f aca="true" t="shared" si="11" ref="C26:H26">IF(Insured_State="PA",Tort_Factor_UMUIM,1)</f>
        <v>1</v>
      </c>
      <c r="D26" s="102">
        <f t="shared" si="11"/>
        <v>1</v>
      </c>
      <c r="E26" s="102">
        <f t="shared" si="11"/>
        <v>1</v>
      </c>
      <c r="F26" s="102">
        <f t="shared" si="11"/>
        <v>1</v>
      </c>
      <c r="G26" s="102">
        <f t="shared" si="11"/>
        <v>1</v>
      </c>
      <c r="H26" s="102">
        <f t="shared" si="11"/>
        <v>1</v>
      </c>
      <c r="I26" s="1"/>
    </row>
    <row r="27" spans="1:9" s="102" customFormat="1" ht="12.75">
      <c r="A27" s="106"/>
      <c r="B27" s="102" t="s">
        <v>1262</v>
      </c>
      <c r="C27" s="102">
        <f aca="true" t="shared" si="12" ref="C27:H27">C25*C26</f>
        <v>0</v>
      </c>
      <c r="D27" s="102">
        <f t="shared" si="12"/>
        <v>0</v>
      </c>
      <c r="E27" s="102">
        <f t="shared" si="12"/>
        <v>0</v>
      </c>
      <c r="F27" s="102">
        <f t="shared" si="12"/>
        <v>0</v>
      </c>
      <c r="G27" s="102">
        <f t="shared" si="12"/>
        <v>0</v>
      </c>
      <c r="H27" s="102">
        <f t="shared" si="12"/>
        <v>0</v>
      </c>
      <c r="I27" s="1"/>
    </row>
    <row r="28" spans="1:9" s="102" customFormat="1" ht="12.75">
      <c r="A28" s="106"/>
      <c r="B28" s="112" t="s">
        <v>1263</v>
      </c>
      <c r="C28" s="102">
        <f>C27-(C27*INDEX(Mass_Merchandise_Factor,,1))</f>
        <v>0</v>
      </c>
      <c r="D28" s="102">
        <f>D27-(D27*INDEX(Mass_Merchandise_Factor,,2))</f>
        <v>0</v>
      </c>
      <c r="E28" s="102">
        <f>E27-(E27*INDEX(Mass_Merchandise_Factor,,3))</f>
        <v>0</v>
      </c>
      <c r="F28" s="102">
        <f>F27-(F27*INDEX(Mass_Merchandise_Factor,,4))</f>
        <v>0</v>
      </c>
      <c r="G28" s="102">
        <f>G27-(G27*INDEX(Mass_Merchandise_Factor,,5))</f>
        <v>0</v>
      </c>
      <c r="H28" s="102">
        <f>H27-(H27*INDEX(Mass_Merchandise_Factor,,6))</f>
        <v>0</v>
      </c>
      <c r="I28" s="1"/>
    </row>
    <row r="29" spans="1:9" s="102" customFormat="1" ht="12.75">
      <c r="A29" s="106"/>
      <c r="B29" s="112" t="s">
        <v>1264</v>
      </c>
      <c r="C29" s="102">
        <f aca="true" t="shared" si="13" ref="C29:H29">C28-(C28*IN_Standard_Agent_Commission_Factor)</f>
        <v>0</v>
      </c>
      <c r="D29" s="102">
        <f t="shared" si="13"/>
        <v>0</v>
      </c>
      <c r="E29" s="102">
        <f t="shared" si="13"/>
        <v>0</v>
      </c>
      <c r="F29" s="102">
        <f t="shared" si="13"/>
        <v>0</v>
      </c>
      <c r="G29" s="102">
        <f t="shared" si="13"/>
        <v>0</v>
      </c>
      <c r="H29" s="102">
        <f t="shared" si="13"/>
        <v>0</v>
      </c>
      <c r="I29" s="1"/>
    </row>
    <row r="30" spans="1:9" s="102" customFormat="1" ht="12.75">
      <c r="A30" s="106"/>
      <c r="B30" s="112" t="s">
        <v>1266</v>
      </c>
      <c r="C30" s="102">
        <f aca="true" t="shared" si="14" ref="C30:H30">C29</f>
        <v>0</v>
      </c>
      <c r="D30" s="102">
        <f t="shared" si="14"/>
        <v>0</v>
      </c>
      <c r="E30" s="102">
        <f t="shared" si="14"/>
        <v>0</v>
      </c>
      <c r="F30" s="102">
        <f t="shared" si="14"/>
        <v>0</v>
      </c>
      <c r="G30" s="102">
        <f t="shared" si="14"/>
        <v>0</v>
      </c>
      <c r="H30" s="102">
        <f t="shared" si="14"/>
        <v>0</v>
      </c>
      <c r="I30" s="1"/>
    </row>
    <row r="32" spans="1:8" ht="12.75">
      <c r="A32" s="106" t="s">
        <v>1229</v>
      </c>
      <c r="B32" s="102" t="s">
        <v>1336</v>
      </c>
      <c r="C32" s="102">
        <f>IF(CSL,0,INDEX(UMUIM_PD_Base_Rate,1,1))</f>
        <v>0</v>
      </c>
      <c r="D32" s="102">
        <f>IF(CSL,0,INDEX(UMUIM_PD_Base_Rate,1,2))</f>
        <v>0</v>
      </c>
      <c r="E32" s="102">
        <f>IF(CSL,0,INDEX(UMUIM_PD_Base_Rate,1,3))</f>
        <v>0</v>
      </c>
      <c r="F32" s="102">
        <f>IF(CSL,0,INDEX(UMUIM_PD_Base_Rate,1,4))</f>
        <v>0</v>
      </c>
      <c r="G32" s="102">
        <f>IF(CSL,0,INDEX(UMUIM_PD_Base_Rate,1,5))</f>
        <v>0</v>
      </c>
      <c r="H32" s="102">
        <f>IF(CSL,0,INDEX(UMUIM_PD_Base_Rate,1,6))</f>
        <v>0</v>
      </c>
    </row>
    <row r="33" spans="1:9" s="102" customFormat="1" ht="12.75">
      <c r="A33" s="106"/>
      <c r="B33" s="102" t="s">
        <v>1210</v>
      </c>
      <c r="C33" s="102">
        <f>IF(CSL,0,INDEX(NC_Adjusted_UMUIM_PD_Rate,,1))</f>
        <v>0</v>
      </c>
      <c r="D33" s="102">
        <f>IF(CSL,0,INDEX(NC_Adjusted_UMUIM_PD_Rate,,2))</f>
        <v>0</v>
      </c>
      <c r="E33" s="102">
        <f>IF(CSL,0,INDEX(NC_Adjusted_UMUIM_PD_Rate,,3))</f>
        <v>0</v>
      </c>
      <c r="F33" s="102">
        <f>IF(CSL,0,INDEX(NC_Adjusted_UMUIM_PD_Rate,,4))</f>
        <v>0</v>
      </c>
      <c r="G33" s="102">
        <f>IF(CSL,0,INDEX(NC_Adjusted_UMUIM_PD_Rate,,5))</f>
        <v>0</v>
      </c>
      <c r="H33" s="102">
        <f>IF(CSL,0,INDEX(NC_Adjusted_UMUIM_PD_Rate,,6))</f>
        <v>0</v>
      </c>
      <c r="I33" s="1"/>
    </row>
    <row r="34" spans="1:9" s="102" customFormat="1" ht="12.75">
      <c r="A34" s="106"/>
      <c r="B34" s="102" t="s">
        <v>1211</v>
      </c>
      <c r="C34" s="102">
        <f aca="true" t="shared" si="15" ref="C34:H34">SUM(C32:C33)</f>
        <v>0</v>
      </c>
      <c r="D34" s="102">
        <f t="shared" si="15"/>
        <v>0</v>
      </c>
      <c r="E34" s="102">
        <f t="shared" si="15"/>
        <v>0</v>
      </c>
      <c r="F34" s="102">
        <f t="shared" si="15"/>
        <v>0</v>
      </c>
      <c r="G34" s="102">
        <f t="shared" si="15"/>
        <v>0</v>
      </c>
      <c r="H34" s="102">
        <f t="shared" si="15"/>
        <v>0</v>
      </c>
      <c r="I34" s="1"/>
    </row>
    <row r="35" spans="1:8" ht="12.75">
      <c r="A35" s="106"/>
      <c r="B35" s="102"/>
      <c r="C35" s="102"/>
      <c r="D35" s="102"/>
      <c r="E35" s="102"/>
      <c r="F35" s="102"/>
      <c r="G35" s="102"/>
      <c r="H35" s="102"/>
    </row>
    <row r="36" spans="1:8" ht="12.75">
      <c r="A36" s="106" t="s">
        <v>1283</v>
      </c>
      <c r="B36" s="102" t="s">
        <v>1337</v>
      </c>
      <c r="C36" s="102">
        <f aca="true" t="shared" si="16" ref="C36:H36">(C34*(IF(Insured_State="NC",Company_Deviation_Factor_NC,Company_Deviation_Factor_UMUIM_Split_PD))*Tier_Rating_Factor)</f>
        <v>0</v>
      </c>
      <c r="D36" s="102">
        <f t="shared" si="16"/>
        <v>0</v>
      </c>
      <c r="E36" s="102">
        <f t="shared" si="16"/>
        <v>0</v>
      </c>
      <c r="F36" s="102">
        <f t="shared" si="16"/>
        <v>0</v>
      </c>
      <c r="G36" s="102">
        <f t="shared" si="16"/>
        <v>0</v>
      </c>
      <c r="H36" s="102">
        <f t="shared" si="16"/>
        <v>0</v>
      </c>
    </row>
    <row r="37" spans="1:8" ht="12.75">
      <c r="A37" s="106"/>
      <c r="B37" s="102"/>
      <c r="C37" s="102"/>
      <c r="D37" s="102"/>
      <c r="E37" s="102"/>
      <c r="F37" s="102"/>
      <c r="G37" s="102"/>
      <c r="H37" s="102"/>
    </row>
    <row r="38" spans="1:8" ht="12.75">
      <c r="A38" s="106" t="s">
        <v>1231</v>
      </c>
      <c r="B38" s="102" t="s">
        <v>633</v>
      </c>
      <c r="C38" s="102">
        <f>IF(CSL,0,INDEX(UMUIM_PD_Increased_Limits_Factor,,1))</f>
        <v>0</v>
      </c>
      <c r="D38" s="102">
        <f>IF(CSL,0,INDEX(UMUIM_PD_Increased_Limits_Factor,,2))</f>
        <v>0</v>
      </c>
      <c r="E38" s="102">
        <f>IF(CSL,0,INDEX(UMUIM_PD_Increased_Limits_Factor,,3))</f>
        <v>0</v>
      </c>
      <c r="F38" s="102">
        <f>IF(CSL,0,INDEX(UMUIM_PD_Increased_Limits_Factor,,4))</f>
        <v>0</v>
      </c>
      <c r="G38" s="102">
        <f>IF(CSL,0,INDEX(UMUIM_PD_Increased_Limits_Factor,,5))</f>
        <v>0</v>
      </c>
      <c r="H38" s="102">
        <f>IF(CSL,0,INDEX(UMUIM_PD_Increased_Limits_Factor,,6))</f>
        <v>0</v>
      </c>
    </row>
    <row r="39" spans="1:9" s="102" customFormat="1" ht="12.75">
      <c r="A39" s="106"/>
      <c r="B39" s="102" t="s">
        <v>1217</v>
      </c>
      <c r="C39" s="102">
        <f aca="true" t="shared" si="17" ref="C39:H39">IF(Insured_State="NC",1,C38)</f>
        <v>0</v>
      </c>
      <c r="D39" s="102">
        <f t="shared" si="17"/>
        <v>0</v>
      </c>
      <c r="E39" s="102">
        <f t="shared" si="17"/>
        <v>0</v>
      </c>
      <c r="F39" s="102">
        <f t="shared" si="17"/>
        <v>0</v>
      </c>
      <c r="G39" s="102">
        <f t="shared" si="17"/>
        <v>0</v>
      </c>
      <c r="H39" s="102">
        <f t="shared" si="17"/>
        <v>0</v>
      </c>
      <c r="I39" s="1"/>
    </row>
    <row r="40" spans="1:9" s="102" customFormat="1" ht="12.75">
      <c r="A40" s="106" t="s">
        <v>1338</v>
      </c>
      <c r="B40" s="108" t="s">
        <v>1219</v>
      </c>
      <c r="C40" s="102">
        <f aca="true" t="shared" si="18" ref="C40:H40">C39</f>
        <v>0</v>
      </c>
      <c r="D40" s="102">
        <f t="shared" si="18"/>
        <v>0</v>
      </c>
      <c r="E40" s="102">
        <f t="shared" si="18"/>
        <v>0</v>
      </c>
      <c r="F40" s="102">
        <f t="shared" si="18"/>
        <v>0</v>
      </c>
      <c r="G40" s="102">
        <f t="shared" si="18"/>
        <v>0</v>
      </c>
      <c r="H40" s="102">
        <f t="shared" si="18"/>
        <v>0</v>
      </c>
      <c r="I40" s="1"/>
    </row>
    <row r="41" spans="1:8" ht="12.75">
      <c r="A41" s="106"/>
      <c r="B41" s="102"/>
      <c r="C41" s="102"/>
      <c r="D41" s="102"/>
      <c r="E41" s="102"/>
      <c r="F41" s="102"/>
      <c r="G41" s="102"/>
      <c r="H41" s="102"/>
    </row>
    <row r="42" spans="1:8" ht="12.75">
      <c r="A42" s="106" t="s">
        <v>1339</v>
      </c>
      <c r="B42" s="102" t="s">
        <v>1340</v>
      </c>
      <c r="C42" s="102">
        <f aca="true" t="shared" si="19" ref="C42:H42">C36*C40</f>
        <v>0</v>
      </c>
      <c r="D42" s="102">
        <f t="shared" si="19"/>
        <v>0</v>
      </c>
      <c r="E42" s="102">
        <f t="shared" si="19"/>
        <v>0</v>
      </c>
      <c r="F42" s="102">
        <f t="shared" si="19"/>
        <v>0</v>
      </c>
      <c r="G42" s="102">
        <f t="shared" si="19"/>
        <v>0</v>
      </c>
      <c r="H42" s="102">
        <f t="shared" si="19"/>
        <v>0</v>
      </c>
    </row>
    <row r="43" spans="1:8" ht="12.75">
      <c r="A43" s="106"/>
      <c r="B43" s="102"/>
      <c r="C43" s="102"/>
      <c r="D43" s="102"/>
      <c r="E43" s="102"/>
      <c r="F43" s="102"/>
      <c r="G43" s="102"/>
      <c r="H43" s="102"/>
    </row>
    <row r="44" spans="1:8" ht="12.75">
      <c r="A44" s="106" t="s">
        <v>1233</v>
      </c>
      <c r="B44" s="102" t="s">
        <v>1341</v>
      </c>
      <c r="C44" s="102">
        <f>(C42*INDEX(UMUIM_PD_Deductible_Factor,,1))</f>
        <v>0</v>
      </c>
      <c r="D44" s="102">
        <f>(D42*INDEX(UMUIM_PD_Deductible_Factor,,2))</f>
        <v>0</v>
      </c>
      <c r="E44" s="102">
        <f>(E42*INDEX(UMUIM_PD_Deductible_Factor,,3))</f>
        <v>0</v>
      </c>
      <c r="F44" s="102">
        <f>(F42*INDEX(UMUIM_PD_Deductible_Factor,,4))</f>
        <v>0</v>
      </c>
      <c r="G44" s="102">
        <f>(G42*INDEX(UMUIM_PD_Deductible_Factor,,5))</f>
        <v>0</v>
      </c>
      <c r="H44" s="102">
        <f>(H42*INDEX(UMUIM_PD_Deductible_Factor,,6))</f>
        <v>0</v>
      </c>
    </row>
    <row r="45" spans="1:8" ht="12.75">
      <c r="A45" s="106"/>
      <c r="B45" s="102" t="s">
        <v>1342</v>
      </c>
      <c r="C45" s="102">
        <f aca="true" t="shared" si="20" ref="C45:H45">C42-C44</f>
        <v>0</v>
      </c>
      <c r="D45" s="102">
        <f t="shared" si="20"/>
        <v>0</v>
      </c>
      <c r="E45" s="102">
        <f t="shared" si="20"/>
        <v>0</v>
      </c>
      <c r="F45" s="102">
        <f t="shared" si="20"/>
        <v>0</v>
      </c>
      <c r="G45" s="102">
        <f t="shared" si="20"/>
        <v>0</v>
      </c>
      <c r="H45" s="102">
        <f t="shared" si="20"/>
        <v>0</v>
      </c>
    </row>
    <row r="46" spans="1:8" ht="12.75">
      <c r="A46" s="106"/>
      <c r="B46" s="102"/>
      <c r="C46" s="102"/>
      <c r="D46" s="102"/>
      <c r="E46" s="102"/>
      <c r="F46" s="102"/>
      <c r="G46" s="102"/>
      <c r="H46" s="102"/>
    </row>
    <row r="47" spans="1:9" s="102" customFormat="1" ht="12.75">
      <c r="A47" s="106" t="s">
        <v>1222</v>
      </c>
      <c r="B47" s="102" t="s">
        <v>1255</v>
      </c>
      <c r="C47" s="102">
        <f aca="true" t="shared" si="21" ref="C47:H47">C45-(C45*Valued_Customer_Discount_Factor)</f>
        <v>0</v>
      </c>
      <c r="D47" s="102">
        <f t="shared" si="21"/>
        <v>0</v>
      </c>
      <c r="E47" s="102">
        <f t="shared" si="21"/>
        <v>0</v>
      </c>
      <c r="F47" s="102">
        <f t="shared" si="21"/>
        <v>0</v>
      </c>
      <c r="G47" s="102">
        <f t="shared" si="21"/>
        <v>0</v>
      </c>
      <c r="H47" s="102">
        <f t="shared" si="21"/>
        <v>0</v>
      </c>
      <c r="I47" s="1"/>
    </row>
    <row r="48" spans="1:9" s="102" customFormat="1" ht="12.75">
      <c r="A48" s="106"/>
      <c r="B48" s="102" t="s">
        <v>1256</v>
      </c>
      <c r="C48" s="102">
        <f aca="true" t="shared" si="22" ref="C48:H48">IF(Insured_State="MI",C47-(C47*C16),C47)</f>
        <v>0</v>
      </c>
      <c r="D48" s="102">
        <f t="shared" si="22"/>
        <v>0</v>
      </c>
      <c r="E48" s="102">
        <f t="shared" si="22"/>
        <v>0</v>
      </c>
      <c r="F48" s="102">
        <f t="shared" si="22"/>
        <v>0</v>
      </c>
      <c r="G48" s="102">
        <f t="shared" si="22"/>
        <v>0</v>
      </c>
      <c r="H48" s="102">
        <f t="shared" si="22"/>
        <v>0</v>
      </c>
      <c r="I48" s="1"/>
    </row>
    <row r="49" spans="1:9" s="102" customFormat="1" ht="12.75">
      <c r="A49" s="106"/>
      <c r="B49" s="102" t="s">
        <v>1257</v>
      </c>
      <c r="C49" s="102">
        <f aca="true" t="shared" si="23" ref="C49:H49">C48*Policy_Period_Factor</f>
        <v>0</v>
      </c>
      <c r="D49" s="102">
        <f t="shared" si="23"/>
        <v>0</v>
      </c>
      <c r="E49" s="102">
        <f t="shared" si="23"/>
        <v>0</v>
      </c>
      <c r="F49" s="102">
        <f t="shared" si="23"/>
        <v>0</v>
      </c>
      <c r="G49" s="102">
        <f t="shared" si="23"/>
        <v>0</v>
      </c>
      <c r="H49" s="102">
        <f t="shared" si="23"/>
        <v>0</v>
      </c>
      <c r="I49" s="1"/>
    </row>
    <row r="50" spans="1:9" s="102" customFormat="1" ht="12.75">
      <c r="A50" s="106"/>
      <c r="B50" s="102" t="s">
        <v>1258</v>
      </c>
      <c r="C50" s="102">
        <f aca="true" t="shared" si="24" ref="C50:H50">C49-(C49*Fampak_Discount_Factor)</f>
        <v>0</v>
      </c>
      <c r="D50" s="102">
        <f t="shared" si="24"/>
        <v>0</v>
      </c>
      <c r="E50" s="102">
        <f t="shared" si="24"/>
        <v>0</v>
      </c>
      <c r="F50" s="102">
        <f t="shared" si="24"/>
        <v>0</v>
      </c>
      <c r="G50" s="102">
        <f t="shared" si="24"/>
        <v>0</v>
      </c>
      <c r="H50" s="102">
        <f t="shared" si="24"/>
        <v>0</v>
      </c>
      <c r="I50" s="1"/>
    </row>
    <row r="51" spans="1:9" s="102" customFormat="1" ht="12.75">
      <c r="A51" s="106"/>
      <c r="B51" s="112" t="s">
        <v>1259</v>
      </c>
      <c r="C51" s="102">
        <f aca="true" t="shared" si="25" ref="C51:H51">C50-(C50*Prime_Life_Discount_Factor)</f>
        <v>0</v>
      </c>
      <c r="D51" s="102">
        <f t="shared" si="25"/>
        <v>0</v>
      </c>
      <c r="E51" s="102">
        <f t="shared" si="25"/>
        <v>0</v>
      </c>
      <c r="F51" s="102">
        <f t="shared" si="25"/>
        <v>0</v>
      </c>
      <c r="G51" s="102">
        <f t="shared" si="25"/>
        <v>0</v>
      </c>
      <c r="H51" s="102">
        <f t="shared" si="25"/>
        <v>0</v>
      </c>
      <c r="I51" s="1"/>
    </row>
    <row r="52" spans="1:9" s="102" customFormat="1" ht="12.75">
      <c r="A52" s="106"/>
      <c r="B52" s="102" t="s">
        <v>1260</v>
      </c>
      <c r="C52" s="102">
        <f aca="true" t="shared" si="26" ref="C52:H52">IF(Insured_State="PA",C51-(C51*C16),C51)</f>
        <v>0</v>
      </c>
      <c r="D52" s="102">
        <f t="shared" si="26"/>
        <v>0</v>
      </c>
      <c r="E52" s="102">
        <f t="shared" si="26"/>
        <v>0</v>
      </c>
      <c r="F52" s="102">
        <f t="shared" si="26"/>
        <v>0</v>
      </c>
      <c r="G52" s="102">
        <f t="shared" si="26"/>
        <v>0</v>
      </c>
      <c r="H52" s="102">
        <f t="shared" si="26"/>
        <v>0</v>
      </c>
      <c r="I52" s="1"/>
    </row>
    <row r="53" spans="1:9" s="102" customFormat="1" ht="12.75">
      <c r="A53" s="106"/>
      <c r="B53" s="102" t="s">
        <v>1261</v>
      </c>
      <c r="C53" s="102">
        <f aca="true" t="shared" si="27" ref="C53:H53">IF(Insured_State="PA",Tort_Factor_UMUIM,1)</f>
        <v>1</v>
      </c>
      <c r="D53" s="102">
        <f t="shared" si="27"/>
        <v>1</v>
      </c>
      <c r="E53" s="102">
        <f t="shared" si="27"/>
        <v>1</v>
      </c>
      <c r="F53" s="102">
        <f t="shared" si="27"/>
        <v>1</v>
      </c>
      <c r="G53" s="102">
        <f t="shared" si="27"/>
        <v>1</v>
      </c>
      <c r="H53" s="102">
        <f t="shared" si="27"/>
        <v>1</v>
      </c>
      <c r="I53" s="1"/>
    </row>
    <row r="54" spans="1:9" s="102" customFormat="1" ht="12.75">
      <c r="A54" s="106"/>
      <c r="B54" s="102" t="s">
        <v>1262</v>
      </c>
      <c r="C54" s="102">
        <f aca="true" t="shared" si="28" ref="C54:H54">C52*C53</f>
        <v>0</v>
      </c>
      <c r="D54" s="102">
        <f t="shared" si="28"/>
        <v>0</v>
      </c>
      <c r="E54" s="102">
        <f t="shared" si="28"/>
        <v>0</v>
      </c>
      <c r="F54" s="102">
        <f t="shared" si="28"/>
        <v>0</v>
      </c>
      <c r="G54" s="102">
        <f t="shared" si="28"/>
        <v>0</v>
      </c>
      <c r="H54" s="102">
        <f t="shared" si="28"/>
        <v>0</v>
      </c>
      <c r="I54" s="1"/>
    </row>
    <row r="55" spans="1:9" s="102" customFormat="1" ht="12.75">
      <c r="A55" s="106"/>
      <c r="B55" s="112" t="s">
        <v>1263</v>
      </c>
      <c r="C55" s="102">
        <f>C54-(C54*INDEX(Mass_Merchandise_Factor,,1))</f>
        <v>0</v>
      </c>
      <c r="D55" s="102">
        <f>D54-(D54*INDEX(Mass_Merchandise_Factor,,2))</f>
        <v>0</v>
      </c>
      <c r="E55" s="102">
        <f>E54-(E54*INDEX(Mass_Merchandise_Factor,,3))</f>
        <v>0</v>
      </c>
      <c r="F55" s="102">
        <f>F54-(F54*INDEX(Mass_Merchandise_Factor,,4))</f>
        <v>0</v>
      </c>
      <c r="G55" s="102">
        <f>G54-(G54*INDEX(Mass_Merchandise_Factor,,5))</f>
        <v>0</v>
      </c>
      <c r="H55" s="102">
        <f>H54-(H54*INDEX(Mass_Merchandise_Factor,,6))</f>
        <v>0</v>
      </c>
      <c r="I55" s="1"/>
    </row>
    <row r="56" spans="1:9" s="102" customFormat="1" ht="12.75">
      <c r="A56" s="106"/>
      <c r="B56" s="112" t="s">
        <v>1264</v>
      </c>
      <c r="C56" s="102">
        <f aca="true" t="shared" si="29" ref="C56:H56">C55-(C55*IN_Standard_Agent_Commission_Factor)</f>
        <v>0</v>
      </c>
      <c r="D56" s="102">
        <f t="shared" si="29"/>
        <v>0</v>
      </c>
      <c r="E56" s="102">
        <f t="shared" si="29"/>
        <v>0</v>
      </c>
      <c r="F56" s="102">
        <f t="shared" si="29"/>
        <v>0</v>
      </c>
      <c r="G56" s="102">
        <f t="shared" si="29"/>
        <v>0</v>
      </c>
      <c r="H56" s="102">
        <f t="shared" si="29"/>
        <v>0</v>
      </c>
      <c r="I56" s="1"/>
    </row>
    <row r="57" spans="1:9" s="102" customFormat="1" ht="12.75">
      <c r="A57" s="106"/>
      <c r="B57" s="112" t="s">
        <v>1266</v>
      </c>
      <c r="C57" s="102">
        <f aca="true" t="shared" si="30" ref="C57:H57">C56</f>
        <v>0</v>
      </c>
      <c r="D57" s="102">
        <f t="shared" si="30"/>
        <v>0</v>
      </c>
      <c r="E57" s="102">
        <f t="shared" si="30"/>
        <v>0</v>
      </c>
      <c r="F57" s="102">
        <f t="shared" si="30"/>
        <v>0</v>
      </c>
      <c r="G57" s="102">
        <f t="shared" si="30"/>
        <v>0</v>
      </c>
      <c r="H57" s="102">
        <f t="shared" si="30"/>
        <v>0</v>
      </c>
      <c r="I57" s="1"/>
    </row>
    <row r="58" spans="1:8" ht="12.75">
      <c r="A58" s="106"/>
      <c r="B58" s="102"/>
      <c r="C58" s="102"/>
      <c r="D58" s="102"/>
      <c r="E58" s="102"/>
      <c r="F58" s="102"/>
      <c r="G58" s="102"/>
      <c r="H58" s="102"/>
    </row>
    <row r="59" spans="1:8" ht="12.75">
      <c r="A59" s="106"/>
      <c r="B59" s="102" t="s">
        <v>1267</v>
      </c>
      <c r="C59" s="102">
        <f>INDEX(Is_UMUIM_Applicable_For_Vehicle,,1)</f>
        <v>0</v>
      </c>
      <c r="D59" s="102">
        <f>INDEX(Is_UMUIM_Applicable_For_Vehicle,,2)</f>
        <v>0</v>
      </c>
      <c r="E59" s="102">
        <f>INDEX(Is_UMUIM_Applicable_For_Vehicle,,3)</f>
        <v>0</v>
      </c>
      <c r="F59" s="102">
        <f>INDEX(Is_UMUIM_Applicable_For_Vehicle,,4)</f>
        <v>0</v>
      </c>
      <c r="G59" s="102">
        <f>INDEX(Is_UMUIM_Applicable_For_Vehicle,,5)</f>
        <v>0</v>
      </c>
      <c r="H59" s="102">
        <f>INDEX(Is_UMUIM_Applicable_For_Vehicle,,6)</f>
        <v>0</v>
      </c>
    </row>
    <row r="60" spans="1:8" ht="12.75">
      <c r="A60" s="106"/>
      <c r="B60" s="102"/>
      <c r="C60" s="102"/>
      <c r="D60" s="102"/>
      <c r="E60" s="102"/>
      <c r="F60" s="102"/>
      <c r="G60" s="102"/>
      <c r="H60" s="102"/>
    </row>
    <row r="61" spans="2:8" ht="12.75">
      <c r="B61" s="112" t="s">
        <v>1351</v>
      </c>
      <c r="C61" s="112">
        <f aca="true" t="shared" si="31" ref="C61:H61">IF(OR(ISERROR(C30),C30&lt;=0,C59=0),0,ROUND(C30,2))</f>
        <v>0</v>
      </c>
      <c r="D61" s="112">
        <f t="shared" si="31"/>
        <v>0</v>
      </c>
      <c r="E61" s="112">
        <f t="shared" si="31"/>
        <v>0</v>
      </c>
      <c r="F61" s="112">
        <f t="shared" si="31"/>
        <v>0</v>
      </c>
      <c r="G61" s="112">
        <f t="shared" si="31"/>
        <v>0</v>
      </c>
      <c r="H61" s="112">
        <f t="shared" si="31"/>
        <v>0</v>
      </c>
    </row>
    <row r="62" spans="2:8" ht="12.75">
      <c r="B62" s="112" t="s">
        <v>1352</v>
      </c>
      <c r="C62" s="112">
        <f aca="true" t="shared" si="32" ref="C62:H62">IF(OR(ISERROR(C57),C57&lt;=0,C59=0),0,ROUND(C57,2))</f>
        <v>0</v>
      </c>
      <c r="D62" s="112">
        <f t="shared" si="32"/>
        <v>0</v>
      </c>
      <c r="E62" s="112">
        <f t="shared" si="32"/>
        <v>0</v>
      </c>
      <c r="F62" s="112">
        <f t="shared" si="32"/>
        <v>0</v>
      </c>
      <c r="G62" s="112">
        <f t="shared" si="32"/>
        <v>0</v>
      </c>
      <c r="H62" s="112">
        <f t="shared" si="32"/>
        <v>0</v>
      </c>
    </row>
    <row r="63" spans="1:8" ht="12.75">
      <c r="A63" s="106"/>
      <c r="B63" s="106"/>
      <c r="C63" s="106"/>
      <c r="D63" s="106"/>
      <c r="E63" s="106"/>
      <c r="F63" s="106"/>
      <c r="G63" s="106"/>
      <c r="H63" s="106"/>
    </row>
    <row r="64" spans="1:8" ht="12.75">
      <c r="A64" s="106" t="s">
        <v>1270</v>
      </c>
      <c r="B64" s="106" t="s">
        <v>1351</v>
      </c>
      <c r="C64" s="119">
        <f aca="true" t="shared" si="33" ref="C64:H65">C61</f>
        <v>0</v>
      </c>
      <c r="D64" s="119">
        <f t="shared" si="33"/>
        <v>0</v>
      </c>
      <c r="E64" s="119">
        <f t="shared" si="33"/>
        <v>0</v>
      </c>
      <c r="F64" s="119">
        <f t="shared" si="33"/>
        <v>0</v>
      </c>
      <c r="G64" s="119">
        <f t="shared" si="33"/>
        <v>0</v>
      </c>
      <c r="H64" s="119">
        <f t="shared" si="33"/>
        <v>0</v>
      </c>
    </row>
    <row r="65" spans="1:8" ht="12.75">
      <c r="A65" s="106" t="s">
        <v>1270</v>
      </c>
      <c r="B65" s="106" t="s">
        <v>1352</v>
      </c>
      <c r="C65" s="118">
        <f t="shared" si="33"/>
        <v>0</v>
      </c>
      <c r="D65" s="118">
        <f t="shared" si="33"/>
        <v>0</v>
      </c>
      <c r="E65" s="118">
        <f t="shared" si="33"/>
        <v>0</v>
      </c>
      <c r="F65" s="118">
        <f t="shared" si="33"/>
        <v>0</v>
      </c>
      <c r="G65" s="118">
        <f t="shared" si="33"/>
        <v>0</v>
      </c>
      <c r="H65" s="118">
        <f t="shared" si="33"/>
        <v>0</v>
      </c>
    </row>
  </sheetData>
  <printOptions/>
  <pageMargins left="0.75" right="0.75" top="1" bottom="1" header="0.5" footer="0.5"/>
  <pageSetup horizontalDpi="600" verticalDpi="6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V69"/>
  <sheetViews>
    <sheetView zoomScale="75" zoomScaleNormal="75" workbookViewId="0" topLeftCell="A4">
      <selection activeCell="J25" sqref="J25"/>
    </sheetView>
  </sheetViews>
  <sheetFormatPr defaultColWidth="9.140625" defaultRowHeight="12.75"/>
  <cols>
    <col min="1" max="1" width="8.7109375" style="0" customWidth="1"/>
    <col min="2" max="2" width="40.00390625" style="0" bestFit="1" customWidth="1"/>
    <col min="9" max="9" width="24.7109375" style="0" customWidth="1"/>
  </cols>
  <sheetData>
    <row r="1" spans="1:9" ht="20.25" customHeight="1">
      <c r="A1" s="103"/>
      <c r="B1" s="104" t="s">
        <v>506</v>
      </c>
      <c r="C1" s="103"/>
      <c r="D1" s="103"/>
      <c r="E1" s="103"/>
      <c r="F1" s="102"/>
      <c r="G1" s="102"/>
      <c r="H1" s="102"/>
      <c r="I1" s="1"/>
    </row>
    <row r="2" spans="1:8" ht="20.25" customHeight="1">
      <c r="A2" s="103"/>
      <c r="B2" s="105"/>
      <c r="C2" s="103"/>
      <c r="D2" s="103"/>
      <c r="E2" s="103"/>
      <c r="F2" s="102"/>
      <c r="G2" s="102"/>
      <c r="H2" s="102"/>
    </row>
    <row r="3" spans="1:9" ht="12.75">
      <c r="A3" s="106" t="s">
        <v>1206</v>
      </c>
      <c r="B3" s="106" t="s">
        <v>1207</v>
      </c>
      <c r="C3" s="106" t="s">
        <v>428</v>
      </c>
      <c r="D3" s="106" t="s">
        <v>429</v>
      </c>
      <c r="E3" s="106" t="s">
        <v>430</v>
      </c>
      <c r="F3" s="106" t="s">
        <v>431</v>
      </c>
      <c r="G3" s="106" t="s">
        <v>432</v>
      </c>
      <c r="H3" s="106" t="s">
        <v>433</v>
      </c>
      <c r="I3" s="6" t="s">
        <v>229</v>
      </c>
    </row>
    <row r="4" spans="1:9" ht="12.75">
      <c r="A4" s="106" t="s">
        <v>1208</v>
      </c>
      <c r="B4" s="102" t="s">
        <v>1209</v>
      </c>
      <c r="C4" s="102">
        <f>INDEX(COMP_Base_Rate,1,1)</f>
        <v>0</v>
      </c>
      <c r="D4" s="102">
        <f>INDEX(COMP_Base_Rate,1,2)</f>
        <v>0</v>
      </c>
      <c r="E4" s="102">
        <f>INDEX(COMP_Base_Rate,1,3)</f>
        <v>0</v>
      </c>
      <c r="F4" s="102">
        <f>INDEX(COMP_Base_Rate,1,4)</f>
        <v>0</v>
      </c>
      <c r="G4" s="102">
        <f>INDEX(COMP_Base_Rate,1,5)</f>
        <v>0</v>
      </c>
      <c r="H4" s="102">
        <f>INDEX(COMP_Base_Rate,1,6)</f>
        <v>0</v>
      </c>
      <c r="I4" s="1"/>
    </row>
    <row r="5" spans="1:9" ht="12.75">
      <c r="A5" s="106"/>
      <c r="B5" s="102"/>
      <c r="C5" s="102"/>
      <c r="D5" s="102"/>
      <c r="E5" s="102"/>
      <c r="F5" s="102"/>
      <c r="G5" s="102"/>
      <c r="H5" s="102"/>
      <c r="I5" s="1"/>
    </row>
    <row r="6" spans="1:9" ht="12.75">
      <c r="A6" s="106" t="s">
        <v>1218</v>
      </c>
      <c r="B6" s="102" t="s">
        <v>1353</v>
      </c>
      <c r="C6" s="102">
        <f>INDEX(COMP_Vehicle_Symbol_Factor,,1)</f>
        <v>0</v>
      </c>
      <c r="D6" s="102">
        <f>INDEX(COMP_Vehicle_Symbol_Factor,,2)</f>
        <v>0</v>
      </c>
      <c r="E6" s="102">
        <f>INDEX(COMP_Vehicle_Symbol_Factor,,3)</f>
        <v>0</v>
      </c>
      <c r="F6" s="102">
        <f>INDEX(COMP_Vehicle_Symbol_Factor,,4)</f>
        <v>0</v>
      </c>
      <c r="G6" s="102">
        <f>INDEX(COMP_Vehicle_Symbol_Factor,,5)</f>
        <v>0</v>
      </c>
      <c r="H6" s="102">
        <f>INDEX(COMP_Vehicle_Symbol_Factor,,6)</f>
        <v>0</v>
      </c>
      <c r="I6" s="1"/>
    </row>
    <row r="7" spans="1:9" ht="12.75">
      <c r="A7" s="102"/>
      <c r="B7" s="109"/>
      <c r="C7" s="102"/>
      <c r="D7" s="102"/>
      <c r="E7" s="102"/>
      <c r="F7" s="102"/>
      <c r="G7" s="102"/>
      <c r="H7" s="102"/>
      <c r="I7" s="1"/>
    </row>
    <row r="8" spans="1:9" ht="12.75">
      <c r="A8" s="106" t="s">
        <v>1354</v>
      </c>
      <c r="B8" s="102" t="s">
        <v>1355</v>
      </c>
      <c r="C8" s="102">
        <f>INDEX(COMP_Age_Factor,,1)</f>
        <v>0</v>
      </c>
      <c r="D8" s="102">
        <f>INDEX(COMP_Age_Factor,,2)</f>
        <v>0</v>
      </c>
      <c r="E8" s="102">
        <f>INDEX(COMP_Age_Factor,,3)</f>
        <v>0</v>
      </c>
      <c r="F8" s="102">
        <f>INDEX(COMP_Age_Factor,,4)</f>
        <v>0</v>
      </c>
      <c r="G8" s="102">
        <f>INDEX(COMP_Age_Factor,,5)</f>
        <v>0</v>
      </c>
      <c r="H8" s="102">
        <f>INDEX(COMP_Age_Factor,,6)</f>
        <v>0</v>
      </c>
      <c r="I8" s="1"/>
    </row>
    <row r="9" spans="1:9" ht="12.75">
      <c r="A9" s="102"/>
      <c r="B9" s="102"/>
      <c r="C9" s="102"/>
      <c r="D9" s="102"/>
      <c r="E9" s="102"/>
      <c r="F9" s="102"/>
      <c r="G9" s="102"/>
      <c r="H9" s="102"/>
      <c r="I9" s="1"/>
    </row>
    <row r="10" spans="1:9" ht="12.75">
      <c r="A10" s="106" t="s">
        <v>1356</v>
      </c>
      <c r="B10" s="108" t="s">
        <v>1357</v>
      </c>
      <c r="C10" s="102">
        <f>INDEX(COMP_Deductible_Factor,,1)</f>
        <v>0</v>
      </c>
      <c r="D10" s="102">
        <f>INDEX(COMP_Deductible_Factor,,2)</f>
        <v>0</v>
      </c>
      <c r="E10" s="102">
        <f>INDEX(COMP_Deductible_Factor,,3)</f>
        <v>0</v>
      </c>
      <c r="F10" s="102">
        <f>INDEX(COMP_Deductible_Factor,,4)</f>
        <v>0</v>
      </c>
      <c r="G10" s="102">
        <f>INDEX(COMP_Deductible_Factor,,5)</f>
        <v>0</v>
      </c>
      <c r="H10" s="102">
        <f>INDEX(COMP_Deductible_Factor,,6)</f>
        <v>0</v>
      </c>
      <c r="I10" s="1"/>
    </row>
    <row r="11" spans="1:9" ht="12.75">
      <c r="A11" s="106"/>
      <c r="B11" s="108" t="s">
        <v>1358</v>
      </c>
      <c r="C11" s="102">
        <f>INDEX(AZ_COMP_Full_Safety_Glass_Factor,,1)</f>
        <v>0</v>
      </c>
      <c r="D11" s="102">
        <f>INDEX(AZ_COMP_Full_Safety_Glass_Factor,,2)</f>
        <v>0</v>
      </c>
      <c r="E11" s="102">
        <f>INDEX(AZ_COMP_Full_Safety_Glass_Factor,,3)</f>
        <v>0</v>
      </c>
      <c r="F11" s="102">
        <f>INDEX(AZ_COMP_Full_Safety_Glass_Factor,,4)</f>
        <v>0</v>
      </c>
      <c r="G11" s="102">
        <f>INDEX(AZ_COMP_Full_Safety_Glass_Factor,,5)</f>
        <v>0</v>
      </c>
      <c r="H11" s="102">
        <f>INDEX(AZ_COMP_Full_Safety_Glass_Factor,,6)</f>
        <v>0</v>
      </c>
      <c r="I11" s="1"/>
    </row>
    <row r="12" spans="1:9" ht="12.75">
      <c r="A12" s="106"/>
      <c r="B12" s="108" t="s">
        <v>1359</v>
      </c>
      <c r="C12" s="102">
        <f aca="true" t="shared" si="0" ref="C12:H12">SUM(C10:C11)</f>
        <v>0</v>
      </c>
      <c r="D12" s="102">
        <f t="shared" si="0"/>
        <v>0</v>
      </c>
      <c r="E12" s="102">
        <f t="shared" si="0"/>
        <v>0</v>
      </c>
      <c r="F12" s="102">
        <f t="shared" si="0"/>
        <v>0</v>
      </c>
      <c r="G12" s="102">
        <f t="shared" si="0"/>
        <v>0</v>
      </c>
      <c r="H12" s="102">
        <f t="shared" si="0"/>
        <v>0</v>
      </c>
      <c r="I12" s="1"/>
    </row>
    <row r="13" spans="1:9" ht="12.75">
      <c r="A13" s="102"/>
      <c r="B13" s="102"/>
      <c r="C13" s="102"/>
      <c r="D13" s="102"/>
      <c r="E13" s="102"/>
      <c r="F13" s="102"/>
      <c r="G13" s="102"/>
      <c r="H13" s="102"/>
      <c r="I13" s="1"/>
    </row>
    <row r="14" spans="1:9" ht="12.75">
      <c r="A14" s="106" t="s">
        <v>1360</v>
      </c>
      <c r="B14" s="102" t="s">
        <v>1361</v>
      </c>
      <c r="C14" s="102">
        <f aca="true" t="shared" si="1" ref="C14:H14">(C4*C6*C8*C12)</f>
        <v>0</v>
      </c>
      <c r="D14" s="102">
        <f t="shared" si="1"/>
        <v>0</v>
      </c>
      <c r="E14" s="102">
        <f t="shared" si="1"/>
        <v>0</v>
      </c>
      <c r="F14" s="102">
        <f t="shared" si="1"/>
        <v>0</v>
      </c>
      <c r="G14" s="102">
        <f t="shared" si="1"/>
        <v>0</v>
      </c>
      <c r="H14" s="102">
        <f t="shared" si="1"/>
        <v>0</v>
      </c>
      <c r="I14" s="1"/>
    </row>
    <row r="15" spans="1:9" ht="12.75">
      <c r="A15" s="102"/>
      <c r="B15" s="102"/>
      <c r="C15" s="102"/>
      <c r="D15" s="102"/>
      <c r="E15" s="102"/>
      <c r="F15" s="102"/>
      <c r="G15" s="102"/>
      <c r="H15" s="102"/>
      <c r="I15" s="1"/>
    </row>
    <row r="16" spans="1:9" s="102" customFormat="1" ht="12.75">
      <c r="A16" s="106" t="s">
        <v>1362</v>
      </c>
      <c r="B16" s="107" t="s">
        <v>1363</v>
      </c>
      <c r="C16" s="102">
        <f aca="true" t="shared" si="2" ref="C16:H16">C14*(IF(Insured_State="NC",Company_Deviation_Factor_NC,Company_Deviation_Factor_COMP))*Tier_Rating_Factor</f>
        <v>0</v>
      </c>
      <c r="D16" s="102">
        <f t="shared" si="2"/>
        <v>0</v>
      </c>
      <c r="E16" s="102">
        <f t="shared" si="2"/>
        <v>0</v>
      </c>
      <c r="F16" s="102">
        <f t="shared" si="2"/>
        <v>0</v>
      </c>
      <c r="G16" s="102">
        <f t="shared" si="2"/>
        <v>0</v>
      </c>
      <c r="H16" s="102">
        <f t="shared" si="2"/>
        <v>0</v>
      </c>
      <c r="I16" s="1"/>
    </row>
    <row r="17" spans="1:9" s="102" customFormat="1" ht="12.75">
      <c r="A17" s="106"/>
      <c r="B17" s="107"/>
      <c r="I17" s="1"/>
    </row>
    <row r="18" spans="1:9" s="102" customFormat="1" ht="12.75">
      <c r="A18" s="106" t="s">
        <v>1222</v>
      </c>
      <c r="B18" s="102" t="s">
        <v>1364</v>
      </c>
      <c r="C18" s="102">
        <f>IF(OR(INDEX(Vehicle_Type,,1)="PU",INDEX(Vehicle_Type,,1)="VAN"),C16*INDEX(COMP_PickupVan_Factor,,1),C16)</f>
        <v>0</v>
      </c>
      <c r="D18" s="102">
        <f>IF(OR(INDEX(Vehicle_Type,,2)="PU",INDEX(Vehicle_Type,,2)="VAN"),D16*INDEX(COMP_PickupVan_Factor,,2),D16)</f>
        <v>0</v>
      </c>
      <c r="E18" s="102">
        <f>IF(OR(INDEX(Vehicle_Type,,3)="PU",INDEX(Vehicle_Type,,3)="VAN"),E16*INDEX(COMP_PickupVan_Factor,,3),E16)</f>
        <v>0</v>
      </c>
      <c r="F18" s="102">
        <f>IF(OR(INDEX(Vehicle_Type,,4)="PU",INDEX(Vehicle_Type,,4)="VAN"),F16*INDEX(COMP_PickupVan_Factor,,4),F16)</f>
        <v>0</v>
      </c>
      <c r="G18" s="102">
        <f>IF(OR(INDEX(Vehicle_Type,,5)="PU",INDEX(Vehicle_Type,,5)="VAN"),G16*INDEX(COMP_PickupVan_Factor,,5),G16)</f>
        <v>0</v>
      </c>
      <c r="H18" s="102">
        <f>IF(OR(INDEX(Vehicle_Type,,6)="PU",INDEX(Vehicle_Type,,6)="VAN"),H16*INDEX(COMP_PickupVan_Factor,,6),H16)</f>
        <v>0</v>
      </c>
      <c r="I18" s="1"/>
    </row>
    <row r="19" spans="1:9" s="102" customFormat="1" ht="12.75">
      <c r="A19" s="106"/>
      <c r="I19" s="1"/>
    </row>
    <row r="20" spans="1:9" s="102" customFormat="1" ht="12.75">
      <c r="A20" s="106" t="s">
        <v>1222</v>
      </c>
      <c r="B20" s="102" t="s">
        <v>1223</v>
      </c>
      <c r="C20" s="102">
        <f>INDEX(Primary_class_factor_for_COMP_and_COLL,1,1)</f>
        <v>0</v>
      </c>
      <c r="D20" s="102">
        <f>INDEX(Primary_class_factor_for_COMP_and_COLL,1,2)</f>
        <v>0</v>
      </c>
      <c r="E20" s="102">
        <f>INDEX(Primary_class_factor_for_COMP_and_COLL,1,3)</f>
        <v>0</v>
      </c>
      <c r="F20" s="102">
        <f>INDEX(Primary_class_factor_for_COMP_and_COLL,1,4)</f>
        <v>0</v>
      </c>
      <c r="G20" s="102">
        <f>INDEX(Primary_class_factor_for_COMP_and_COLL,1,5)</f>
        <v>0</v>
      </c>
      <c r="H20" s="102">
        <f>INDEX(Primary_class_factor_for_COMP_and_COLL,1,6)</f>
        <v>0</v>
      </c>
      <c r="I20" s="1"/>
    </row>
    <row r="21" spans="1:9" s="102" customFormat="1" ht="12.75">
      <c r="A21" s="106"/>
      <c r="B21" s="102" t="s">
        <v>1224</v>
      </c>
      <c r="C21" s="102">
        <f>INDEX(NC_Primary_Factor_Others,,1)</f>
        <v>0</v>
      </c>
      <c r="D21" s="102">
        <f>INDEX(NC_Primary_Factor_Others,,2)</f>
        <v>0</v>
      </c>
      <c r="E21" s="102">
        <f>INDEX(NC_Primary_Factor_Others,,3)</f>
        <v>0</v>
      </c>
      <c r="F21" s="102">
        <f>INDEX(NC_Primary_Factor_Others,,4)</f>
        <v>0</v>
      </c>
      <c r="G21" s="102">
        <f>INDEX(NC_Primary_Factor_Others,,5)</f>
        <v>0</v>
      </c>
      <c r="H21" s="102">
        <f>INDEX(NC_Primary_Factor_Others,,6)</f>
        <v>0</v>
      </c>
      <c r="I21" s="1"/>
    </row>
    <row r="22" spans="1:9" s="102" customFormat="1" ht="12.75">
      <c r="A22" s="106"/>
      <c r="I22" s="1"/>
    </row>
    <row r="23" spans="1:9" s="102" customFormat="1" ht="12.75">
      <c r="A23" s="106" t="s">
        <v>1225</v>
      </c>
      <c r="B23" s="102" t="s">
        <v>1226</v>
      </c>
      <c r="C23" s="102">
        <f>INDEX(Secondary_class_factor_for_COMP_and_COLL,1,1)</f>
        <v>0</v>
      </c>
      <c r="D23" s="102">
        <f>INDEX(Secondary_class_factor_for_COMP_and_COLL,1,2)</f>
        <v>0</v>
      </c>
      <c r="E23" s="102">
        <f>INDEX(Secondary_class_factor_for_COMP_and_COLL,1,3)</f>
        <v>0</v>
      </c>
      <c r="F23" s="102">
        <f>INDEX(Secondary_class_factor_for_COMP_and_COLL,1,4)</f>
        <v>0</v>
      </c>
      <c r="G23" s="102">
        <f>INDEX(Secondary_class_factor_for_COMP_and_COLL,1,5)</f>
        <v>0</v>
      </c>
      <c r="H23" s="102">
        <f>INDEX(Secondary_class_factor_for_COMP_and_COLL,1,6)</f>
        <v>0</v>
      </c>
      <c r="I23" s="1"/>
    </row>
    <row r="24" spans="1:9" s="102" customFormat="1" ht="12.75">
      <c r="A24" s="106"/>
      <c r="B24" s="102" t="s">
        <v>1227</v>
      </c>
      <c r="C24" s="102">
        <f>INDEX(NC_No_Inexperience_Liability,,1)+INDEX(NC_Inexperience_Liability,,1)</f>
        <v>0</v>
      </c>
      <c r="D24" s="102">
        <f>INDEX(NC_No_Inexperience_Liability,,2)+INDEX(NC_Inexperience_Liability,,2)</f>
        <v>0</v>
      </c>
      <c r="E24" s="102">
        <f>INDEX(NC_No_Inexperience_Liability,,3)+INDEX(NC_Inexperience_Liability,,3)</f>
        <v>0</v>
      </c>
      <c r="F24" s="102">
        <f>INDEX(NC_No_Inexperience_Liability,,4)+INDEX(NC_Inexperience_Liability,,4)</f>
        <v>0</v>
      </c>
      <c r="G24" s="102">
        <f>INDEX(NC_No_Inexperience_Liability,,5)+INDEX(NC_Inexperience_Liability,,5)</f>
        <v>0</v>
      </c>
      <c r="H24" s="102">
        <f>INDEX(NC_No_Inexperience_Liability,,6)+INDEX(NC_Inexperience_Liability,,6)</f>
        <v>0</v>
      </c>
      <c r="I24" s="1"/>
    </row>
    <row r="25" spans="1:9" s="102" customFormat="1" ht="12.75">
      <c r="A25" s="106"/>
      <c r="B25" s="102" t="s">
        <v>1365</v>
      </c>
      <c r="C25" s="102">
        <f>IF(INDEX(NC_Repair_or_Replacement_Coverage,,1)="Y",INDEX(NC_Repair_or_Replacement_factor,,1),0)</f>
        <v>0</v>
      </c>
      <c r="D25" s="102">
        <f>IF(INDEX(NC_Repair_or_Replacement_Coverage,,2)="Y",INDEX(NC_Repair_or_Replacement_factor,,2),0)</f>
        <v>0</v>
      </c>
      <c r="E25" s="102">
        <f>IF(INDEX(NC_Repair_or_Replacement_Coverage,,3)="Y",INDEX(NC_Repair_or_Replacement_factor,,3),0)</f>
        <v>0</v>
      </c>
      <c r="F25" s="102">
        <f>IF(INDEX(NC_Repair_or_Replacement_Coverage,,4)="Y",INDEX(NC_Repair_or_Replacement_factor,,4),0)</f>
        <v>0</v>
      </c>
      <c r="G25" s="102">
        <f>IF(INDEX(NC_Repair_or_Replacement_Coverage,,5)="Y",INDEX(NC_Repair_or_Replacement_factor,,5),0)</f>
        <v>0</v>
      </c>
      <c r="H25" s="102">
        <f>IF(INDEX(NC_Repair_or_Replacement_Coverage,,6)="Y",INDEX(NC_Repair_or_Replacement_factor,,6),0)</f>
        <v>0</v>
      </c>
      <c r="I25" s="1"/>
    </row>
    <row r="26" spans="1:9" s="102" customFormat="1" ht="12.75">
      <c r="A26" s="106"/>
      <c r="B26" s="102" t="s">
        <v>594</v>
      </c>
      <c r="C26" s="102">
        <f>INDEX(NC_SDIP_Factor,,1)</f>
        <v>0</v>
      </c>
      <c r="D26" s="102">
        <f>INDEX(NC_SDIP_Factor,,2)</f>
        <v>0</v>
      </c>
      <c r="E26" s="102">
        <f>INDEX(NC_SDIP_Factor,,3)</f>
        <v>0</v>
      </c>
      <c r="F26" s="102">
        <f>INDEX(NC_SDIP_Factor,,4)</f>
        <v>0</v>
      </c>
      <c r="G26" s="102">
        <f>INDEX(NC_SDIP_Factor,,5)</f>
        <v>0</v>
      </c>
      <c r="H26" s="102">
        <f>INDEX(NC_SDIP_Factor,,6)</f>
        <v>0</v>
      </c>
      <c r="I26" s="1"/>
    </row>
    <row r="27" spans="1:9" s="102" customFormat="1" ht="12.75">
      <c r="A27" s="106"/>
      <c r="B27" s="102" t="s">
        <v>1366</v>
      </c>
      <c r="C27" s="102">
        <f>INDEX(MI_Secondary_Class_Factor_COMP,,1)</f>
        <v>0</v>
      </c>
      <c r="D27" s="102">
        <f>INDEX(MI_Secondary_Class_Factor_COMP,,2)</f>
        <v>0</v>
      </c>
      <c r="E27" s="102">
        <f>INDEX(MI_Secondary_Class_Factor_COMP,,3)</f>
        <v>0</v>
      </c>
      <c r="F27" s="102">
        <f>INDEX(MI_Secondary_Class_Factor_COMP,,4)</f>
        <v>0</v>
      </c>
      <c r="G27" s="102">
        <f>INDEX(MI_Secondary_Class_Factor_COMP,,5)</f>
        <v>0</v>
      </c>
      <c r="H27" s="102">
        <f>INDEX(MI_Secondary_Class_Factor_COMP,,6)</f>
        <v>0</v>
      </c>
      <c r="I27" s="1"/>
    </row>
    <row r="28" spans="2:256" s="102" customFormat="1" ht="12.75">
      <c r="B28" s="109"/>
      <c r="I28" s="1"/>
      <c r="J28" s="109"/>
      <c r="L28" s="109"/>
      <c r="N28" s="109"/>
      <c r="P28" s="109"/>
      <c r="R28" s="109"/>
      <c r="T28" s="109"/>
      <c r="V28" s="109"/>
      <c r="X28" s="109"/>
      <c r="Z28" s="109"/>
      <c r="AB28" s="109"/>
      <c r="AD28" s="109"/>
      <c r="AF28" s="109"/>
      <c r="AH28" s="109"/>
      <c r="AJ28" s="109"/>
      <c r="AL28" s="109"/>
      <c r="AN28" s="109"/>
      <c r="AP28" s="109"/>
      <c r="AR28" s="109"/>
      <c r="AT28" s="109"/>
      <c r="AV28" s="109"/>
      <c r="AX28" s="109"/>
      <c r="AZ28" s="109"/>
      <c r="BB28" s="109"/>
      <c r="BD28" s="109"/>
      <c r="BF28" s="109"/>
      <c r="BH28" s="109"/>
      <c r="BJ28" s="109"/>
      <c r="BL28" s="109"/>
      <c r="BN28" s="109"/>
      <c r="BP28" s="109"/>
      <c r="BR28" s="109"/>
      <c r="BT28" s="109"/>
      <c r="BV28" s="109"/>
      <c r="BX28" s="109"/>
      <c r="BZ28" s="109"/>
      <c r="CB28" s="109"/>
      <c r="CD28" s="109"/>
      <c r="CF28" s="109"/>
      <c r="CH28" s="109"/>
      <c r="CJ28" s="109"/>
      <c r="CL28" s="109"/>
      <c r="CN28" s="109"/>
      <c r="CP28" s="109"/>
      <c r="CR28" s="109"/>
      <c r="CT28" s="109"/>
      <c r="CV28" s="109"/>
      <c r="CX28" s="109"/>
      <c r="CZ28" s="109"/>
      <c r="DB28" s="109"/>
      <c r="DD28" s="109"/>
      <c r="DF28" s="109"/>
      <c r="DH28" s="109"/>
      <c r="DJ28" s="109"/>
      <c r="DL28" s="109"/>
      <c r="DN28" s="109"/>
      <c r="DP28" s="109"/>
      <c r="DR28" s="109"/>
      <c r="DT28" s="109"/>
      <c r="DV28" s="109"/>
      <c r="DX28" s="109"/>
      <c r="DZ28" s="109"/>
      <c r="EB28" s="109"/>
      <c r="ED28" s="109"/>
      <c r="EF28" s="109"/>
      <c r="EH28" s="109"/>
      <c r="EJ28" s="109"/>
      <c r="EL28" s="109"/>
      <c r="EN28" s="109"/>
      <c r="EP28" s="109"/>
      <c r="ER28" s="109"/>
      <c r="ET28" s="109"/>
      <c r="EV28" s="109"/>
      <c r="EX28" s="109"/>
      <c r="EZ28" s="109"/>
      <c r="FB28" s="109"/>
      <c r="FD28" s="109"/>
      <c r="FF28" s="109"/>
      <c r="FH28" s="109"/>
      <c r="FJ28" s="109"/>
      <c r="FL28" s="109"/>
      <c r="FN28" s="109"/>
      <c r="FP28" s="109"/>
      <c r="FR28" s="109"/>
      <c r="FT28" s="109"/>
      <c r="FV28" s="109"/>
      <c r="FX28" s="109"/>
      <c r="FZ28" s="109"/>
      <c r="GB28" s="109"/>
      <c r="GD28" s="109"/>
      <c r="GF28" s="109"/>
      <c r="GH28" s="109"/>
      <c r="GJ28" s="109"/>
      <c r="GL28" s="109"/>
      <c r="GN28" s="109"/>
      <c r="GP28" s="109"/>
      <c r="GR28" s="109"/>
      <c r="GT28" s="109"/>
      <c r="GV28" s="109"/>
      <c r="GX28" s="109"/>
      <c r="GZ28" s="109"/>
      <c r="HB28" s="109"/>
      <c r="HD28" s="109"/>
      <c r="HF28" s="109"/>
      <c r="HH28" s="109"/>
      <c r="HJ28" s="109"/>
      <c r="HL28" s="109"/>
      <c r="HN28" s="109"/>
      <c r="HP28" s="109"/>
      <c r="HR28" s="109"/>
      <c r="HT28" s="109"/>
      <c r="HV28" s="109"/>
      <c r="HX28" s="109"/>
      <c r="HZ28" s="109"/>
      <c r="IB28" s="109"/>
      <c r="ID28" s="109"/>
      <c r="IF28" s="109"/>
      <c r="IH28" s="109"/>
      <c r="IJ28" s="109"/>
      <c r="IL28" s="109"/>
      <c r="IN28" s="109"/>
      <c r="IP28" s="109"/>
      <c r="IR28" s="109"/>
      <c r="IT28" s="109"/>
      <c r="IV28" s="109"/>
    </row>
    <row r="29" spans="1:256" s="102" customFormat="1" ht="12.75">
      <c r="A29" s="106" t="s">
        <v>1229</v>
      </c>
      <c r="B29" s="108" t="s">
        <v>1230</v>
      </c>
      <c r="C29" s="102">
        <f aca="true" t="shared" si="3" ref="C29:H29">SUM(C20:C21)+SUM(C23:C27)</f>
        <v>0</v>
      </c>
      <c r="D29" s="102">
        <f t="shared" si="3"/>
        <v>0</v>
      </c>
      <c r="E29" s="102">
        <f t="shared" si="3"/>
        <v>0</v>
      </c>
      <c r="F29" s="102">
        <f t="shared" si="3"/>
        <v>0</v>
      </c>
      <c r="G29" s="102">
        <f t="shared" si="3"/>
        <v>0</v>
      </c>
      <c r="H29" s="102">
        <f t="shared" si="3"/>
        <v>0</v>
      </c>
      <c r="I29" s="1"/>
      <c r="J29" s="109"/>
      <c r="L29" s="109"/>
      <c r="N29" s="109"/>
      <c r="P29" s="109"/>
      <c r="R29" s="109"/>
      <c r="T29" s="109"/>
      <c r="V29" s="109"/>
      <c r="X29" s="109"/>
      <c r="Z29" s="109"/>
      <c r="AB29" s="109"/>
      <c r="AD29" s="109"/>
      <c r="AF29" s="109"/>
      <c r="AH29" s="109"/>
      <c r="AJ29" s="109"/>
      <c r="AL29" s="109"/>
      <c r="AN29" s="109"/>
      <c r="AP29" s="109"/>
      <c r="AR29" s="109"/>
      <c r="AT29" s="109"/>
      <c r="AV29" s="109"/>
      <c r="AX29" s="109"/>
      <c r="AZ29" s="109"/>
      <c r="BB29" s="109"/>
      <c r="BD29" s="109"/>
      <c r="BF29" s="109"/>
      <c r="BH29" s="109"/>
      <c r="BJ29" s="109"/>
      <c r="BL29" s="109"/>
      <c r="BN29" s="109"/>
      <c r="BP29" s="109"/>
      <c r="BR29" s="109"/>
      <c r="BT29" s="109"/>
      <c r="BV29" s="109"/>
      <c r="BX29" s="109"/>
      <c r="BZ29" s="109"/>
      <c r="CB29" s="109"/>
      <c r="CD29" s="109"/>
      <c r="CF29" s="109"/>
      <c r="CH29" s="109"/>
      <c r="CJ29" s="109"/>
      <c r="CL29" s="109"/>
      <c r="CN29" s="109"/>
      <c r="CP29" s="109"/>
      <c r="CR29" s="109"/>
      <c r="CT29" s="109"/>
      <c r="CV29" s="109"/>
      <c r="CX29" s="109"/>
      <c r="CZ29" s="109"/>
      <c r="DB29" s="109"/>
      <c r="DD29" s="109"/>
      <c r="DF29" s="109"/>
      <c r="DH29" s="109"/>
      <c r="DJ29" s="109"/>
      <c r="DL29" s="109"/>
      <c r="DN29" s="109"/>
      <c r="DP29" s="109"/>
      <c r="DR29" s="109"/>
      <c r="DT29" s="109"/>
      <c r="DV29" s="109"/>
      <c r="DX29" s="109"/>
      <c r="DZ29" s="109"/>
      <c r="EB29" s="109"/>
      <c r="ED29" s="109"/>
      <c r="EF29" s="109"/>
      <c r="EH29" s="109"/>
      <c r="EJ29" s="109"/>
      <c r="EL29" s="109"/>
      <c r="EN29" s="109"/>
      <c r="EP29" s="109"/>
      <c r="ER29" s="109"/>
      <c r="ET29" s="109"/>
      <c r="EV29" s="109"/>
      <c r="EX29" s="109"/>
      <c r="EZ29" s="109"/>
      <c r="FB29" s="109"/>
      <c r="FD29" s="109"/>
      <c r="FF29" s="109"/>
      <c r="FH29" s="109"/>
      <c r="FJ29" s="109"/>
      <c r="FL29" s="109"/>
      <c r="FN29" s="109"/>
      <c r="FP29" s="109"/>
      <c r="FR29" s="109"/>
      <c r="FT29" s="109"/>
      <c r="FV29" s="109"/>
      <c r="FX29" s="109"/>
      <c r="FZ29" s="109"/>
      <c r="GB29" s="109"/>
      <c r="GD29" s="109"/>
      <c r="GF29" s="109"/>
      <c r="GH29" s="109"/>
      <c r="GJ29" s="109"/>
      <c r="GL29" s="109"/>
      <c r="GN29" s="109"/>
      <c r="GP29" s="109"/>
      <c r="GR29" s="109"/>
      <c r="GT29" s="109"/>
      <c r="GV29" s="109"/>
      <c r="GX29" s="109"/>
      <c r="GZ29" s="109"/>
      <c r="HB29" s="109"/>
      <c r="HD29" s="109"/>
      <c r="HF29" s="109"/>
      <c r="HH29" s="109"/>
      <c r="HJ29" s="109"/>
      <c r="HL29" s="109"/>
      <c r="HN29" s="109"/>
      <c r="HP29" s="109"/>
      <c r="HR29" s="109"/>
      <c r="HT29" s="109"/>
      <c r="HV29" s="109"/>
      <c r="HX29" s="109"/>
      <c r="HZ29" s="109"/>
      <c r="IB29" s="109"/>
      <c r="ID29" s="109"/>
      <c r="IF29" s="109"/>
      <c r="IH29" s="109"/>
      <c r="IJ29" s="109"/>
      <c r="IL29" s="109"/>
      <c r="IN29" s="109"/>
      <c r="IP29" s="109"/>
      <c r="IR29" s="109"/>
      <c r="IT29" s="109"/>
      <c r="IV29" s="109"/>
    </row>
    <row r="30" s="102" customFormat="1" ht="12.75">
      <c r="I30" s="1"/>
    </row>
    <row r="31" spans="1:9" s="102" customFormat="1" ht="12.75">
      <c r="A31" s="106" t="s">
        <v>1231</v>
      </c>
      <c r="B31" s="102" t="s">
        <v>1232</v>
      </c>
      <c r="C31" s="102">
        <f aca="true" t="shared" si="4" ref="C31:H31">C18*C29</f>
        <v>0</v>
      </c>
      <c r="D31" s="102">
        <f t="shared" si="4"/>
        <v>0</v>
      </c>
      <c r="E31" s="102">
        <f t="shared" si="4"/>
        <v>0</v>
      </c>
      <c r="F31" s="102">
        <f t="shared" si="4"/>
        <v>0</v>
      </c>
      <c r="G31" s="102">
        <f t="shared" si="4"/>
        <v>0</v>
      </c>
      <c r="H31" s="102">
        <f t="shared" si="4"/>
        <v>0</v>
      </c>
      <c r="I31" s="1"/>
    </row>
    <row r="32" spans="2:256" s="102" customFormat="1" ht="12.75">
      <c r="B32" s="109"/>
      <c r="I32" s="1"/>
      <c r="J32" s="109"/>
      <c r="L32" s="109"/>
      <c r="N32" s="109"/>
      <c r="P32" s="109"/>
      <c r="R32" s="109"/>
      <c r="T32" s="109"/>
      <c r="V32" s="109"/>
      <c r="X32" s="109"/>
      <c r="Z32" s="109"/>
      <c r="AB32" s="109"/>
      <c r="AD32" s="109"/>
      <c r="AF32" s="109"/>
      <c r="AH32" s="109"/>
      <c r="AJ32" s="109"/>
      <c r="AL32" s="109"/>
      <c r="AN32" s="109"/>
      <c r="AP32" s="109"/>
      <c r="AR32" s="109"/>
      <c r="AT32" s="109"/>
      <c r="AV32" s="109"/>
      <c r="AX32" s="109"/>
      <c r="AZ32" s="109"/>
      <c r="BB32" s="109"/>
      <c r="BD32" s="109"/>
      <c r="BF32" s="109"/>
      <c r="BH32" s="109"/>
      <c r="BJ32" s="109"/>
      <c r="BL32" s="109"/>
      <c r="BN32" s="109"/>
      <c r="BP32" s="109"/>
      <c r="BR32" s="109"/>
      <c r="BT32" s="109"/>
      <c r="BV32" s="109"/>
      <c r="BX32" s="109"/>
      <c r="BZ32" s="109"/>
      <c r="CB32" s="109"/>
      <c r="CD32" s="109"/>
      <c r="CF32" s="109"/>
      <c r="CH32" s="109"/>
      <c r="CJ32" s="109"/>
      <c r="CL32" s="109"/>
      <c r="CN32" s="109"/>
      <c r="CP32" s="109"/>
      <c r="CR32" s="109"/>
      <c r="CT32" s="109"/>
      <c r="CV32" s="109"/>
      <c r="CX32" s="109"/>
      <c r="CZ32" s="109"/>
      <c r="DB32" s="109"/>
      <c r="DD32" s="109"/>
      <c r="DF32" s="109"/>
      <c r="DH32" s="109"/>
      <c r="DJ32" s="109"/>
      <c r="DL32" s="109"/>
      <c r="DN32" s="109"/>
      <c r="DP32" s="109"/>
      <c r="DR32" s="109"/>
      <c r="DT32" s="109"/>
      <c r="DV32" s="109"/>
      <c r="DX32" s="109"/>
      <c r="DZ32" s="109"/>
      <c r="EB32" s="109"/>
      <c r="ED32" s="109"/>
      <c r="EF32" s="109"/>
      <c r="EH32" s="109"/>
      <c r="EJ32" s="109"/>
      <c r="EL32" s="109"/>
      <c r="EN32" s="109"/>
      <c r="EP32" s="109"/>
      <c r="ER32" s="109"/>
      <c r="ET32" s="109"/>
      <c r="EV32" s="109"/>
      <c r="EX32" s="109"/>
      <c r="EZ32" s="109"/>
      <c r="FB32" s="109"/>
      <c r="FD32" s="109"/>
      <c r="FF32" s="109"/>
      <c r="FH32" s="109"/>
      <c r="FJ32" s="109"/>
      <c r="FL32" s="109"/>
      <c r="FN32" s="109"/>
      <c r="FP32" s="109"/>
      <c r="FR32" s="109"/>
      <c r="FT32" s="109"/>
      <c r="FV32" s="109"/>
      <c r="FX32" s="109"/>
      <c r="FZ32" s="109"/>
      <c r="GB32" s="109"/>
      <c r="GD32" s="109"/>
      <c r="GF32" s="109"/>
      <c r="GH32" s="109"/>
      <c r="GJ32" s="109"/>
      <c r="GL32" s="109"/>
      <c r="GN32" s="109"/>
      <c r="GP32" s="109"/>
      <c r="GR32" s="109"/>
      <c r="GT32" s="109"/>
      <c r="GV32" s="109"/>
      <c r="GX32" s="109"/>
      <c r="GZ32" s="109"/>
      <c r="HB32" s="109"/>
      <c r="HD32" s="109"/>
      <c r="HF32" s="109"/>
      <c r="HH32" s="109"/>
      <c r="HJ32" s="109"/>
      <c r="HL32" s="109"/>
      <c r="HN32" s="109"/>
      <c r="HP32" s="109"/>
      <c r="HR32" s="109"/>
      <c r="HT32" s="109"/>
      <c r="HV32" s="109"/>
      <c r="HX32" s="109"/>
      <c r="HZ32" s="109"/>
      <c r="IB32" s="109"/>
      <c r="ID32" s="109"/>
      <c r="IF32" s="109"/>
      <c r="IH32" s="109"/>
      <c r="IJ32" s="109"/>
      <c r="IL32" s="109"/>
      <c r="IN32" s="109"/>
      <c r="IP32" s="109"/>
      <c r="IR32" s="109"/>
      <c r="IT32" s="109"/>
      <c r="IV32" s="109"/>
    </row>
    <row r="33" spans="1:9" s="102" customFormat="1" ht="12.75" customHeight="1">
      <c r="A33" s="106" t="s">
        <v>1243</v>
      </c>
      <c r="B33" s="108" t="s">
        <v>816</v>
      </c>
      <c r="C33" s="102">
        <f>INDEX(SDIP_Factor,,1)</f>
        <v>0</v>
      </c>
      <c r="D33" s="102">
        <f>INDEX(SDIP_Factor,,2)</f>
        <v>0</v>
      </c>
      <c r="E33" s="102">
        <f>INDEX(SDIP_Factor,,3)</f>
        <v>0</v>
      </c>
      <c r="F33" s="102">
        <f>INDEX(SDIP_Factor,,4)</f>
        <v>0</v>
      </c>
      <c r="G33" s="102">
        <f>INDEX(SDIP_Factor,,5)</f>
        <v>0</v>
      </c>
      <c r="H33" s="102">
        <f>INDEX(SDIP_Factor,,6)</f>
        <v>0</v>
      </c>
      <c r="I33" s="1"/>
    </row>
    <row r="34" spans="1:9" s="102" customFormat="1" ht="12.75" customHeight="1">
      <c r="A34" s="106"/>
      <c r="B34" s="108" t="s">
        <v>1367</v>
      </c>
      <c r="C34" s="102">
        <f>INDEX(Anti_theft_Discount_Factor,1,1)</f>
        <v>0</v>
      </c>
      <c r="D34" s="102">
        <f>INDEX(Anti_theft_Discount_Factor,1,2)</f>
        <v>0</v>
      </c>
      <c r="E34" s="102">
        <f>INDEX(Anti_theft_Discount_Factor,1,3)</f>
        <v>0</v>
      </c>
      <c r="F34" s="102">
        <f>INDEX(Anti_theft_Discount_Factor,1,4)</f>
        <v>0</v>
      </c>
      <c r="G34" s="102">
        <f>INDEX(Anti_theft_Discount_Factor,1,5)</f>
        <v>0</v>
      </c>
      <c r="H34" s="102">
        <f>INDEX(Anti_theft_Discount_Factor,1,6)</f>
        <v>0</v>
      </c>
      <c r="I34" s="1"/>
    </row>
    <row r="35" spans="1:9" s="102" customFormat="1" ht="12.75" customHeight="1">
      <c r="A35" s="106"/>
      <c r="B35" s="108" t="s">
        <v>1237</v>
      </c>
      <c r="C35" s="111">
        <f>INDEX(Accident_Prevention_Discount_Factor,,1)</f>
        <v>0</v>
      </c>
      <c r="D35" s="111">
        <f>INDEX(Accident_Prevention_Discount_Factor,,2)</f>
        <v>0</v>
      </c>
      <c r="E35" s="111">
        <f>INDEX(Accident_Prevention_Discount_Factor,,3)</f>
        <v>0</v>
      </c>
      <c r="F35" s="111">
        <f>INDEX(Accident_Prevention_Discount_Factor,,4)</f>
        <v>0</v>
      </c>
      <c r="G35" s="111">
        <f>INDEX(Accident_Prevention_Discount_Factor,,5)</f>
        <v>0</v>
      </c>
      <c r="H35" s="111">
        <f>INDEX(Accident_Prevention_Discount_Factor,,6)</f>
        <v>0</v>
      </c>
      <c r="I35" s="1"/>
    </row>
    <row r="36" spans="1:9" ht="12.75">
      <c r="A36" s="106"/>
      <c r="B36" s="108" t="s">
        <v>837</v>
      </c>
      <c r="C36" s="111">
        <f>INDEX(Minivan_Discount_Factor,,1)</f>
        <v>0</v>
      </c>
      <c r="D36" s="111">
        <f>INDEX(Minivan_Discount_Factor,,2)</f>
        <v>0</v>
      </c>
      <c r="E36" s="111">
        <f>INDEX(Minivan_Discount_Factor,,3)</f>
        <v>0</v>
      </c>
      <c r="F36" s="111">
        <f>INDEX(Minivan_Discount_Factor,,4)</f>
        <v>0</v>
      </c>
      <c r="G36" s="111">
        <f>INDEX(Minivan_Discount_Factor,,5)</f>
        <v>0</v>
      </c>
      <c r="H36" s="111">
        <f>INDEX(Minivan_Discount_Factor,,6)</f>
        <v>0</v>
      </c>
      <c r="I36" s="1"/>
    </row>
    <row r="37" spans="2:9" s="102" customFormat="1" ht="12.75">
      <c r="B37" s="108"/>
      <c r="I37" s="1"/>
    </row>
    <row r="38" spans="1:9" s="102" customFormat="1" ht="12.75">
      <c r="A38" s="106" t="s">
        <v>1368</v>
      </c>
      <c r="B38" s="108" t="s">
        <v>1239</v>
      </c>
      <c r="C38" s="102">
        <f aca="true" t="shared" si="5" ref="C38:H38">(C31*C33)</f>
        <v>0</v>
      </c>
      <c r="D38" s="102">
        <f t="shared" si="5"/>
        <v>0</v>
      </c>
      <c r="E38" s="102">
        <f t="shared" si="5"/>
        <v>0</v>
      </c>
      <c r="F38" s="102">
        <f t="shared" si="5"/>
        <v>0</v>
      </c>
      <c r="G38" s="102">
        <f t="shared" si="5"/>
        <v>0</v>
      </c>
      <c r="H38" s="102">
        <f t="shared" si="5"/>
        <v>0</v>
      </c>
      <c r="I38" s="1"/>
    </row>
    <row r="39" spans="1:9" s="102" customFormat="1" ht="12.75">
      <c r="A39" s="106"/>
      <c r="B39" s="108" t="s">
        <v>1369</v>
      </c>
      <c r="C39" s="110">
        <f aca="true" t="shared" si="6" ref="C39:H39">C31*C34</f>
        <v>0</v>
      </c>
      <c r="D39" s="110">
        <f t="shared" si="6"/>
        <v>0</v>
      </c>
      <c r="E39" s="110">
        <f t="shared" si="6"/>
        <v>0</v>
      </c>
      <c r="F39" s="110">
        <f t="shared" si="6"/>
        <v>0</v>
      </c>
      <c r="G39" s="110">
        <f t="shared" si="6"/>
        <v>0</v>
      </c>
      <c r="H39" s="110">
        <f t="shared" si="6"/>
        <v>0</v>
      </c>
      <c r="I39" s="1"/>
    </row>
    <row r="40" spans="1:9" ht="12.75">
      <c r="A40" s="102"/>
      <c r="B40" s="108" t="s">
        <v>1242</v>
      </c>
      <c r="C40" s="110">
        <f aca="true" t="shared" si="7" ref="C40:H40">(C31-C39)*C36</f>
        <v>0</v>
      </c>
      <c r="D40" s="110">
        <f t="shared" si="7"/>
        <v>0</v>
      </c>
      <c r="E40" s="110">
        <f t="shared" si="7"/>
        <v>0</v>
      </c>
      <c r="F40" s="110">
        <f t="shared" si="7"/>
        <v>0</v>
      </c>
      <c r="G40" s="110">
        <f t="shared" si="7"/>
        <v>0</v>
      </c>
      <c r="H40" s="110">
        <f t="shared" si="7"/>
        <v>0</v>
      </c>
      <c r="I40" s="1"/>
    </row>
    <row r="41" spans="1:9" s="102" customFormat="1" ht="12.75">
      <c r="A41" s="106"/>
      <c r="B41" s="108"/>
      <c r="I41" s="1"/>
    </row>
    <row r="42" spans="1:9" s="102" customFormat="1" ht="12.75">
      <c r="A42" s="106" t="s">
        <v>1247</v>
      </c>
      <c r="B42" s="102" t="s">
        <v>1244</v>
      </c>
      <c r="C42" s="110">
        <f aca="true" t="shared" si="8" ref="C42:H42">(C31+C38-C39-C40)</f>
        <v>0</v>
      </c>
      <c r="D42" s="110">
        <f t="shared" si="8"/>
        <v>0</v>
      </c>
      <c r="E42" s="110">
        <f t="shared" si="8"/>
        <v>0</v>
      </c>
      <c r="F42" s="110">
        <f t="shared" si="8"/>
        <v>0</v>
      </c>
      <c r="G42" s="110">
        <f t="shared" si="8"/>
        <v>0</v>
      </c>
      <c r="H42" s="110">
        <f t="shared" si="8"/>
        <v>0</v>
      </c>
      <c r="I42" s="1"/>
    </row>
    <row r="43" spans="1:9" ht="12.75">
      <c r="A43" s="102"/>
      <c r="B43" s="108" t="s">
        <v>1245</v>
      </c>
      <c r="C43" s="110">
        <f>C42*INDEX(MI_High_Performance_Factor,,1)</f>
        <v>0</v>
      </c>
      <c r="D43" s="110">
        <f>D42*INDEX(MI_High_Performance_Factor,,2)</f>
        <v>0</v>
      </c>
      <c r="E43" s="110">
        <f>E42*INDEX(MI_High_Performance_Factor,,3)</f>
        <v>0</v>
      </c>
      <c r="F43" s="110">
        <f>F42*INDEX(MI_High_Performance_Factor,,4)</f>
        <v>0</v>
      </c>
      <c r="G43" s="110">
        <f>G42*INDEX(MI_High_Performance_Factor,,5)</f>
        <v>0</v>
      </c>
      <c r="H43" s="110">
        <f>H42*INDEX(MI_High_Performance_Factor,,6)</f>
        <v>0</v>
      </c>
      <c r="I43" s="1"/>
    </row>
    <row r="44" s="102" customFormat="1" ht="12.75">
      <c r="I44" s="1"/>
    </row>
    <row r="45" spans="2:9" s="112" customFormat="1" ht="12.75">
      <c r="B45" s="112" t="s">
        <v>939</v>
      </c>
      <c r="C45" s="102">
        <f aca="true" t="shared" si="9" ref="C45:H45">IF(OR(ISERROR(C43),C43&lt;=0),0,Expense_Fees_Comprehensive)</f>
        <v>0</v>
      </c>
      <c r="D45" s="102">
        <f t="shared" si="9"/>
        <v>0</v>
      </c>
      <c r="E45" s="102">
        <f t="shared" si="9"/>
        <v>0</v>
      </c>
      <c r="F45" s="102">
        <f t="shared" si="9"/>
        <v>0</v>
      </c>
      <c r="G45" s="102">
        <f t="shared" si="9"/>
        <v>0</v>
      </c>
      <c r="H45" s="102">
        <f t="shared" si="9"/>
        <v>0</v>
      </c>
      <c r="I45" s="15"/>
    </row>
    <row r="46" spans="2:9" s="112" customFormat="1" ht="12.75">
      <c r="B46" s="112" t="s">
        <v>1246</v>
      </c>
      <c r="C46" s="102">
        <f aca="true" t="shared" si="10" ref="C46:H46">IF(Insured_State&lt;&gt;"AZ",C43+C45,C43)</f>
        <v>0</v>
      </c>
      <c r="D46" s="102">
        <f t="shared" si="10"/>
        <v>0</v>
      </c>
      <c r="E46" s="102">
        <f t="shared" si="10"/>
        <v>0</v>
      </c>
      <c r="F46" s="102">
        <f t="shared" si="10"/>
        <v>0</v>
      </c>
      <c r="G46" s="102">
        <f t="shared" si="10"/>
        <v>0</v>
      </c>
      <c r="H46" s="102">
        <f t="shared" si="10"/>
        <v>0</v>
      </c>
      <c r="I46" s="15"/>
    </row>
    <row r="47" spans="1:9" s="102" customFormat="1" ht="12.75">
      <c r="A47" s="106"/>
      <c r="C47" s="110"/>
      <c r="D47" s="110"/>
      <c r="E47" s="110"/>
      <c r="F47" s="110"/>
      <c r="G47" s="110"/>
      <c r="H47" s="110"/>
      <c r="I47" s="1"/>
    </row>
    <row r="48" spans="1:9" s="102" customFormat="1" ht="12.75">
      <c r="A48" s="106" t="s">
        <v>1370</v>
      </c>
      <c r="B48" s="102" t="s">
        <v>1253</v>
      </c>
      <c r="C48" s="102">
        <f>C46*IF(AND(Insured_State="MI",INDEX(Extended_Non_owned_COMP_indicator_for_Vehicle,,1)&lt;&gt;"Y",INDEX(Named_Non_owner_COMP_indicator_for_Vehicle,,1)="Y"),Named_Non_owner_COMP_factor,1)</f>
        <v>0</v>
      </c>
      <c r="D48" s="102">
        <f>D46*IF(AND(Insured_State="MI",INDEX(Extended_Non_owned_COMP_indicator_for_Vehicle,,2)&lt;&gt;"Y",INDEX(Named_Non_owner_COMP_indicator_for_Vehicle,,2)="Y"),Named_Non_owner_COMP_factor,1)</f>
        <v>0</v>
      </c>
      <c r="E48" s="102">
        <f>E46*IF(AND(Insured_State="MI",INDEX(Extended_Non_owned_COMP_indicator_for_Vehicle,,3)&lt;&gt;"Y",INDEX(Named_Non_owner_COMP_indicator_for_Vehicle,,3)="Y"),Named_Non_owner_COMP_factor,1)</f>
        <v>0</v>
      </c>
      <c r="F48" s="102">
        <f>F46*IF(AND(Insured_State="MI",INDEX(Extended_Non_owned_COMP_indicator_for_Vehicle,,4)&lt;&gt;"Y",INDEX(Named_Non_owner_COMP_indicator_for_Vehicle,,4)="Y"),Named_Non_owner_COMP_factor,1)</f>
        <v>0</v>
      </c>
      <c r="G48" s="102">
        <f>G46*IF(AND(Insured_State="MI",INDEX(Extended_Non_owned_COMP_indicator_for_Vehicle,,5)&lt;&gt;"Y",INDEX(Named_Non_owner_COMP_indicator_for_Vehicle,,5)="Y"),Named_Non_owner_COMP_factor,1)</f>
        <v>0</v>
      </c>
      <c r="H48" s="102">
        <f>H46*IF(AND(Insured_State="MI",INDEX(Extended_Non_owned_COMP_indicator_for_Vehicle,,6)&lt;&gt;"Y",INDEX(Named_Non_owner_COMP_indicator_for_Vehicle,,6)="Y"),Named_Non_owner_COMP_factor,1)</f>
        <v>0</v>
      </c>
      <c r="I48" s="1"/>
    </row>
    <row r="49" spans="1:9" s="102" customFormat="1" ht="12.75">
      <c r="A49" s="106"/>
      <c r="C49" s="110"/>
      <c r="D49" s="110"/>
      <c r="E49" s="110"/>
      <c r="F49" s="110"/>
      <c r="G49" s="110"/>
      <c r="H49" s="110"/>
      <c r="I49" s="1"/>
    </row>
    <row r="50" spans="1:9" ht="12.75">
      <c r="A50" s="106" t="s">
        <v>1250</v>
      </c>
      <c r="B50" s="102" t="s">
        <v>1248</v>
      </c>
      <c r="C50" s="102">
        <f>INDEX(COMP_Minimum_Premium,1,1)</f>
        <v>0</v>
      </c>
      <c r="D50" s="102">
        <f>INDEX(COMP_Minimum_Premium,1,2)</f>
        <v>0</v>
      </c>
      <c r="E50" s="102">
        <f>INDEX(COMP_Minimum_Premium,1,3)</f>
        <v>0</v>
      </c>
      <c r="F50" s="102">
        <f>INDEX(COMP_Minimum_Premium,1,4)</f>
        <v>0</v>
      </c>
      <c r="G50" s="102">
        <f>INDEX(COMP_Minimum_Premium,1,5)</f>
        <v>0</v>
      </c>
      <c r="H50" s="102">
        <f>INDEX(COMP_Minimum_Premium,1,6)</f>
        <v>0</v>
      </c>
      <c r="I50" s="1"/>
    </row>
    <row r="51" spans="1:9" ht="12.75">
      <c r="A51" s="106"/>
      <c r="B51" s="102" t="s">
        <v>1249</v>
      </c>
      <c r="C51" s="102">
        <f aca="true" t="shared" si="11" ref="C51:H51">IF(C48&lt;C50,C50,C48)</f>
        <v>0</v>
      </c>
      <c r="D51" s="102">
        <f t="shared" si="11"/>
        <v>0</v>
      </c>
      <c r="E51" s="102">
        <f t="shared" si="11"/>
        <v>0</v>
      </c>
      <c r="F51" s="102">
        <f t="shared" si="11"/>
        <v>0</v>
      </c>
      <c r="G51" s="102">
        <f t="shared" si="11"/>
        <v>0</v>
      </c>
      <c r="H51" s="102">
        <f t="shared" si="11"/>
        <v>0</v>
      </c>
      <c r="I51" s="1"/>
    </row>
    <row r="52" spans="1:9" ht="12.75">
      <c r="A52" s="106"/>
      <c r="B52" s="102"/>
      <c r="C52" s="102"/>
      <c r="D52" s="102"/>
      <c r="E52" s="102"/>
      <c r="F52" s="102"/>
      <c r="G52" s="102"/>
      <c r="H52" s="102"/>
      <c r="I52" s="1"/>
    </row>
    <row r="53" spans="1:9" s="102" customFormat="1" ht="12.75">
      <c r="A53" s="106"/>
      <c r="B53" s="102" t="s">
        <v>1257</v>
      </c>
      <c r="C53" s="102">
        <f aca="true" t="shared" si="12" ref="C53:H53">C51*Policy_Period_Factor</f>
        <v>0</v>
      </c>
      <c r="D53" s="102">
        <f t="shared" si="12"/>
        <v>0</v>
      </c>
      <c r="E53" s="102">
        <f t="shared" si="12"/>
        <v>0</v>
      </c>
      <c r="F53" s="102">
        <f t="shared" si="12"/>
        <v>0</v>
      </c>
      <c r="G53" s="102">
        <f t="shared" si="12"/>
        <v>0</v>
      </c>
      <c r="H53" s="102">
        <f t="shared" si="12"/>
        <v>0</v>
      </c>
      <c r="I53" s="1"/>
    </row>
    <row r="54" spans="1:9" ht="12.75">
      <c r="A54" s="102"/>
      <c r="B54" s="109"/>
      <c r="C54" s="102"/>
      <c r="D54" s="102"/>
      <c r="E54" s="102"/>
      <c r="F54" s="102"/>
      <c r="G54" s="102"/>
      <c r="H54" s="102"/>
      <c r="I54" s="1"/>
    </row>
    <row r="55" spans="1:9" s="102" customFormat="1" ht="12.75">
      <c r="A55" s="106" t="s">
        <v>1254</v>
      </c>
      <c r="B55" s="102" t="s">
        <v>1255</v>
      </c>
      <c r="C55" s="102">
        <f aca="true" t="shared" si="13" ref="C55:H55">C53-(C53*Valued_Customer_Discount_Factor)</f>
        <v>0</v>
      </c>
      <c r="D55" s="102">
        <f t="shared" si="13"/>
        <v>0</v>
      </c>
      <c r="E55" s="102">
        <f t="shared" si="13"/>
        <v>0</v>
      </c>
      <c r="F55" s="102">
        <f t="shared" si="13"/>
        <v>0</v>
      </c>
      <c r="G55" s="102">
        <f t="shared" si="13"/>
        <v>0</v>
      </c>
      <c r="H55" s="102">
        <f t="shared" si="13"/>
        <v>0</v>
      </c>
      <c r="I55" s="1"/>
    </row>
    <row r="56" spans="1:9" s="102" customFormat="1" ht="12.75">
      <c r="A56" s="106"/>
      <c r="B56" s="102" t="s">
        <v>1256</v>
      </c>
      <c r="C56" s="102">
        <f aca="true" t="shared" si="14" ref="C56:H56">IF(Insured_State="MI",C55-(C55*C35),C55)</f>
        <v>0</v>
      </c>
      <c r="D56" s="102">
        <f t="shared" si="14"/>
        <v>0</v>
      </c>
      <c r="E56" s="102">
        <f t="shared" si="14"/>
        <v>0</v>
      </c>
      <c r="F56" s="102">
        <f t="shared" si="14"/>
        <v>0</v>
      </c>
      <c r="G56" s="102">
        <f t="shared" si="14"/>
        <v>0</v>
      </c>
      <c r="H56" s="102">
        <f t="shared" si="14"/>
        <v>0</v>
      </c>
      <c r="I56" s="1"/>
    </row>
    <row r="57" spans="1:9" s="102" customFormat="1" ht="12.75">
      <c r="A57" s="106"/>
      <c r="B57" s="102" t="s">
        <v>1258</v>
      </c>
      <c r="C57" s="102">
        <f aca="true" t="shared" si="15" ref="C57:H57">C56-(C56*Fampak_Discount_Factor)</f>
        <v>0</v>
      </c>
      <c r="D57" s="102">
        <f t="shared" si="15"/>
        <v>0</v>
      </c>
      <c r="E57" s="102">
        <f t="shared" si="15"/>
        <v>0</v>
      </c>
      <c r="F57" s="102">
        <f t="shared" si="15"/>
        <v>0</v>
      </c>
      <c r="G57" s="102">
        <f t="shared" si="15"/>
        <v>0</v>
      </c>
      <c r="H57" s="102">
        <f t="shared" si="15"/>
        <v>0</v>
      </c>
      <c r="I57" s="1"/>
    </row>
    <row r="58" spans="1:9" s="102" customFormat="1" ht="12.75">
      <c r="A58" s="106"/>
      <c r="B58" s="112" t="s">
        <v>1259</v>
      </c>
      <c r="C58" s="102">
        <f aca="true" t="shared" si="16" ref="C58:H58">C57-(C57*Prime_Life_Discount_Factor)</f>
        <v>0</v>
      </c>
      <c r="D58" s="102">
        <f t="shared" si="16"/>
        <v>0</v>
      </c>
      <c r="E58" s="102">
        <f t="shared" si="16"/>
        <v>0</v>
      </c>
      <c r="F58" s="102">
        <f t="shared" si="16"/>
        <v>0</v>
      </c>
      <c r="G58" s="102">
        <f t="shared" si="16"/>
        <v>0</v>
      </c>
      <c r="H58" s="102">
        <f t="shared" si="16"/>
        <v>0</v>
      </c>
      <c r="I58" s="1"/>
    </row>
    <row r="59" spans="1:9" s="102" customFormat="1" ht="12.75">
      <c r="A59" s="106"/>
      <c r="B59" s="102" t="s">
        <v>1260</v>
      </c>
      <c r="C59" s="102">
        <f aca="true" t="shared" si="17" ref="C59:H59">IF(Insured_State="PA",C58-(C58*C35),C58)</f>
        <v>0</v>
      </c>
      <c r="D59" s="102">
        <f t="shared" si="17"/>
        <v>0</v>
      </c>
      <c r="E59" s="102">
        <f t="shared" si="17"/>
        <v>0</v>
      </c>
      <c r="F59" s="102">
        <f t="shared" si="17"/>
        <v>0</v>
      </c>
      <c r="G59" s="102">
        <f t="shared" si="17"/>
        <v>0</v>
      </c>
      <c r="H59" s="102">
        <f t="shared" si="17"/>
        <v>0</v>
      </c>
      <c r="I59" s="1"/>
    </row>
    <row r="60" spans="1:9" s="102" customFormat="1" ht="12.75">
      <c r="A60" s="106"/>
      <c r="B60" s="102" t="s">
        <v>1261</v>
      </c>
      <c r="C60" s="102">
        <f aca="true" t="shared" si="18" ref="C60:H60">IF(Insured_State="PA",Tort_Factor_COMP,1)</f>
        <v>1</v>
      </c>
      <c r="D60" s="102">
        <f t="shared" si="18"/>
        <v>1</v>
      </c>
      <c r="E60" s="102">
        <f t="shared" si="18"/>
        <v>1</v>
      </c>
      <c r="F60" s="102">
        <f t="shared" si="18"/>
        <v>1</v>
      </c>
      <c r="G60" s="102">
        <f t="shared" si="18"/>
        <v>1</v>
      </c>
      <c r="H60" s="102">
        <f t="shared" si="18"/>
        <v>1</v>
      </c>
      <c r="I60" s="1"/>
    </row>
    <row r="61" spans="1:9" s="102" customFormat="1" ht="12.75">
      <c r="A61" s="106"/>
      <c r="B61" s="102" t="s">
        <v>1262</v>
      </c>
      <c r="C61" s="102">
        <f aca="true" t="shared" si="19" ref="C61:H61">C59*C60</f>
        <v>0</v>
      </c>
      <c r="D61" s="102">
        <f t="shared" si="19"/>
        <v>0</v>
      </c>
      <c r="E61" s="102">
        <f t="shared" si="19"/>
        <v>0</v>
      </c>
      <c r="F61" s="102">
        <f t="shared" si="19"/>
        <v>0</v>
      </c>
      <c r="G61" s="102">
        <f t="shared" si="19"/>
        <v>0</v>
      </c>
      <c r="H61" s="102">
        <f t="shared" si="19"/>
        <v>0</v>
      </c>
      <c r="I61" s="1"/>
    </row>
    <row r="62" spans="1:9" s="102" customFormat="1" ht="12.75">
      <c r="A62" s="106"/>
      <c r="B62" s="112" t="s">
        <v>1263</v>
      </c>
      <c r="C62" s="102">
        <f>C61-(C61*INDEX(Mass_Merchandise_Factor,,1))</f>
        <v>0</v>
      </c>
      <c r="D62" s="102">
        <f>D61-(D61*INDEX(Mass_Merchandise_Factor,,2))</f>
        <v>0</v>
      </c>
      <c r="E62" s="102">
        <f>E61-(E61*INDEX(Mass_Merchandise_Factor,,3))</f>
        <v>0</v>
      </c>
      <c r="F62" s="102">
        <f>F61-(F61*INDEX(Mass_Merchandise_Factor,,4))</f>
        <v>0</v>
      </c>
      <c r="G62" s="102">
        <f>G61-(G61*INDEX(Mass_Merchandise_Factor,,5))</f>
        <v>0</v>
      </c>
      <c r="H62" s="102">
        <f>H61-(H61*INDEX(Mass_Merchandise_Factor,,6))</f>
        <v>0</v>
      </c>
      <c r="I62" s="1"/>
    </row>
    <row r="63" spans="1:9" s="102" customFormat="1" ht="12.75">
      <c r="A63" s="106"/>
      <c r="B63" s="112" t="s">
        <v>1264</v>
      </c>
      <c r="C63" s="102">
        <f aca="true" t="shared" si="20" ref="C63:H63">C62-(C62*IN_Standard_Agent_Commission_Factor)</f>
        <v>0</v>
      </c>
      <c r="D63" s="102">
        <f t="shared" si="20"/>
        <v>0</v>
      </c>
      <c r="E63" s="102">
        <f t="shared" si="20"/>
        <v>0</v>
      </c>
      <c r="F63" s="102">
        <f t="shared" si="20"/>
        <v>0</v>
      </c>
      <c r="G63" s="102">
        <f t="shared" si="20"/>
        <v>0</v>
      </c>
      <c r="H63" s="102">
        <f t="shared" si="20"/>
        <v>0</v>
      </c>
      <c r="I63" s="1"/>
    </row>
    <row r="64" spans="1:9" s="102" customFormat="1" ht="12.75">
      <c r="A64" s="106" t="s">
        <v>1265</v>
      </c>
      <c r="B64" s="112" t="s">
        <v>1266</v>
      </c>
      <c r="C64" s="102">
        <f aca="true" t="shared" si="21" ref="C64:H64">C63</f>
        <v>0</v>
      </c>
      <c r="D64" s="102">
        <f t="shared" si="21"/>
        <v>0</v>
      </c>
      <c r="E64" s="102">
        <f t="shared" si="21"/>
        <v>0</v>
      </c>
      <c r="F64" s="102">
        <f t="shared" si="21"/>
        <v>0</v>
      </c>
      <c r="G64" s="102">
        <f t="shared" si="21"/>
        <v>0</v>
      </c>
      <c r="H64" s="102">
        <f t="shared" si="21"/>
        <v>0</v>
      </c>
      <c r="I64" s="1"/>
    </row>
    <row r="65" spans="1:9" ht="12.75">
      <c r="A65" s="106"/>
      <c r="B65" s="102"/>
      <c r="C65" s="102"/>
      <c r="D65" s="102"/>
      <c r="E65" s="102"/>
      <c r="F65" s="102"/>
      <c r="G65" s="102"/>
      <c r="H65" s="102"/>
      <c r="I65" s="1"/>
    </row>
    <row r="66" spans="1:9" s="102" customFormat="1" ht="12.75">
      <c r="A66" s="106"/>
      <c r="B66" s="102" t="s">
        <v>1267</v>
      </c>
      <c r="C66" s="102">
        <f>INDEX(Is_COMP_Applicable_For_Vehicle,,1)</f>
        <v>0</v>
      </c>
      <c r="D66" s="102">
        <f>INDEX(Is_COMP_Applicable_For_Vehicle,,2)</f>
        <v>0</v>
      </c>
      <c r="E66" s="102">
        <f>INDEX(Is_COMP_Applicable_For_Vehicle,,3)</f>
        <v>0</v>
      </c>
      <c r="F66" s="102">
        <f>INDEX(Is_COMP_Applicable_For_Vehicle,,4)</f>
        <v>0</v>
      </c>
      <c r="G66" s="102">
        <f>INDEX(Is_COMP_Applicable_For_Vehicle,,5)</f>
        <v>0</v>
      </c>
      <c r="H66" s="102">
        <f>INDEX(Is_COMP_Applicable_For_Vehicle,,6)</f>
        <v>0</v>
      </c>
      <c r="I66" s="1"/>
    </row>
    <row r="67" spans="2:9" s="112" customFormat="1" ht="12.75">
      <c r="B67" s="112" t="s">
        <v>1269</v>
      </c>
      <c r="C67" s="102">
        <f aca="true" t="shared" si="22" ref="C67:H67">IF(Insured_State="AZ",C45,0)</f>
        <v>0</v>
      </c>
      <c r="D67" s="102">
        <f t="shared" si="22"/>
        <v>0</v>
      </c>
      <c r="E67" s="102">
        <f t="shared" si="22"/>
        <v>0</v>
      </c>
      <c r="F67" s="102">
        <f t="shared" si="22"/>
        <v>0</v>
      </c>
      <c r="G67" s="102">
        <f t="shared" si="22"/>
        <v>0</v>
      </c>
      <c r="H67" s="102">
        <f t="shared" si="22"/>
        <v>0</v>
      </c>
      <c r="I67" s="15"/>
    </row>
    <row r="68" spans="1:9" s="102" customFormat="1" ht="12.75">
      <c r="A68" s="106"/>
      <c r="I68" s="1"/>
    </row>
    <row r="69" spans="1:9" s="112" customFormat="1" ht="12.75">
      <c r="A69" s="106" t="s">
        <v>1270</v>
      </c>
      <c r="B69" s="106" t="s">
        <v>1371</v>
      </c>
      <c r="C69" s="124">
        <f aca="true" t="shared" si="23" ref="C69:H69">IF(OR(ISERROR(C64+C67),C64+C67&lt;=0,C66=0),0,ROUND(C64+C67,2))</f>
        <v>0</v>
      </c>
      <c r="D69" s="124">
        <f t="shared" si="23"/>
        <v>0</v>
      </c>
      <c r="E69" s="124">
        <f t="shared" si="23"/>
        <v>0</v>
      </c>
      <c r="F69" s="124">
        <f t="shared" si="23"/>
        <v>0</v>
      </c>
      <c r="G69" s="124">
        <f t="shared" si="23"/>
        <v>0</v>
      </c>
      <c r="H69" s="124">
        <f t="shared" si="23"/>
        <v>0</v>
      </c>
      <c r="I69" s="15"/>
    </row>
  </sheetData>
  <printOptions/>
  <pageMargins left="0.75" right="0.75" top="1" bottom="1" header="0.5" footer="0.5"/>
  <pageSetup horizontalDpi="600" verticalDpi="6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69"/>
  <sheetViews>
    <sheetView zoomScale="75" zoomScaleNormal="75" workbookViewId="0" topLeftCell="A55">
      <selection activeCell="C27" sqref="C27"/>
    </sheetView>
  </sheetViews>
  <sheetFormatPr defaultColWidth="9.140625" defaultRowHeight="12.75"/>
  <cols>
    <col min="2" max="2" width="38.28125" style="0" customWidth="1"/>
    <col min="9" max="9" width="17.421875" style="0" customWidth="1"/>
  </cols>
  <sheetData>
    <row r="1" spans="1:9" s="122" customFormat="1" ht="20.25" customHeight="1">
      <c r="A1" s="103"/>
      <c r="B1" s="104" t="s">
        <v>511</v>
      </c>
      <c r="C1" s="103"/>
      <c r="D1" s="103"/>
      <c r="E1" s="103"/>
      <c r="F1" s="102"/>
      <c r="G1" s="102"/>
      <c r="H1" s="102"/>
      <c r="I1" s="1"/>
    </row>
    <row r="2" spans="1:8" ht="20.25" customHeight="1">
      <c r="A2" s="103"/>
      <c r="B2" s="105"/>
      <c r="C2" s="103"/>
      <c r="D2" s="103"/>
      <c r="E2" s="103"/>
      <c r="F2" s="102"/>
      <c r="G2" s="102"/>
      <c r="H2" s="102"/>
    </row>
    <row r="3" spans="1:9" ht="12.75">
      <c r="A3" s="106" t="s">
        <v>1206</v>
      </c>
      <c r="B3" s="106" t="s">
        <v>1207</v>
      </c>
      <c r="C3" s="106" t="s">
        <v>428</v>
      </c>
      <c r="D3" s="106" t="s">
        <v>429</v>
      </c>
      <c r="E3" s="106" t="s">
        <v>430</v>
      </c>
      <c r="F3" s="106" t="s">
        <v>431</v>
      </c>
      <c r="G3" s="106" t="s">
        <v>432</v>
      </c>
      <c r="H3" s="106" t="s">
        <v>433</v>
      </c>
      <c r="I3" s="6" t="s">
        <v>229</v>
      </c>
    </row>
    <row r="4" spans="1:9" ht="12.75">
      <c r="A4" s="106" t="s">
        <v>1208</v>
      </c>
      <c r="B4" s="102" t="s">
        <v>1209</v>
      </c>
      <c r="C4" s="102">
        <f>INDEX(COLL_Base_Rate,1,1)</f>
        <v>0</v>
      </c>
      <c r="D4" s="102">
        <f>INDEX(COLL_Base_Rate,1,2)</f>
        <v>0</v>
      </c>
      <c r="E4" s="102">
        <f>INDEX(COLL_Base_Rate,1,3)</f>
        <v>0</v>
      </c>
      <c r="F4" s="102">
        <f>INDEX(COLL_Base_Rate,1,4)</f>
        <v>0</v>
      </c>
      <c r="G4" s="102">
        <f>INDEX(COLL_Base_Rate,1,5)</f>
        <v>0</v>
      </c>
      <c r="H4" s="102">
        <f>INDEX(COLL_Base_Rate,1,6)</f>
        <v>0</v>
      </c>
      <c r="I4" s="1"/>
    </row>
    <row r="5" spans="1:9" ht="12.75">
      <c r="A5" s="106"/>
      <c r="B5" s="102" t="s">
        <v>1372</v>
      </c>
      <c r="C5" s="102">
        <f aca="true" t="shared" si="0" ref="C5:H5">C4</f>
        <v>0</v>
      </c>
      <c r="D5" s="102">
        <f t="shared" si="0"/>
        <v>0</v>
      </c>
      <c r="E5" s="102">
        <f t="shared" si="0"/>
        <v>0</v>
      </c>
      <c r="F5" s="102">
        <f t="shared" si="0"/>
        <v>0</v>
      </c>
      <c r="G5" s="102">
        <f t="shared" si="0"/>
        <v>0</v>
      </c>
      <c r="H5" s="102">
        <f t="shared" si="0"/>
        <v>0</v>
      </c>
      <c r="I5" s="1"/>
    </row>
    <row r="6" spans="1:9" ht="12.75">
      <c r="A6" s="106"/>
      <c r="B6" s="102"/>
      <c r="C6" s="102"/>
      <c r="D6" s="102"/>
      <c r="E6" s="102"/>
      <c r="F6" s="102"/>
      <c r="G6" s="102"/>
      <c r="H6" s="102"/>
      <c r="I6" s="1"/>
    </row>
    <row r="7" spans="1:9" ht="12.75">
      <c r="A7" s="106" t="s">
        <v>1218</v>
      </c>
      <c r="B7" s="102" t="s">
        <v>1353</v>
      </c>
      <c r="C7" s="102">
        <f>INDEX(COLL_Vehicle_Symbol_Factor,,1)</f>
        <v>0</v>
      </c>
      <c r="D7" s="102">
        <f>INDEX(COLL_Vehicle_Symbol_Factor,,2)</f>
        <v>0</v>
      </c>
      <c r="E7" s="102">
        <f>INDEX(COLL_Vehicle_Symbol_Factor,,3)</f>
        <v>0</v>
      </c>
      <c r="F7" s="102">
        <f>INDEX(COLL_Vehicle_Symbol_Factor,,4)</f>
        <v>0</v>
      </c>
      <c r="G7" s="102">
        <f>INDEX(COLL_Vehicle_Symbol_Factor,,5)</f>
        <v>0</v>
      </c>
      <c r="H7" s="102">
        <f>INDEX(COLL_Vehicle_Symbol_Factor,,6)</f>
        <v>0</v>
      </c>
      <c r="I7" s="1"/>
    </row>
    <row r="8" spans="1:9" ht="12.75">
      <c r="A8" s="102"/>
      <c r="B8" s="109"/>
      <c r="C8" s="102"/>
      <c r="D8" s="102"/>
      <c r="E8" s="102"/>
      <c r="F8" s="102"/>
      <c r="G8" s="102"/>
      <c r="H8" s="102"/>
      <c r="I8" s="1"/>
    </row>
    <row r="9" spans="1:9" ht="12.75">
      <c r="A9" s="106" t="s">
        <v>1354</v>
      </c>
      <c r="B9" s="102" t="s">
        <v>1355</v>
      </c>
      <c r="C9" s="102">
        <f>INDEX(COLL_Age_Factor,,1)</f>
        <v>0</v>
      </c>
      <c r="D9" s="102">
        <f>INDEX(COLL_Age_Factor,,2)</f>
        <v>0</v>
      </c>
      <c r="E9" s="102">
        <f>INDEX(COLL_Age_Factor,,3)</f>
        <v>0</v>
      </c>
      <c r="F9" s="102">
        <f>INDEX(COLL_Age_Factor,,4)</f>
        <v>0</v>
      </c>
      <c r="G9" s="102">
        <f>INDEX(COLL_Age_Factor,,5)</f>
        <v>0</v>
      </c>
      <c r="H9" s="102">
        <f>INDEX(COLL_Age_Factor,,6)</f>
        <v>0</v>
      </c>
      <c r="I9" s="1"/>
    </row>
    <row r="10" spans="1:9" ht="12.75">
      <c r="A10" s="102"/>
      <c r="B10" s="102"/>
      <c r="C10" s="102"/>
      <c r="D10" s="102"/>
      <c r="E10" s="102"/>
      <c r="F10" s="102"/>
      <c r="G10" s="102"/>
      <c r="H10" s="102"/>
      <c r="I10" s="1"/>
    </row>
    <row r="11" spans="1:9" ht="12.75">
      <c r="A11" s="106" t="s">
        <v>1356</v>
      </c>
      <c r="B11" s="108" t="s">
        <v>1357</v>
      </c>
      <c r="C11" s="102">
        <f>INDEX(COLL_Deductible_Factor,,1)</f>
        <v>0</v>
      </c>
      <c r="D11" s="102">
        <f>INDEX(COLL_Deductible_Factor,,2)</f>
        <v>0</v>
      </c>
      <c r="E11" s="102">
        <f>INDEX(COLL_Deductible_Factor,,3)</f>
        <v>0</v>
      </c>
      <c r="F11" s="102">
        <f>INDEX(COLL_Deductible_Factor,,4)</f>
        <v>0</v>
      </c>
      <c r="G11" s="102">
        <f>INDEX(COLL_Deductible_Factor,,5)</f>
        <v>0</v>
      </c>
      <c r="H11" s="102">
        <f>INDEX(COLL_Deductible_Factor,,6)</f>
        <v>0</v>
      </c>
      <c r="I11" s="1"/>
    </row>
    <row r="12" spans="1:9" ht="12.75">
      <c r="A12" s="106"/>
      <c r="B12" s="108" t="s">
        <v>1373</v>
      </c>
      <c r="C12" s="102">
        <f>IF(INDEX(Limited_Collision,,1)="Y",INDEX(MI_Limited_COLL_Factor,,1),C11)</f>
        <v>0</v>
      </c>
      <c r="D12" s="102">
        <f>IF(INDEX(Limited_Collision,,2)="Y",INDEX(MI_Limited_COLL_Factor,,2),D11)</f>
        <v>0</v>
      </c>
      <c r="E12" s="102">
        <f>IF(INDEX(Limited_Collision,,3)="Y",INDEX(MI_Limited_COLL_Factor,,3),E11)</f>
        <v>0</v>
      </c>
      <c r="F12" s="102">
        <f>IF(INDEX(Limited_Collision,,4)="Y",INDEX(MI_Limited_COLL_Factor,,4),F11)</f>
        <v>0</v>
      </c>
      <c r="G12" s="102">
        <f>IF(INDEX(Limited_Collision,,5)="Y",INDEX(MI_Limited_COLL_Factor,,5),G11)</f>
        <v>0</v>
      </c>
      <c r="H12" s="102">
        <f>IF(INDEX(Limited_Collision,,6)="Y",INDEX(MI_Limited_COLL_Factor,,6),H11)</f>
        <v>0</v>
      </c>
      <c r="I12" s="1"/>
    </row>
    <row r="13" spans="1:9" ht="12.75">
      <c r="A13" s="102"/>
      <c r="B13" s="102"/>
      <c r="C13" s="102"/>
      <c r="D13" s="102"/>
      <c r="E13" s="102"/>
      <c r="F13" s="102"/>
      <c r="G13" s="102"/>
      <c r="H13" s="102"/>
      <c r="I13" s="1"/>
    </row>
    <row r="14" spans="1:9" ht="12.75">
      <c r="A14" s="106" t="s">
        <v>1360</v>
      </c>
      <c r="B14" s="102" t="s">
        <v>1361</v>
      </c>
      <c r="C14" s="102">
        <f aca="true" t="shared" si="1" ref="C14:H14">(C5*C7*C9*C12)</f>
        <v>0</v>
      </c>
      <c r="D14" s="102">
        <f t="shared" si="1"/>
        <v>0</v>
      </c>
      <c r="E14" s="102">
        <f t="shared" si="1"/>
        <v>0</v>
      </c>
      <c r="F14" s="102">
        <f t="shared" si="1"/>
        <v>0</v>
      </c>
      <c r="G14" s="102">
        <f t="shared" si="1"/>
        <v>0</v>
      </c>
      <c r="H14" s="102">
        <f t="shared" si="1"/>
        <v>0</v>
      </c>
      <c r="I14" s="1"/>
    </row>
    <row r="15" spans="1:9" ht="12.75">
      <c r="A15" s="106"/>
      <c r="B15" s="102" t="s">
        <v>1374</v>
      </c>
      <c r="C15" s="102">
        <f>INDEX(MI_Broadened_COLL_Rate,,1)</f>
        <v>0</v>
      </c>
      <c r="D15" s="102">
        <f>INDEX(MI_Broadened_COLL_Rate,,2)</f>
        <v>0</v>
      </c>
      <c r="E15" s="102">
        <f>INDEX(MI_Broadened_COLL_Rate,,3)</f>
        <v>0</v>
      </c>
      <c r="F15" s="102">
        <f>INDEX(MI_Broadened_COLL_Rate,,4)</f>
        <v>0</v>
      </c>
      <c r="G15" s="102">
        <f>INDEX(MI_Broadened_COLL_Rate,,5)</f>
        <v>0</v>
      </c>
      <c r="H15" s="102">
        <f>INDEX(MI_Broadened_COLL_Rate,,6)</f>
        <v>0</v>
      </c>
      <c r="I15" s="1"/>
    </row>
    <row r="16" spans="1:9" ht="12.75">
      <c r="A16" s="106"/>
      <c r="B16" s="102" t="s">
        <v>1375</v>
      </c>
      <c r="C16" s="102">
        <f aca="true" t="shared" si="2" ref="C16:H16">(C14+C15)</f>
        <v>0</v>
      </c>
      <c r="D16" s="102">
        <f t="shared" si="2"/>
        <v>0</v>
      </c>
      <c r="E16" s="102">
        <f t="shared" si="2"/>
        <v>0</v>
      </c>
      <c r="F16" s="102">
        <f t="shared" si="2"/>
        <v>0</v>
      </c>
      <c r="G16" s="102">
        <f t="shared" si="2"/>
        <v>0</v>
      </c>
      <c r="H16" s="102">
        <f t="shared" si="2"/>
        <v>0</v>
      </c>
      <c r="I16" s="1"/>
    </row>
    <row r="17" spans="1:9" ht="12.75">
      <c r="A17" s="102"/>
      <c r="B17" s="102"/>
      <c r="C17" s="102"/>
      <c r="D17" s="102"/>
      <c r="E17" s="102"/>
      <c r="F17" s="102"/>
      <c r="G17" s="102"/>
      <c r="H17" s="102"/>
      <c r="I17" s="1"/>
    </row>
    <row r="18" spans="1:9" s="102" customFormat="1" ht="12.75">
      <c r="A18" s="106" t="s">
        <v>1362</v>
      </c>
      <c r="B18" s="107" t="s">
        <v>1363</v>
      </c>
      <c r="C18" s="102">
        <f aca="true" t="shared" si="3" ref="C18:H18">C16*(IF(Insured_State="NC",Company_Deviation_Factor_NC,Company_Deviation_Factor_COLL))*Tier_Rating_Factor</f>
        <v>0</v>
      </c>
      <c r="D18" s="102">
        <f t="shared" si="3"/>
        <v>0</v>
      </c>
      <c r="E18" s="102">
        <f t="shared" si="3"/>
        <v>0</v>
      </c>
      <c r="F18" s="102">
        <f t="shared" si="3"/>
        <v>0</v>
      </c>
      <c r="G18" s="102">
        <f t="shared" si="3"/>
        <v>0</v>
      </c>
      <c r="H18" s="102">
        <f t="shared" si="3"/>
        <v>0</v>
      </c>
      <c r="I18" s="1"/>
    </row>
    <row r="19" spans="1:9" ht="12.75">
      <c r="A19" s="102"/>
      <c r="B19" s="102"/>
      <c r="C19" s="102"/>
      <c r="D19" s="102"/>
      <c r="E19" s="102"/>
      <c r="F19" s="102"/>
      <c r="G19" s="102"/>
      <c r="H19" s="102"/>
      <c r="I19" s="1"/>
    </row>
    <row r="20" spans="1:9" s="102" customFormat="1" ht="12.75">
      <c r="A20" s="106" t="s">
        <v>1222</v>
      </c>
      <c r="B20" s="102" t="s">
        <v>1364</v>
      </c>
      <c r="C20" s="102">
        <f>IF(OR(INDEX(Vehicle_Type,,1)="PU",INDEX(Vehicle_Type,,1)="VAN"),C18*INDEX(COLL_PickupVan_Factor,,1),C18)</f>
        <v>0</v>
      </c>
      <c r="D20" s="102">
        <f>IF(OR(INDEX(Vehicle_Type,,2)="PU",INDEX(Vehicle_Type,,2)="VAN"),D18*INDEX(COLL_PickupVan_Factor,,2),D18)</f>
        <v>0</v>
      </c>
      <c r="E20" s="102">
        <f>IF(OR(INDEX(Vehicle_Type,,3)="PU",INDEX(Vehicle_Type,,3)="VAN"),E18*INDEX(COLL_PickupVan_Factor,,3),E18)</f>
        <v>0</v>
      </c>
      <c r="F20" s="102">
        <f>IF(OR(INDEX(Vehicle_Type,,4)="PU",INDEX(Vehicle_Type,,4)="VAN"),F18*INDEX(COLL_PickupVan_Factor,,4),F18)</f>
        <v>0</v>
      </c>
      <c r="G20" s="102">
        <f>IF(OR(INDEX(Vehicle_Type,,5)="PU",INDEX(Vehicle_Type,,5)="VAN"),G18*INDEX(COLL_PickupVan_Factor,,5),G18)</f>
        <v>0</v>
      </c>
      <c r="H20" s="102">
        <f>IF(OR(INDEX(Vehicle_Type,,6)="PU",INDEX(Vehicle_Type,,6)="VAN"),H18*INDEX(COLL_PickupVan_Factor,,6),H18)</f>
        <v>0</v>
      </c>
      <c r="I20" s="1"/>
    </row>
    <row r="21" spans="1:9" s="102" customFormat="1" ht="12.75">
      <c r="A21" s="106"/>
      <c r="I21" s="1"/>
    </row>
    <row r="22" spans="1:9" ht="12.75">
      <c r="A22" s="106" t="s">
        <v>1222</v>
      </c>
      <c r="B22" s="102" t="s">
        <v>1223</v>
      </c>
      <c r="C22" s="102">
        <f>INDEX(Primary_class_factor_for_COMP_and_COLL,1,1)</f>
        <v>0</v>
      </c>
      <c r="D22" s="102">
        <f>INDEX(Primary_class_factor_for_COMP_and_COLL,1,2)</f>
        <v>0</v>
      </c>
      <c r="E22" s="102">
        <f>INDEX(Primary_class_factor_for_COMP_and_COLL,1,3)</f>
        <v>0</v>
      </c>
      <c r="F22" s="102">
        <f>INDEX(Primary_class_factor_for_COMP_and_COLL,1,4)</f>
        <v>0</v>
      </c>
      <c r="G22" s="102">
        <f>INDEX(Primary_class_factor_for_COMP_and_COLL,1,5)</f>
        <v>0</v>
      </c>
      <c r="H22" s="102">
        <f>INDEX(Primary_class_factor_for_COMP_and_COLL,1,6)</f>
        <v>0</v>
      </c>
      <c r="I22" s="1"/>
    </row>
    <row r="23" spans="1:9" s="102" customFormat="1" ht="12.75">
      <c r="A23" s="106"/>
      <c r="B23" s="102" t="s">
        <v>1224</v>
      </c>
      <c r="C23" s="102">
        <f>INDEX(NC_Primary_Factor_Collision,,1)</f>
        <v>0</v>
      </c>
      <c r="D23" s="102">
        <f>INDEX(NC_Primary_Factor_Collision,,2)</f>
        <v>0</v>
      </c>
      <c r="E23" s="102">
        <f>INDEX(NC_Primary_Factor_Collision,,3)</f>
        <v>0</v>
      </c>
      <c r="F23" s="102">
        <f>INDEX(NC_Primary_Factor_Collision,,4)</f>
        <v>0</v>
      </c>
      <c r="G23" s="102">
        <f>INDEX(NC_Primary_Factor_Collision,,5)</f>
        <v>0</v>
      </c>
      <c r="H23" s="102">
        <f>INDEX(NC_Primary_Factor_Collision,,6)</f>
        <v>0</v>
      </c>
      <c r="I23" s="1"/>
    </row>
    <row r="24" spans="1:9" ht="12.75">
      <c r="A24" s="106"/>
      <c r="B24" s="102"/>
      <c r="C24" s="102"/>
      <c r="D24" s="102"/>
      <c r="E24" s="102"/>
      <c r="F24" s="102"/>
      <c r="G24" s="102"/>
      <c r="H24" s="102"/>
      <c r="I24" s="1"/>
    </row>
    <row r="25" spans="1:9" ht="12.75">
      <c r="A25" s="106" t="s">
        <v>1225</v>
      </c>
      <c r="B25" s="102" t="s">
        <v>1226</v>
      </c>
      <c r="C25" s="102">
        <f>INDEX(Secondary_class_factor_for_COMP_and_COLL,1,1)</f>
        <v>0</v>
      </c>
      <c r="D25" s="102">
        <f>INDEX(Secondary_class_factor_for_COMP_and_COLL,1,2)</f>
        <v>0</v>
      </c>
      <c r="E25" s="102">
        <f>INDEX(Secondary_class_factor_for_COMP_and_COLL,1,3)</f>
        <v>0</v>
      </c>
      <c r="F25" s="102">
        <f>INDEX(Secondary_class_factor_for_COMP_and_COLL,1,4)</f>
        <v>0</v>
      </c>
      <c r="G25" s="102">
        <f>INDEX(Secondary_class_factor_for_COMP_and_COLL,1,5)</f>
        <v>0</v>
      </c>
      <c r="H25" s="102">
        <f>INDEX(Secondary_class_factor_for_COMP_and_COLL,1,6)</f>
        <v>0</v>
      </c>
      <c r="I25" s="1"/>
    </row>
    <row r="26" spans="1:9" s="102" customFormat="1" ht="12.75">
      <c r="A26" s="106"/>
      <c r="B26" s="102" t="s">
        <v>1227</v>
      </c>
      <c r="C26" s="102">
        <f>INDEX(NC_No_Inexperience_Liability,,1)+INDEX(NC_Inexperience_Liability,,1)</f>
        <v>0</v>
      </c>
      <c r="D26" s="102">
        <f>INDEX(NC_No_Inexperience_Liability,,2)+INDEX(NC_Inexperience_Liability,,2)</f>
        <v>0</v>
      </c>
      <c r="E26" s="102">
        <f>INDEX(NC_No_Inexperience_Liability,,3)+INDEX(NC_Inexperience_Liability,,3)</f>
        <v>0</v>
      </c>
      <c r="F26" s="102">
        <f>INDEX(NC_No_Inexperience_Liability,,4)+INDEX(NC_Inexperience_Liability,,4)</f>
        <v>0</v>
      </c>
      <c r="G26" s="102">
        <f>INDEX(NC_No_Inexperience_Liability,,5)+INDEX(NC_Inexperience_Liability,,5)</f>
        <v>0</v>
      </c>
      <c r="H26" s="102">
        <f>INDEX(NC_No_Inexperience_Liability,,6)+INDEX(NC_Inexperience_Liability,,6)</f>
        <v>0</v>
      </c>
      <c r="I26" s="1"/>
    </row>
    <row r="27" spans="1:9" s="102" customFormat="1" ht="12.75">
      <c r="A27" s="106"/>
      <c r="B27" s="102" t="s">
        <v>1365</v>
      </c>
      <c r="C27" s="102">
        <f>IF(INDEX(NC_Repair_or_Replacement_Coverage,,1)="Y",INDEX(NC_Repair_or_Replacement_factor,,1),0)</f>
        <v>0</v>
      </c>
      <c r="D27" s="102">
        <f>IF(INDEX(NC_Repair_or_Replacement_Coverage,,2)="Y",INDEX(NC_Repair_or_Replacement_factor,,2),0)</f>
        <v>0</v>
      </c>
      <c r="E27" s="102">
        <f>IF(INDEX(NC_Repair_or_Replacement_Coverage,,3)="Y",INDEX(NC_Repair_or_Replacement_factor,,3),0)</f>
        <v>0</v>
      </c>
      <c r="F27" s="102">
        <f>IF(INDEX(NC_Repair_or_Replacement_Coverage,,4)="Y",INDEX(NC_Repair_or_Replacement_factor,,4),0)</f>
        <v>0</v>
      </c>
      <c r="G27" s="102">
        <f>IF(INDEX(NC_Repair_or_Replacement_Coverage,,5)="Y",INDEX(NC_Repair_or_Replacement_factor,,5),0)</f>
        <v>0</v>
      </c>
      <c r="H27" s="102">
        <f>IF(INDEX(NC_Repair_or_Replacement_Coverage,,6)="Y",INDEX(NC_Repair_or_Replacement_factor,,6),0)</f>
        <v>0</v>
      </c>
      <c r="I27" s="1"/>
    </row>
    <row r="28" spans="1:9" s="102" customFormat="1" ht="12.75">
      <c r="A28" s="106"/>
      <c r="B28" s="102" t="s">
        <v>594</v>
      </c>
      <c r="C28" s="102">
        <f>INDEX(NC_SDIP_Factor,,1)</f>
        <v>0</v>
      </c>
      <c r="D28" s="102">
        <f>INDEX(NC_SDIP_Factor,,2)</f>
        <v>0</v>
      </c>
      <c r="E28" s="102">
        <f>INDEX(NC_SDIP_Factor,,3)</f>
        <v>0</v>
      </c>
      <c r="F28" s="102">
        <f>INDEX(NC_SDIP_Factor,,4)</f>
        <v>0</v>
      </c>
      <c r="G28" s="102">
        <f>INDEX(NC_SDIP_Factor,,5)</f>
        <v>0</v>
      </c>
      <c r="H28" s="102">
        <f>INDEX(NC_SDIP_Factor,,6)</f>
        <v>0</v>
      </c>
      <c r="I28" s="1"/>
    </row>
    <row r="29" spans="1:9" s="102" customFormat="1" ht="12.75">
      <c r="A29" s="106"/>
      <c r="B29" s="102" t="s">
        <v>1228</v>
      </c>
      <c r="C29" s="102">
        <f>INDEX(MI_Secondary_Class_Factor,,1)</f>
        <v>0</v>
      </c>
      <c r="D29" s="102">
        <f>INDEX(MI_Secondary_Class_Factor,,2)</f>
        <v>0</v>
      </c>
      <c r="E29" s="102">
        <f>INDEX(MI_Secondary_Class_Factor,,3)</f>
        <v>0</v>
      </c>
      <c r="F29" s="102">
        <f>INDEX(MI_Secondary_Class_Factor,,4)</f>
        <v>0</v>
      </c>
      <c r="G29" s="102">
        <f>INDEX(MI_Secondary_Class_Factor,,5)</f>
        <v>0</v>
      </c>
      <c r="H29" s="102">
        <f>INDEX(MI_Secondary_Class_Factor,,6)</f>
        <v>0</v>
      </c>
      <c r="I29" s="1"/>
    </row>
    <row r="30" spans="1:9" ht="12.75">
      <c r="A30" s="102"/>
      <c r="B30" s="109"/>
      <c r="C30" s="102"/>
      <c r="D30" s="102"/>
      <c r="E30" s="102"/>
      <c r="F30" s="102"/>
      <c r="G30" s="102"/>
      <c r="H30" s="102"/>
      <c r="I30" s="1"/>
    </row>
    <row r="31" spans="1:9" ht="12.75">
      <c r="A31" s="106" t="s">
        <v>1229</v>
      </c>
      <c r="B31" s="108" t="s">
        <v>1230</v>
      </c>
      <c r="C31" s="102">
        <f aca="true" t="shared" si="4" ref="C31:H31">SUM(C22:C23)+SUM(C25:C29)</f>
        <v>0</v>
      </c>
      <c r="D31" s="102">
        <f t="shared" si="4"/>
        <v>0</v>
      </c>
      <c r="E31" s="102">
        <f t="shared" si="4"/>
        <v>0</v>
      </c>
      <c r="F31" s="102">
        <f t="shared" si="4"/>
        <v>0</v>
      </c>
      <c r="G31" s="102">
        <f t="shared" si="4"/>
        <v>0</v>
      </c>
      <c r="H31" s="102">
        <f t="shared" si="4"/>
        <v>0</v>
      </c>
      <c r="I31" s="1"/>
    </row>
    <row r="32" spans="1:9" ht="12.75">
      <c r="A32" s="102"/>
      <c r="B32" s="102"/>
      <c r="C32" s="102"/>
      <c r="D32" s="102"/>
      <c r="E32" s="102"/>
      <c r="F32" s="102"/>
      <c r="G32" s="102"/>
      <c r="H32" s="102"/>
      <c r="I32" s="1"/>
    </row>
    <row r="33" spans="1:9" ht="12.75">
      <c r="A33" s="106" t="s">
        <v>1231</v>
      </c>
      <c r="B33" s="102" t="s">
        <v>1232</v>
      </c>
      <c r="C33" s="102">
        <f aca="true" t="shared" si="5" ref="C33:H33">C20*C31</f>
        <v>0</v>
      </c>
      <c r="D33" s="102">
        <f t="shared" si="5"/>
        <v>0</v>
      </c>
      <c r="E33" s="102">
        <f t="shared" si="5"/>
        <v>0</v>
      </c>
      <c r="F33" s="102">
        <f t="shared" si="5"/>
        <v>0</v>
      </c>
      <c r="G33" s="102">
        <f t="shared" si="5"/>
        <v>0</v>
      </c>
      <c r="H33" s="102">
        <f t="shared" si="5"/>
        <v>0</v>
      </c>
      <c r="I33" s="1"/>
    </row>
    <row r="34" spans="1:9" ht="12.75">
      <c r="A34" s="102"/>
      <c r="B34" s="109"/>
      <c r="C34" s="102"/>
      <c r="D34" s="102"/>
      <c r="E34" s="102"/>
      <c r="F34" s="102"/>
      <c r="G34" s="102"/>
      <c r="H34" s="102"/>
      <c r="I34" s="1"/>
    </row>
    <row r="35" spans="1:9" s="102" customFormat="1" ht="12.75" customHeight="1">
      <c r="A35" s="106" t="s">
        <v>1243</v>
      </c>
      <c r="B35" s="108" t="s">
        <v>816</v>
      </c>
      <c r="C35" s="102">
        <f>INDEX(SDIP_Factor,,1)</f>
        <v>0</v>
      </c>
      <c r="D35" s="102">
        <f>INDEX(SDIP_Factor,,2)</f>
        <v>0</v>
      </c>
      <c r="E35" s="102">
        <f>INDEX(SDIP_Factor,,3)</f>
        <v>0</v>
      </c>
      <c r="F35" s="102">
        <f>INDEX(SDIP_Factor,,4)</f>
        <v>0</v>
      </c>
      <c r="G35" s="102">
        <f>INDEX(SDIP_Factor,,5)</f>
        <v>0</v>
      </c>
      <c r="H35" s="102">
        <f>INDEX(SDIP_Factor,,6)</f>
        <v>0</v>
      </c>
      <c r="I35" s="1"/>
    </row>
    <row r="36" spans="1:9" ht="12.75">
      <c r="A36" s="106"/>
      <c r="B36" s="108" t="s">
        <v>1237</v>
      </c>
      <c r="C36" s="111">
        <f>INDEX(Accident_Prevention_Discount_Factor,,1)</f>
        <v>0</v>
      </c>
      <c r="D36" s="111">
        <f>INDEX(Accident_Prevention_Discount_Factor,,2)</f>
        <v>0</v>
      </c>
      <c r="E36" s="111">
        <f>INDEX(Accident_Prevention_Discount_Factor,,3)</f>
        <v>0</v>
      </c>
      <c r="F36" s="111">
        <f>INDEX(Accident_Prevention_Discount_Factor,,4)</f>
        <v>0</v>
      </c>
      <c r="G36" s="111">
        <f>INDEX(Accident_Prevention_Discount_Factor,,5)</f>
        <v>0</v>
      </c>
      <c r="H36" s="111">
        <f>INDEX(Accident_Prevention_Discount_Factor,,6)</f>
        <v>0</v>
      </c>
      <c r="I36" s="1"/>
    </row>
    <row r="37" spans="1:9" ht="12.75">
      <c r="A37" s="106"/>
      <c r="B37" s="108" t="s">
        <v>837</v>
      </c>
      <c r="C37" s="111">
        <f>INDEX(Minivan_Discount_Factor,,1)</f>
        <v>0</v>
      </c>
      <c r="D37" s="111">
        <f>INDEX(Minivan_Discount_Factor,,2)</f>
        <v>0</v>
      </c>
      <c r="E37" s="111">
        <f>INDEX(Minivan_Discount_Factor,,3)</f>
        <v>0</v>
      </c>
      <c r="F37" s="111">
        <f>INDEX(Minivan_Discount_Factor,,4)</f>
        <v>0</v>
      </c>
      <c r="G37" s="111">
        <f>INDEX(Minivan_Discount_Factor,,5)</f>
        <v>0</v>
      </c>
      <c r="H37" s="111">
        <f>INDEX(Minivan_Discount_Factor,,6)</f>
        <v>0</v>
      </c>
      <c r="I37" s="1"/>
    </row>
    <row r="38" spans="2:9" s="102" customFormat="1" ht="12.75">
      <c r="B38" s="108"/>
      <c r="I38" s="1"/>
    </row>
    <row r="39" spans="1:9" s="102" customFormat="1" ht="12.75">
      <c r="A39" s="106" t="s">
        <v>1247</v>
      </c>
      <c r="B39" s="108" t="s">
        <v>1239</v>
      </c>
      <c r="C39" s="102">
        <f aca="true" t="shared" si="6" ref="C39:H39">C33*C35</f>
        <v>0</v>
      </c>
      <c r="D39" s="102">
        <f t="shared" si="6"/>
        <v>0</v>
      </c>
      <c r="E39" s="102">
        <f t="shared" si="6"/>
        <v>0</v>
      </c>
      <c r="F39" s="102">
        <f t="shared" si="6"/>
        <v>0</v>
      </c>
      <c r="G39" s="102">
        <f t="shared" si="6"/>
        <v>0</v>
      </c>
      <c r="H39" s="102">
        <f t="shared" si="6"/>
        <v>0</v>
      </c>
      <c r="I39" s="1"/>
    </row>
    <row r="40" spans="1:9" s="102" customFormat="1" ht="12.75" customHeight="1">
      <c r="A40" s="106"/>
      <c r="B40" s="108" t="s">
        <v>1376</v>
      </c>
      <c r="C40" s="110">
        <f aca="true" t="shared" si="7" ref="C40:H40">IF(AND(Insured_State&lt;&gt;"PA",Insured_State&lt;&gt;"AZ",Insured_State&lt;&gt;"IA",Insured_State&lt;&gt;"IL",Insured_State&lt;&gt;"IN",Insured_State&lt;&gt;"MD",Insured_State&lt;&gt;"MO",Insured_State&lt;&gt;"NE",Insured_State&lt;&gt;"WI"),C33*C36,0)</f>
        <v>0</v>
      </c>
      <c r="D40" s="110">
        <f t="shared" si="7"/>
        <v>0</v>
      </c>
      <c r="E40" s="110">
        <f t="shared" si="7"/>
        <v>0</v>
      </c>
      <c r="F40" s="110">
        <f t="shared" si="7"/>
        <v>0</v>
      </c>
      <c r="G40" s="110">
        <f t="shared" si="7"/>
        <v>0</v>
      </c>
      <c r="H40" s="110">
        <f t="shared" si="7"/>
        <v>0</v>
      </c>
      <c r="I40" s="1"/>
    </row>
    <row r="41" spans="1:9" ht="12.75">
      <c r="A41" s="102"/>
      <c r="B41" s="108" t="s">
        <v>1242</v>
      </c>
      <c r="C41" s="110">
        <f aca="true" t="shared" si="8" ref="C41:H41">(C33-C40)*C37</f>
        <v>0</v>
      </c>
      <c r="D41" s="110">
        <f t="shared" si="8"/>
        <v>0</v>
      </c>
      <c r="E41" s="110">
        <f t="shared" si="8"/>
        <v>0</v>
      </c>
      <c r="F41" s="110">
        <f t="shared" si="8"/>
        <v>0</v>
      </c>
      <c r="G41" s="110">
        <f t="shared" si="8"/>
        <v>0</v>
      </c>
      <c r="H41" s="110">
        <f t="shared" si="8"/>
        <v>0</v>
      </c>
      <c r="I41" s="1"/>
    </row>
    <row r="42" spans="1:9" s="102" customFormat="1" ht="12.75">
      <c r="A42" s="106"/>
      <c r="B42" s="108"/>
      <c r="I42" s="1"/>
    </row>
    <row r="43" spans="1:9" s="102" customFormat="1" ht="12.75">
      <c r="A43" s="106" t="s">
        <v>1370</v>
      </c>
      <c r="B43" s="102" t="s">
        <v>1244</v>
      </c>
      <c r="C43" s="110">
        <f aca="true" t="shared" si="9" ref="C43:H43">(C33+C39-C40-C41)</f>
        <v>0</v>
      </c>
      <c r="D43" s="110">
        <f t="shared" si="9"/>
        <v>0</v>
      </c>
      <c r="E43" s="110">
        <f t="shared" si="9"/>
        <v>0</v>
      </c>
      <c r="F43" s="110">
        <f t="shared" si="9"/>
        <v>0</v>
      </c>
      <c r="G43" s="110">
        <f t="shared" si="9"/>
        <v>0</v>
      </c>
      <c r="H43" s="110">
        <f t="shared" si="9"/>
        <v>0</v>
      </c>
      <c r="I43" s="1"/>
    </row>
    <row r="44" spans="1:9" ht="15" customHeight="1">
      <c r="A44" s="102"/>
      <c r="B44" s="108" t="s">
        <v>1245</v>
      </c>
      <c r="C44" s="110">
        <f>C43*INDEX(MI_High_Performance_Factor,,1)</f>
        <v>0</v>
      </c>
      <c r="D44" s="110">
        <f>D43*INDEX(MI_High_Performance_Factor,,2)</f>
        <v>0</v>
      </c>
      <c r="E44" s="110">
        <f>E43*INDEX(MI_High_Performance_Factor,,3)</f>
        <v>0</v>
      </c>
      <c r="F44" s="110">
        <f>F43*INDEX(MI_High_Performance_Factor,,4)</f>
        <v>0</v>
      </c>
      <c r="G44" s="110">
        <f>G43*INDEX(MI_High_Performance_Factor,,5)</f>
        <v>0</v>
      </c>
      <c r="H44" s="110">
        <f>H43*INDEX(MI_High_Performance_Factor,,6)</f>
        <v>0</v>
      </c>
      <c r="I44" s="1"/>
    </row>
    <row r="45" s="102" customFormat="1" ht="12.75">
      <c r="I45" s="1"/>
    </row>
    <row r="46" spans="2:9" s="112" customFormat="1" ht="12.75">
      <c r="B46" s="112" t="s">
        <v>939</v>
      </c>
      <c r="C46" s="102">
        <f aca="true" t="shared" si="10" ref="C46:H46">IF(OR(ISERROR(C44),C44&lt;=0),0,Expense_Fees_Collision)</f>
        <v>0</v>
      </c>
      <c r="D46" s="102">
        <f t="shared" si="10"/>
        <v>0</v>
      </c>
      <c r="E46" s="102">
        <f t="shared" si="10"/>
        <v>0</v>
      </c>
      <c r="F46" s="102">
        <f t="shared" si="10"/>
        <v>0</v>
      </c>
      <c r="G46" s="102">
        <f t="shared" si="10"/>
        <v>0</v>
      </c>
      <c r="H46" s="102">
        <f t="shared" si="10"/>
        <v>0</v>
      </c>
      <c r="I46" s="15"/>
    </row>
    <row r="47" spans="2:9" s="112" customFormat="1" ht="12.75">
      <c r="B47" s="112" t="s">
        <v>1246</v>
      </c>
      <c r="C47" s="102">
        <f aca="true" t="shared" si="11" ref="C47:H47">IF(Insured_State&lt;&gt;"AZ",C44+C46,C44)</f>
        <v>0</v>
      </c>
      <c r="D47" s="102">
        <f t="shared" si="11"/>
        <v>0</v>
      </c>
      <c r="E47" s="102">
        <f t="shared" si="11"/>
        <v>0</v>
      </c>
      <c r="F47" s="102">
        <f t="shared" si="11"/>
        <v>0</v>
      </c>
      <c r="G47" s="102">
        <f t="shared" si="11"/>
        <v>0</v>
      </c>
      <c r="H47" s="102">
        <f t="shared" si="11"/>
        <v>0</v>
      </c>
      <c r="I47" s="15"/>
    </row>
    <row r="48" spans="1:9" s="102" customFormat="1" ht="12.75">
      <c r="A48" s="106"/>
      <c r="C48" s="110"/>
      <c r="D48" s="110"/>
      <c r="E48" s="110"/>
      <c r="F48" s="110"/>
      <c r="G48" s="110"/>
      <c r="H48" s="110"/>
      <c r="I48" s="1"/>
    </row>
    <row r="49" spans="1:9" s="102" customFormat="1" ht="12.75">
      <c r="A49" s="106" t="s">
        <v>1370</v>
      </c>
      <c r="B49" s="102" t="s">
        <v>1253</v>
      </c>
      <c r="C49" s="102">
        <f>C47*IF(AND(Insured_State="MI",INDEX(Extended_Non_owned_COLL_indicator_for_Vehicle,,1)&lt;&gt;"Y",INDEX(Named_Non_owner_COLL_indicator_for_Vehicle,,1)="Y"),Named_Non_owner_COLL_factor,1)</f>
        <v>0</v>
      </c>
      <c r="D49" s="102">
        <f>D47*IF(AND(Insured_State="MI",INDEX(Extended_Non_owned_COLL_indicator_for_Vehicle,,2)&lt;&gt;"Y",INDEX(Named_Non_owner_COLL_indicator_for_Vehicle,,2)="Y"),Named_Non_owner_COLL_factor,1)</f>
        <v>0</v>
      </c>
      <c r="E49" s="102">
        <f>E47*IF(AND(Insured_State="MI",INDEX(Extended_Non_owned_COLL_indicator_for_Vehicle,,3)&lt;&gt;"Y",INDEX(Named_Non_owner_COLL_indicator_for_Vehicle,,3)="Y"),Named_Non_owner_COLL_factor,1)</f>
        <v>0</v>
      </c>
      <c r="F49" s="102">
        <f>F47*IF(AND(Insured_State="MI",INDEX(Extended_Non_owned_COLL_indicator_for_Vehicle,,4)&lt;&gt;"Y",INDEX(Named_Non_owner_COLL_indicator_for_Vehicle,,4)="Y"),Named_Non_owner_COLL_factor,1)</f>
        <v>0</v>
      </c>
      <c r="G49" s="102">
        <f>G47*IF(AND(Insured_State="MI",INDEX(Extended_Non_owned_COLL_indicator_for_Vehicle,,5)&lt;&gt;"Y",INDEX(Named_Non_owner_COLL_indicator_for_Vehicle,,5)="Y"),Named_Non_owner_COLL_factor,1)</f>
        <v>0</v>
      </c>
      <c r="H49" s="102">
        <f>H47*IF(AND(Insured_State="MI",INDEX(Extended_Non_owned_COLL_indicator_for_Vehicle,,6)&lt;&gt;"Y",INDEX(Named_Non_owner_COLL_indicator_for_Vehicle,,6)="Y"),Named_Non_owner_COLL_factor,1)</f>
        <v>0</v>
      </c>
      <c r="I49" s="1"/>
    </row>
    <row r="50" spans="1:9" s="102" customFormat="1" ht="12.75">
      <c r="A50" s="106"/>
      <c r="C50" s="110"/>
      <c r="D50" s="110"/>
      <c r="E50" s="110"/>
      <c r="F50" s="110"/>
      <c r="G50" s="110"/>
      <c r="H50" s="110"/>
      <c r="I50" s="1"/>
    </row>
    <row r="51" spans="1:9" ht="13.5" customHeight="1">
      <c r="A51" s="106" t="s">
        <v>1377</v>
      </c>
      <c r="B51" s="102" t="s">
        <v>1248</v>
      </c>
      <c r="C51" s="102">
        <f>INDEX(COMP_Minimum_Premium,1,1)</f>
        <v>0</v>
      </c>
      <c r="D51" s="102">
        <f>INDEX(COMP_Minimum_Premium,1,2)</f>
        <v>0</v>
      </c>
      <c r="E51" s="102">
        <f>INDEX(COMP_Minimum_Premium,1,3)</f>
        <v>0</v>
      </c>
      <c r="F51" s="102">
        <f>INDEX(COMP_Minimum_Premium,1,4)</f>
        <v>0</v>
      </c>
      <c r="G51" s="102">
        <f>INDEX(COMP_Minimum_Premium,1,5)</f>
        <v>0</v>
      </c>
      <c r="H51" s="102">
        <f>INDEX(COMP_Minimum_Premium,1,6)</f>
        <v>0</v>
      </c>
      <c r="I51" s="1"/>
    </row>
    <row r="52" spans="1:9" ht="12.75">
      <c r="A52" s="106"/>
      <c r="B52" s="102" t="s">
        <v>1249</v>
      </c>
      <c r="C52" s="102">
        <f aca="true" t="shared" si="12" ref="C52:H52">IF(C49&lt;C51,C51,C49)</f>
        <v>0</v>
      </c>
      <c r="D52" s="102">
        <f t="shared" si="12"/>
        <v>0</v>
      </c>
      <c r="E52" s="102">
        <f t="shared" si="12"/>
        <v>0</v>
      </c>
      <c r="F52" s="102">
        <f t="shared" si="12"/>
        <v>0</v>
      </c>
      <c r="G52" s="102">
        <f t="shared" si="12"/>
        <v>0</v>
      </c>
      <c r="H52" s="102">
        <f t="shared" si="12"/>
        <v>0</v>
      </c>
      <c r="I52" s="1"/>
    </row>
    <row r="53" spans="1:9" ht="12.75">
      <c r="A53" s="102"/>
      <c r="B53" s="109"/>
      <c r="C53" s="102"/>
      <c r="D53" s="102"/>
      <c r="E53" s="102"/>
      <c r="F53" s="102"/>
      <c r="G53" s="102"/>
      <c r="H53" s="102"/>
      <c r="I53" s="1"/>
    </row>
    <row r="54" spans="1:9" s="102" customFormat="1" ht="12.75">
      <c r="A54" s="106"/>
      <c r="B54" s="102" t="s">
        <v>1257</v>
      </c>
      <c r="C54" s="102">
        <f aca="true" t="shared" si="13" ref="C54:H54">C52*Policy_Period_Factor</f>
        <v>0</v>
      </c>
      <c r="D54" s="102">
        <f t="shared" si="13"/>
        <v>0</v>
      </c>
      <c r="E54" s="102">
        <f t="shared" si="13"/>
        <v>0</v>
      </c>
      <c r="F54" s="102">
        <f t="shared" si="13"/>
        <v>0</v>
      </c>
      <c r="G54" s="102">
        <f t="shared" si="13"/>
        <v>0</v>
      </c>
      <c r="H54" s="102">
        <f t="shared" si="13"/>
        <v>0</v>
      </c>
      <c r="I54" s="1"/>
    </row>
    <row r="55" spans="1:9" ht="12.75">
      <c r="A55" s="102"/>
      <c r="B55" s="109"/>
      <c r="C55" s="102"/>
      <c r="D55" s="102"/>
      <c r="E55" s="102"/>
      <c r="F55" s="102"/>
      <c r="G55" s="102"/>
      <c r="H55" s="102"/>
      <c r="I55" s="1"/>
    </row>
    <row r="56" spans="1:9" s="102" customFormat="1" ht="12.75">
      <c r="A56" s="106" t="s">
        <v>1254</v>
      </c>
      <c r="B56" s="102" t="s">
        <v>1255</v>
      </c>
      <c r="C56" s="102">
        <f aca="true" t="shared" si="14" ref="C56:H56">C54-(C54*Valued_Customer_Discount_Factor)</f>
        <v>0</v>
      </c>
      <c r="D56" s="102">
        <f t="shared" si="14"/>
        <v>0</v>
      </c>
      <c r="E56" s="102">
        <f t="shared" si="14"/>
        <v>0</v>
      </c>
      <c r="F56" s="102">
        <f t="shared" si="14"/>
        <v>0</v>
      </c>
      <c r="G56" s="102">
        <f t="shared" si="14"/>
        <v>0</v>
      </c>
      <c r="H56" s="102">
        <f t="shared" si="14"/>
        <v>0</v>
      </c>
      <c r="I56" s="1"/>
    </row>
    <row r="57" spans="1:9" s="102" customFormat="1" ht="12.75">
      <c r="A57" s="106"/>
      <c r="B57" s="102" t="s">
        <v>1258</v>
      </c>
      <c r="C57" s="102">
        <f aca="true" t="shared" si="15" ref="C57:H57">C56-(C56*Fampak_Discount_Factor)</f>
        <v>0</v>
      </c>
      <c r="D57" s="102">
        <f t="shared" si="15"/>
        <v>0</v>
      </c>
      <c r="E57" s="102">
        <f t="shared" si="15"/>
        <v>0</v>
      </c>
      <c r="F57" s="102">
        <f t="shared" si="15"/>
        <v>0</v>
      </c>
      <c r="G57" s="102">
        <f t="shared" si="15"/>
        <v>0</v>
      </c>
      <c r="H57" s="102">
        <f t="shared" si="15"/>
        <v>0</v>
      </c>
      <c r="I57" s="1"/>
    </row>
    <row r="58" spans="1:9" s="102" customFormat="1" ht="12.75">
      <c r="A58" s="106"/>
      <c r="B58" s="112" t="s">
        <v>1259</v>
      </c>
      <c r="C58" s="102">
        <f aca="true" t="shared" si="16" ref="C58:H58">C57-(C57*Prime_Life_Discount_Factor)</f>
        <v>0</v>
      </c>
      <c r="D58" s="102">
        <f t="shared" si="16"/>
        <v>0</v>
      </c>
      <c r="E58" s="102">
        <f t="shared" si="16"/>
        <v>0</v>
      </c>
      <c r="F58" s="102">
        <f t="shared" si="16"/>
        <v>0</v>
      </c>
      <c r="G58" s="102">
        <f t="shared" si="16"/>
        <v>0</v>
      </c>
      <c r="H58" s="102">
        <f t="shared" si="16"/>
        <v>0</v>
      </c>
      <c r="I58" s="1"/>
    </row>
    <row r="59" spans="1:9" s="102" customFormat="1" ht="12.75">
      <c r="A59" s="106"/>
      <c r="B59" s="102" t="s">
        <v>1260</v>
      </c>
      <c r="C59" s="102">
        <f aca="true" t="shared" si="17" ref="C59:H59">IF(Insured_State="PA",C58-(C58*C36),C58)</f>
        <v>0</v>
      </c>
      <c r="D59" s="102">
        <f t="shared" si="17"/>
        <v>0</v>
      </c>
      <c r="E59" s="102">
        <f t="shared" si="17"/>
        <v>0</v>
      </c>
      <c r="F59" s="102">
        <f t="shared" si="17"/>
        <v>0</v>
      </c>
      <c r="G59" s="102">
        <f t="shared" si="17"/>
        <v>0</v>
      </c>
      <c r="H59" s="102">
        <f t="shared" si="17"/>
        <v>0</v>
      </c>
      <c r="I59" s="1"/>
    </row>
    <row r="60" spans="1:9" s="102" customFormat="1" ht="12.75">
      <c r="A60" s="106"/>
      <c r="B60" s="102" t="s">
        <v>1261</v>
      </c>
      <c r="C60" s="102">
        <f aca="true" t="shared" si="18" ref="C60:H60">IF(Insured_State="PA",Tort_Factor_COLL,1)</f>
        <v>1</v>
      </c>
      <c r="D60" s="102">
        <f t="shared" si="18"/>
        <v>1</v>
      </c>
      <c r="E60" s="102">
        <f t="shared" si="18"/>
        <v>1</v>
      </c>
      <c r="F60" s="102">
        <f t="shared" si="18"/>
        <v>1</v>
      </c>
      <c r="G60" s="102">
        <f t="shared" si="18"/>
        <v>1</v>
      </c>
      <c r="H60" s="102">
        <f t="shared" si="18"/>
        <v>1</v>
      </c>
      <c r="I60" s="1"/>
    </row>
    <row r="61" spans="1:9" s="102" customFormat="1" ht="12.75">
      <c r="A61" s="106"/>
      <c r="B61" s="102" t="s">
        <v>1262</v>
      </c>
      <c r="C61" s="102">
        <f aca="true" t="shared" si="19" ref="C61:H61">C59*C60</f>
        <v>0</v>
      </c>
      <c r="D61" s="102">
        <f t="shared" si="19"/>
        <v>0</v>
      </c>
      <c r="E61" s="102">
        <f t="shared" si="19"/>
        <v>0</v>
      </c>
      <c r="F61" s="102">
        <f t="shared" si="19"/>
        <v>0</v>
      </c>
      <c r="G61" s="102">
        <f t="shared" si="19"/>
        <v>0</v>
      </c>
      <c r="H61" s="102">
        <f t="shared" si="19"/>
        <v>0</v>
      </c>
      <c r="I61" s="1"/>
    </row>
    <row r="62" spans="1:9" s="102" customFormat="1" ht="12.75">
      <c r="A62" s="106"/>
      <c r="B62" s="112" t="s">
        <v>1263</v>
      </c>
      <c r="C62" s="102">
        <f>C61-(C61*INDEX(Mass_Merchandise_Factor,,1))</f>
        <v>0</v>
      </c>
      <c r="D62" s="102">
        <f>D61-(D61*INDEX(Mass_Merchandise_Factor,,2))</f>
        <v>0</v>
      </c>
      <c r="E62" s="102">
        <f>E61-(E61*INDEX(Mass_Merchandise_Factor,,3))</f>
        <v>0</v>
      </c>
      <c r="F62" s="102">
        <f>F61-(F61*INDEX(Mass_Merchandise_Factor,,4))</f>
        <v>0</v>
      </c>
      <c r="G62" s="102">
        <f>G61-(G61*INDEX(Mass_Merchandise_Factor,,5))</f>
        <v>0</v>
      </c>
      <c r="H62" s="102">
        <f>H61-(H61*INDEX(Mass_Merchandise_Factor,,6))</f>
        <v>0</v>
      </c>
      <c r="I62" s="1"/>
    </row>
    <row r="63" spans="1:9" s="102" customFormat="1" ht="12.75">
      <c r="A63" s="106"/>
      <c r="B63" s="112" t="s">
        <v>1264</v>
      </c>
      <c r="C63" s="102">
        <f aca="true" t="shared" si="20" ref="C63:H63">C62-(C62*IN_Standard_Agent_Commission_Factor)</f>
        <v>0</v>
      </c>
      <c r="D63" s="102">
        <f t="shared" si="20"/>
        <v>0</v>
      </c>
      <c r="E63" s="102">
        <f t="shared" si="20"/>
        <v>0</v>
      </c>
      <c r="F63" s="102">
        <f t="shared" si="20"/>
        <v>0</v>
      </c>
      <c r="G63" s="102">
        <f t="shared" si="20"/>
        <v>0</v>
      </c>
      <c r="H63" s="102">
        <f t="shared" si="20"/>
        <v>0</v>
      </c>
      <c r="I63" s="1"/>
    </row>
    <row r="64" spans="1:9" s="102" customFormat="1" ht="12.75">
      <c r="A64" s="106" t="s">
        <v>1265</v>
      </c>
      <c r="B64" s="112" t="s">
        <v>1266</v>
      </c>
      <c r="C64" s="102">
        <f aca="true" t="shared" si="21" ref="C64:H64">C63</f>
        <v>0</v>
      </c>
      <c r="D64" s="102">
        <f t="shared" si="21"/>
        <v>0</v>
      </c>
      <c r="E64" s="102">
        <f t="shared" si="21"/>
        <v>0</v>
      </c>
      <c r="F64" s="102">
        <f t="shared" si="21"/>
        <v>0</v>
      </c>
      <c r="G64" s="102">
        <f t="shared" si="21"/>
        <v>0</v>
      </c>
      <c r="H64" s="102">
        <f t="shared" si="21"/>
        <v>0</v>
      </c>
      <c r="I64" s="1"/>
    </row>
    <row r="65" spans="1:9" ht="12.75">
      <c r="A65" s="106"/>
      <c r="B65" s="102"/>
      <c r="C65" s="102"/>
      <c r="D65" s="102"/>
      <c r="E65" s="102"/>
      <c r="F65" s="102"/>
      <c r="G65" s="102"/>
      <c r="H65" s="102"/>
      <c r="I65" s="1"/>
    </row>
    <row r="66" spans="1:9" s="102" customFormat="1" ht="12.75">
      <c r="A66" s="106"/>
      <c r="B66" s="102" t="s">
        <v>1267</v>
      </c>
      <c r="C66" s="102">
        <f>INDEX(Is_Collision_Applicable_For_Vehicle,,1)</f>
        <v>0</v>
      </c>
      <c r="D66" s="102">
        <f>INDEX(Is_Collision_Applicable_For_Vehicle,,2)</f>
        <v>0</v>
      </c>
      <c r="E66" s="102">
        <f>INDEX(Is_Collision_Applicable_For_Vehicle,,3)</f>
        <v>0</v>
      </c>
      <c r="F66" s="102">
        <f>INDEX(Is_Collision_Applicable_For_Vehicle,,4)</f>
        <v>0</v>
      </c>
      <c r="G66" s="102">
        <f>INDEX(Is_Collision_Applicable_For_Vehicle,,5)</f>
        <v>0</v>
      </c>
      <c r="H66" s="102">
        <f>INDEX(Is_Collision_Applicable_For_Vehicle,,6)</f>
        <v>0</v>
      </c>
      <c r="I66" s="1"/>
    </row>
    <row r="67" spans="2:9" s="112" customFormat="1" ht="12.75">
      <c r="B67" s="112" t="s">
        <v>1269</v>
      </c>
      <c r="C67" s="102">
        <f aca="true" t="shared" si="22" ref="C67:H67">IF(Insured_State="AZ",C46,0)</f>
        <v>0</v>
      </c>
      <c r="D67" s="102">
        <f t="shared" si="22"/>
        <v>0</v>
      </c>
      <c r="E67" s="102">
        <f t="shared" si="22"/>
        <v>0</v>
      </c>
      <c r="F67" s="102">
        <f t="shared" si="22"/>
        <v>0</v>
      </c>
      <c r="G67" s="102">
        <f t="shared" si="22"/>
        <v>0</v>
      </c>
      <c r="H67" s="102">
        <f t="shared" si="22"/>
        <v>0</v>
      </c>
      <c r="I67" s="15"/>
    </row>
    <row r="68" spans="1:9" s="102" customFormat="1" ht="12.75">
      <c r="A68" s="106"/>
      <c r="I68" s="1"/>
    </row>
    <row r="69" spans="1:8" ht="12.75">
      <c r="A69" s="106" t="s">
        <v>1270</v>
      </c>
      <c r="B69" s="106" t="s">
        <v>1378</v>
      </c>
      <c r="C69" s="31">
        <f aca="true" t="shared" si="23" ref="C69:H69">IF(OR(ISERROR(C64+C67),(C64+C67)&lt;=0,C66=0),0,ROUND(C64+C67,2))</f>
        <v>0</v>
      </c>
      <c r="D69" s="31">
        <f t="shared" si="23"/>
        <v>0</v>
      </c>
      <c r="E69" s="31">
        <f t="shared" si="23"/>
        <v>0</v>
      </c>
      <c r="F69" s="31">
        <f t="shared" si="23"/>
        <v>0</v>
      </c>
      <c r="G69" s="31">
        <f t="shared" si="23"/>
        <v>0</v>
      </c>
      <c r="H69" s="31">
        <f t="shared" si="23"/>
        <v>0</v>
      </c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15"/>
  <sheetViews>
    <sheetView zoomScale="75" zoomScaleNormal="75" workbookViewId="0" topLeftCell="A1">
      <selection activeCell="C5" sqref="C5"/>
    </sheetView>
  </sheetViews>
  <sheetFormatPr defaultColWidth="9.140625" defaultRowHeight="12.75"/>
  <cols>
    <col min="2" max="2" width="33.28125" style="0" bestFit="1" customWidth="1"/>
  </cols>
  <sheetData>
    <row r="1" spans="1:9" ht="20.25" customHeight="1">
      <c r="A1" s="103"/>
      <c r="B1" s="104" t="s">
        <v>1379</v>
      </c>
      <c r="C1" s="103"/>
      <c r="D1" s="103"/>
      <c r="E1" s="103"/>
      <c r="F1" s="102"/>
      <c r="G1" s="102"/>
      <c r="H1" s="102"/>
      <c r="I1" s="1"/>
    </row>
    <row r="2" spans="1:8" ht="20.25" customHeight="1">
      <c r="A2" s="103"/>
      <c r="B2" s="105"/>
      <c r="C2" s="103"/>
      <c r="D2" s="103"/>
      <c r="E2" s="103"/>
      <c r="F2" s="102"/>
      <c r="G2" s="102"/>
      <c r="H2" s="102"/>
    </row>
    <row r="3" spans="1:9" ht="12.75">
      <c r="A3" s="106" t="s">
        <v>1206</v>
      </c>
      <c r="B3" s="106" t="s">
        <v>1207</v>
      </c>
      <c r="C3" s="106" t="s">
        <v>428</v>
      </c>
      <c r="D3" s="106" t="s">
        <v>429</v>
      </c>
      <c r="E3" s="106" t="s">
        <v>430</v>
      </c>
      <c r="F3" s="106" t="s">
        <v>431</v>
      </c>
      <c r="G3" s="106" t="s">
        <v>432</v>
      </c>
      <c r="H3" s="106" t="s">
        <v>433</v>
      </c>
      <c r="I3" s="6" t="s">
        <v>229</v>
      </c>
    </row>
    <row r="4" ht="12.75">
      <c r="I4" s="1"/>
    </row>
    <row r="5" spans="1:9" ht="12.75">
      <c r="A5" s="106" t="s">
        <v>1208</v>
      </c>
      <c r="B5" s="102" t="s">
        <v>1380</v>
      </c>
      <c r="C5" s="102">
        <f>INDEX(Auto_Loan_Lease_Factor,,1)</f>
        <v>0</v>
      </c>
      <c r="D5" s="102">
        <f>INDEX(Auto_Loan_Lease_Factor,,2)</f>
        <v>0</v>
      </c>
      <c r="E5" s="102">
        <f>INDEX(Auto_Loan_Lease_Factor,,3)</f>
        <v>0</v>
      </c>
      <c r="F5" s="102">
        <f>INDEX(Auto_Loan_Lease_Factor,,4)</f>
        <v>0</v>
      </c>
      <c r="G5" s="102">
        <f>INDEX(Auto_Loan_Lease_Factor,,5)</f>
        <v>0</v>
      </c>
      <c r="H5" s="102">
        <f>INDEX(Auto_Loan_Lease_Factor,,6)</f>
        <v>0</v>
      </c>
      <c r="I5" s="1"/>
    </row>
    <row r="6" spans="1:9" ht="12.75">
      <c r="A6" s="106" t="s">
        <v>1214</v>
      </c>
      <c r="B6" s="102" t="s">
        <v>860</v>
      </c>
      <c r="C6" s="102">
        <f aca="true" t="shared" si="0" ref="C6:H6">Policy_Period_Factor</f>
        <v>0</v>
      </c>
      <c r="D6" s="102">
        <f t="shared" si="0"/>
        <v>0</v>
      </c>
      <c r="E6" s="102">
        <f t="shared" si="0"/>
        <v>0</v>
      </c>
      <c r="F6" s="102">
        <f t="shared" si="0"/>
        <v>0</v>
      </c>
      <c r="G6" s="102">
        <f t="shared" si="0"/>
        <v>0</v>
      </c>
      <c r="H6" s="102">
        <f t="shared" si="0"/>
        <v>0</v>
      </c>
      <c r="I6" s="1"/>
    </row>
    <row r="7" spans="1:9" s="102" customFormat="1" ht="12.75">
      <c r="A7" s="106"/>
      <c r="B7" s="102" t="s">
        <v>1267</v>
      </c>
      <c r="C7" s="102">
        <f>INDEX(Is_Lease_Applicable_For_Vehicle,,1)</f>
        <v>0</v>
      </c>
      <c r="D7" s="102">
        <f>INDEX(Is_Lease_Applicable_For_Vehicle,,2)</f>
        <v>0</v>
      </c>
      <c r="E7" s="102">
        <f>INDEX(Is_Lease_Applicable_For_Vehicle,,3)</f>
        <v>0</v>
      </c>
      <c r="F7" s="102">
        <f>INDEX(Is_Lease_Applicable_For_Vehicle,,4)</f>
        <v>0</v>
      </c>
      <c r="G7" s="102">
        <f>INDEX(Is_Lease_Applicable_For_Vehicle,,5)</f>
        <v>0</v>
      </c>
      <c r="H7" s="102">
        <f>INDEX(Is_Lease_Applicable_For_Vehicle,,6)</f>
        <v>0</v>
      </c>
      <c r="I7" s="1"/>
    </row>
    <row r="8" spans="1:9" s="102" customFormat="1" ht="12.75">
      <c r="A8" s="106"/>
      <c r="I8" s="1"/>
    </row>
    <row r="9" spans="1:9" ht="12.75">
      <c r="A9" s="106" t="s">
        <v>1334</v>
      </c>
      <c r="B9" s="102" t="s">
        <v>1371</v>
      </c>
      <c r="C9" s="125">
        <f>INDEX(Comp_Coverage_Premium,,1)</f>
        <v>0</v>
      </c>
      <c r="D9" s="125">
        <f>INDEX(Comp_Coverage_Premium,,2)</f>
        <v>0</v>
      </c>
      <c r="E9" s="125">
        <f>INDEX(Comp_Coverage_Premium,,3)</f>
        <v>0</v>
      </c>
      <c r="F9" s="125">
        <f>INDEX(Comp_Coverage_Premium,,4)</f>
        <v>0</v>
      </c>
      <c r="G9" s="125">
        <f>INDEX(Comp_Coverage_Premium,,5)</f>
        <v>0</v>
      </c>
      <c r="H9" s="125">
        <f>INDEX(Comp_Coverage_Premium,,6)</f>
        <v>0</v>
      </c>
      <c r="I9" s="1"/>
    </row>
    <row r="10" spans="1:9" ht="12.75">
      <c r="A10" s="102"/>
      <c r="B10" s="108" t="s">
        <v>1219</v>
      </c>
      <c r="C10" s="126">
        <f aca="true" t="shared" si="1" ref="C10:H10">C5*C9</f>
        <v>0</v>
      </c>
      <c r="D10" s="126">
        <f t="shared" si="1"/>
        <v>0</v>
      </c>
      <c r="E10" s="126">
        <f t="shared" si="1"/>
        <v>0</v>
      </c>
      <c r="F10" s="126">
        <f t="shared" si="1"/>
        <v>0</v>
      </c>
      <c r="G10" s="126">
        <f t="shared" si="1"/>
        <v>0</v>
      </c>
      <c r="H10" s="126">
        <f t="shared" si="1"/>
        <v>0</v>
      </c>
      <c r="I10" s="1"/>
    </row>
    <row r="11" spans="1:9" ht="12.75">
      <c r="A11" s="106" t="s">
        <v>1270</v>
      </c>
      <c r="B11" s="119" t="s">
        <v>1381</v>
      </c>
      <c r="C11" s="127"/>
      <c r="D11" s="127">
        <f>IF(OR(D7=0,ISERROR(D10*D6)),0,ROUND(D10*D6,2))</f>
        <v>0</v>
      </c>
      <c r="E11" s="127">
        <f>IF(OR(E7=0,ISERROR(E10*E6)),0,ROUND(E10*E6,2))</f>
        <v>0</v>
      </c>
      <c r="F11" s="127">
        <f>IF(OR(F7=0,ISERROR(F10*F6)),0,ROUND(F10*F6,2))</f>
        <v>0</v>
      </c>
      <c r="G11" s="127">
        <f>IF(OR(G7=0,ISERROR(G10*G6)),0,ROUND(G10*G6,2))</f>
        <v>0</v>
      </c>
      <c r="H11" s="127">
        <f>IF(OR(H7=0,ISERROR(H10*H6)),0,ROUND(H10*H6,2))</f>
        <v>0</v>
      </c>
      <c r="I11" s="1"/>
    </row>
    <row r="12" spans="1:9" ht="12.75">
      <c r="A12" s="102"/>
      <c r="B12" s="109"/>
      <c r="C12" s="102"/>
      <c r="D12" s="102"/>
      <c r="E12" s="102"/>
      <c r="F12" s="102"/>
      <c r="G12" s="102"/>
      <c r="H12" s="102"/>
      <c r="I12" s="1"/>
    </row>
    <row r="13" spans="1:9" ht="12.75">
      <c r="A13" s="106" t="s">
        <v>1222</v>
      </c>
      <c r="B13" s="102" t="s">
        <v>1378</v>
      </c>
      <c r="C13" s="125">
        <f>INDEX(Collision_Coverage_Premium,,1)</f>
        <v>0</v>
      </c>
      <c r="D13" s="125">
        <f>INDEX(Collision_Coverage_Premium,,2)</f>
        <v>0</v>
      </c>
      <c r="E13" s="125">
        <f>INDEX(Collision_Coverage_Premium,,3)</f>
        <v>0</v>
      </c>
      <c r="F13" s="125">
        <f>INDEX(Collision_Coverage_Premium,,4)</f>
        <v>0</v>
      </c>
      <c r="G13" s="125">
        <f>INDEX(Collision_Coverage_Premium,,5)</f>
        <v>0</v>
      </c>
      <c r="H13" s="125">
        <f>INDEX(Collision_Coverage_Premium,,6)</f>
        <v>0</v>
      </c>
      <c r="I13" s="1"/>
    </row>
    <row r="14" spans="1:9" ht="12.75">
      <c r="A14" s="106"/>
      <c r="B14" s="102" t="s">
        <v>1219</v>
      </c>
      <c r="C14" s="125">
        <f aca="true" t="shared" si="2" ref="C14:H14">C5*C13</f>
        <v>0</v>
      </c>
      <c r="D14" s="125">
        <f t="shared" si="2"/>
        <v>0</v>
      </c>
      <c r="E14" s="125">
        <f t="shared" si="2"/>
        <v>0</v>
      </c>
      <c r="F14" s="125">
        <f t="shared" si="2"/>
        <v>0</v>
      </c>
      <c r="G14" s="125">
        <f t="shared" si="2"/>
        <v>0</v>
      </c>
      <c r="H14" s="125">
        <f t="shared" si="2"/>
        <v>0</v>
      </c>
      <c r="I14" s="1"/>
    </row>
    <row r="15" spans="1:9" ht="12.75">
      <c r="A15" s="106" t="s">
        <v>1270</v>
      </c>
      <c r="B15" s="119" t="s">
        <v>1382</v>
      </c>
      <c r="C15" s="127">
        <f aca="true" t="shared" si="3" ref="C15:H15">IF(OR(C7=0,ISERROR(C14*C6)),0,ROUND(C14*C6,2))</f>
        <v>0</v>
      </c>
      <c r="D15" s="127">
        <f t="shared" si="3"/>
        <v>0</v>
      </c>
      <c r="E15" s="127">
        <f t="shared" si="3"/>
        <v>0</v>
      </c>
      <c r="F15" s="127">
        <f t="shared" si="3"/>
        <v>0</v>
      </c>
      <c r="G15" s="127">
        <f t="shared" si="3"/>
        <v>0</v>
      </c>
      <c r="H15" s="127">
        <f t="shared" si="3"/>
        <v>0</v>
      </c>
      <c r="I15" s="1"/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33"/>
  <sheetViews>
    <sheetView zoomScale="75" zoomScaleNormal="75" workbookViewId="0" topLeftCell="A5">
      <selection activeCell="A19" sqref="A19:IV19"/>
    </sheetView>
  </sheetViews>
  <sheetFormatPr defaultColWidth="9.140625" defaultRowHeight="12.75"/>
  <cols>
    <col min="2" max="2" width="31.8515625" style="0" bestFit="1" customWidth="1"/>
  </cols>
  <sheetData>
    <row r="1" spans="1:9" ht="20.25" customHeight="1">
      <c r="A1" s="103"/>
      <c r="B1" s="104" t="s">
        <v>1383</v>
      </c>
      <c r="C1" s="103"/>
      <c r="D1" s="103"/>
      <c r="E1" s="103"/>
      <c r="F1" s="102"/>
      <c r="G1" s="102"/>
      <c r="H1" s="102"/>
      <c r="I1" s="1"/>
    </row>
    <row r="2" spans="1:8" ht="20.25" customHeight="1">
      <c r="A2" s="103"/>
      <c r="B2" s="105"/>
      <c r="C2" s="103"/>
      <c r="D2" s="103"/>
      <c r="E2" s="103"/>
      <c r="F2" s="102"/>
      <c r="G2" s="102"/>
      <c r="H2" s="102"/>
    </row>
    <row r="3" spans="1:9" ht="12.75">
      <c r="A3" s="106" t="s">
        <v>1206</v>
      </c>
      <c r="B3" s="106" t="s">
        <v>1207</v>
      </c>
      <c r="C3" s="106" t="s">
        <v>428</v>
      </c>
      <c r="D3" s="106" t="s">
        <v>429</v>
      </c>
      <c r="E3" s="106" t="s">
        <v>430</v>
      </c>
      <c r="F3" s="106" t="s">
        <v>431</v>
      </c>
      <c r="G3" s="106" t="s">
        <v>432</v>
      </c>
      <c r="H3" s="106" t="s">
        <v>433</v>
      </c>
      <c r="I3" s="6" t="s">
        <v>229</v>
      </c>
    </row>
    <row r="4" ht="12.75">
      <c r="I4" s="1"/>
    </row>
    <row r="5" spans="1:9" ht="12.75">
      <c r="A5" s="106" t="s">
        <v>1208</v>
      </c>
      <c r="B5" s="102" t="s">
        <v>849</v>
      </c>
      <c r="C5" s="102">
        <f>INDEX(Towing_Rate,1,1)</f>
        <v>0</v>
      </c>
      <c r="D5" s="102">
        <f>INDEX(Towing_Rate,1,2)</f>
        <v>0</v>
      </c>
      <c r="E5" s="102">
        <f>INDEX(Towing_Rate,1,3)</f>
        <v>0</v>
      </c>
      <c r="F5" s="102">
        <f>INDEX(Towing_Rate,1,4)</f>
        <v>0</v>
      </c>
      <c r="G5" s="102">
        <f>INDEX(Towing_Rate,1,5)</f>
        <v>0</v>
      </c>
      <c r="H5" s="102">
        <f>INDEX(Towing_Rate,1,6)</f>
        <v>0</v>
      </c>
      <c r="I5" s="1"/>
    </row>
    <row r="6" spans="1:9" ht="12.75">
      <c r="A6" s="106"/>
      <c r="B6" s="108" t="s">
        <v>1237</v>
      </c>
      <c r="C6" s="111">
        <f>INDEX(Accident_Prevention_Discount_Factor,,1)</f>
        <v>0</v>
      </c>
      <c r="D6" s="111">
        <f>INDEX(Accident_Prevention_Discount_Factor,,2)</f>
        <v>0</v>
      </c>
      <c r="E6" s="111">
        <f>INDEX(Accident_Prevention_Discount_Factor,,3)</f>
        <v>0</v>
      </c>
      <c r="F6" s="111">
        <f>INDEX(Accident_Prevention_Discount_Factor,,4)</f>
        <v>0</v>
      </c>
      <c r="G6" s="111">
        <f>INDEX(Accident_Prevention_Discount_Factor,,5)</f>
        <v>0</v>
      </c>
      <c r="H6" s="111">
        <f>INDEX(Accident_Prevention_Discount_Factor,,6)</f>
        <v>0</v>
      </c>
      <c r="I6" s="1"/>
    </row>
    <row r="7" spans="1:9" ht="12.75">
      <c r="A7" s="106"/>
      <c r="B7" s="102"/>
      <c r="C7" s="102"/>
      <c r="D7" s="102"/>
      <c r="E7" s="102"/>
      <c r="F7" s="102"/>
      <c r="G7" s="102"/>
      <c r="H7" s="102"/>
      <c r="I7" s="1"/>
    </row>
    <row r="8" spans="1:9" s="102" customFormat="1" ht="12.75">
      <c r="A8" s="106" t="s">
        <v>1212</v>
      </c>
      <c r="B8" s="107" t="s">
        <v>1213</v>
      </c>
      <c r="C8" s="102">
        <f aca="true" t="shared" si="0" ref="C8:H8">(C5*(IF(Insured_State="NC",Company_Deviation_Factor_NC,Company_Deviation_Factor_Miscellaneous)))</f>
        <v>0</v>
      </c>
      <c r="D8" s="102">
        <f t="shared" si="0"/>
        <v>0</v>
      </c>
      <c r="E8" s="102">
        <f t="shared" si="0"/>
        <v>0</v>
      </c>
      <c r="F8" s="102">
        <f t="shared" si="0"/>
        <v>0</v>
      </c>
      <c r="G8" s="102">
        <f t="shared" si="0"/>
        <v>0</v>
      </c>
      <c r="H8" s="102">
        <f t="shared" si="0"/>
        <v>0</v>
      </c>
      <c r="I8" s="1"/>
    </row>
    <row r="9" spans="1:9" s="102" customFormat="1" ht="12.75">
      <c r="A9" s="106"/>
      <c r="B9" s="107"/>
      <c r="I9" s="1"/>
    </row>
    <row r="10" spans="1:9" s="102" customFormat="1" ht="12.75">
      <c r="A10" s="106"/>
      <c r="B10" s="102" t="s">
        <v>1257</v>
      </c>
      <c r="C10" s="102">
        <f aca="true" t="shared" si="1" ref="C10:H10">C8*Policy_Period_Factor</f>
        <v>0</v>
      </c>
      <c r="D10" s="102">
        <f t="shared" si="1"/>
        <v>0</v>
      </c>
      <c r="E10" s="102">
        <f t="shared" si="1"/>
        <v>0</v>
      </c>
      <c r="F10" s="102">
        <f t="shared" si="1"/>
        <v>0</v>
      </c>
      <c r="G10" s="102">
        <f t="shared" si="1"/>
        <v>0</v>
      </c>
      <c r="H10" s="102">
        <f t="shared" si="1"/>
        <v>0</v>
      </c>
      <c r="I10" s="1"/>
    </row>
    <row r="11" spans="1:9" s="102" customFormat="1" ht="12.75">
      <c r="A11" s="106"/>
      <c r="I11" s="1"/>
    </row>
    <row r="12" spans="1:9" s="102" customFormat="1" ht="12.75">
      <c r="A12" s="106" t="s">
        <v>1254</v>
      </c>
      <c r="B12" s="102" t="s">
        <v>1255</v>
      </c>
      <c r="C12" s="102">
        <f aca="true" t="shared" si="2" ref="C12:H12">C10-(C10*Valued_Customer_Discount_Factor)</f>
        <v>0</v>
      </c>
      <c r="D12" s="102">
        <f t="shared" si="2"/>
        <v>0</v>
      </c>
      <c r="E12" s="102">
        <f t="shared" si="2"/>
        <v>0</v>
      </c>
      <c r="F12" s="102">
        <f t="shared" si="2"/>
        <v>0</v>
      </c>
      <c r="G12" s="102">
        <f t="shared" si="2"/>
        <v>0</v>
      </c>
      <c r="H12" s="102">
        <f t="shared" si="2"/>
        <v>0</v>
      </c>
      <c r="I12" s="1"/>
    </row>
    <row r="13" spans="1:9" s="102" customFormat="1" ht="12.75">
      <c r="A13" s="106"/>
      <c r="B13" s="102" t="s">
        <v>1256</v>
      </c>
      <c r="C13" s="102">
        <f aca="true" t="shared" si="3" ref="C13:H13">IF(Insured_State="MI",C12-(C12*C6),C12)</f>
        <v>0</v>
      </c>
      <c r="D13" s="102">
        <f t="shared" si="3"/>
        <v>0</v>
      </c>
      <c r="E13" s="102">
        <f t="shared" si="3"/>
        <v>0</v>
      </c>
      <c r="F13" s="102">
        <f t="shared" si="3"/>
        <v>0</v>
      </c>
      <c r="G13" s="102">
        <f t="shared" si="3"/>
        <v>0</v>
      </c>
      <c r="H13" s="102">
        <f t="shared" si="3"/>
        <v>0</v>
      </c>
      <c r="I13" s="1"/>
    </row>
    <row r="14" spans="1:9" s="102" customFormat="1" ht="12.75">
      <c r="A14" s="106"/>
      <c r="B14" s="102" t="s">
        <v>1258</v>
      </c>
      <c r="C14" s="102">
        <f aca="true" t="shared" si="4" ref="C14:H14">C13-(C13*Fampak_Discount_Factor)</f>
        <v>0</v>
      </c>
      <c r="D14" s="102">
        <f t="shared" si="4"/>
        <v>0</v>
      </c>
      <c r="E14" s="102">
        <f t="shared" si="4"/>
        <v>0</v>
      </c>
      <c r="F14" s="102">
        <f t="shared" si="4"/>
        <v>0</v>
      </c>
      <c r="G14" s="102">
        <f t="shared" si="4"/>
        <v>0</v>
      </c>
      <c r="H14" s="102">
        <f t="shared" si="4"/>
        <v>0</v>
      </c>
      <c r="I14" s="1"/>
    </row>
    <row r="15" spans="1:9" s="102" customFormat="1" ht="12.75">
      <c r="A15" s="106"/>
      <c r="B15" s="112" t="s">
        <v>1259</v>
      </c>
      <c r="C15" s="102">
        <f aca="true" t="shared" si="5" ref="C15:H15">C14-(C14*Prime_Life_Discount_Factor)</f>
        <v>0</v>
      </c>
      <c r="D15" s="102">
        <f t="shared" si="5"/>
        <v>0</v>
      </c>
      <c r="E15" s="102">
        <f t="shared" si="5"/>
        <v>0</v>
      </c>
      <c r="F15" s="102">
        <f t="shared" si="5"/>
        <v>0</v>
      </c>
      <c r="G15" s="102">
        <f t="shared" si="5"/>
        <v>0</v>
      </c>
      <c r="H15" s="102">
        <f t="shared" si="5"/>
        <v>0</v>
      </c>
      <c r="I15" s="1"/>
    </row>
    <row r="16" spans="1:9" s="102" customFormat="1" ht="12.75">
      <c r="A16" s="106"/>
      <c r="B16" s="102" t="s">
        <v>1260</v>
      </c>
      <c r="C16" s="102">
        <f aca="true" t="shared" si="6" ref="C16:H16">IF(Insured_State="PA",C15-(C15*C6),C15)</f>
        <v>0</v>
      </c>
      <c r="D16" s="102">
        <f t="shared" si="6"/>
        <v>0</v>
      </c>
      <c r="E16" s="102">
        <f t="shared" si="6"/>
        <v>0</v>
      </c>
      <c r="F16" s="102">
        <f t="shared" si="6"/>
        <v>0</v>
      </c>
      <c r="G16" s="102">
        <f t="shared" si="6"/>
        <v>0</v>
      </c>
      <c r="H16" s="102">
        <f t="shared" si="6"/>
        <v>0</v>
      </c>
      <c r="I16" s="1"/>
    </row>
    <row r="17" spans="1:9" s="102" customFormat="1" ht="12.75">
      <c r="A17" s="106"/>
      <c r="B17" s="102" t="s">
        <v>1261</v>
      </c>
      <c r="C17" s="102">
        <f aca="true" t="shared" si="7" ref="C17:H17">IF(Insured_State="PA",Tort_Factor_Miscellaneous,1)</f>
        <v>1</v>
      </c>
      <c r="D17" s="102">
        <f t="shared" si="7"/>
        <v>1</v>
      </c>
      <c r="E17" s="102">
        <f t="shared" si="7"/>
        <v>1</v>
      </c>
      <c r="F17" s="102">
        <f t="shared" si="7"/>
        <v>1</v>
      </c>
      <c r="G17" s="102">
        <f t="shared" si="7"/>
        <v>1</v>
      </c>
      <c r="H17" s="102">
        <f t="shared" si="7"/>
        <v>1</v>
      </c>
      <c r="I17" s="1"/>
    </row>
    <row r="18" spans="1:9" s="102" customFormat="1" ht="12.75">
      <c r="A18" s="106"/>
      <c r="B18" s="102" t="s">
        <v>1262</v>
      </c>
      <c r="C18" s="102">
        <f aca="true" t="shared" si="8" ref="C18:H18">C16*C17</f>
        <v>0</v>
      </c>
      <c r="D18" s="102">
        <f t="shared" si="8"/>
        <v>0</v>
      </c>
      <c r="E18" s="102">
        <f t="shared" si="8"/>
        <v>0</v>
      </c>
      <c r="F18" s="102">
        <f t="shared" si="8"/>
        <v>0</v>
      </c>
      <c r="G18" s="102">
        <f t="shared" si="8"/>
        <v>0</v>
      </c>
      <c r="H18" s="102">
        <f t="shared" si="8"/>
        <v>0</v>
      </c>
      <c r="I18" s="1"/>
    </row>
    <row r="19" spans="1:9" s="102" customFormat="1" ht="12.75">
      <c r="A19" s="106"/>
      <c r="B19" s="112" t="s">
        <v>1263</v>
      </c>
      <c r="C19" s="102">
        <f aca="true" t="shared" si="9" ref="C19:H19">C18-(C18*INDEX(Mass_Merchandise_Factor,,1))</f>
        <v>0</v>
      </c>
      <c r="D19" s="102">
        <f t="shared" si="9"/>
        <v>0</v>
      </c>
      <c r="E19" s="102">
        <f t="shared" si="9"/>
        <v>0</v>
      </c>
      <c r="F19" s="102">
        <f t="shared" si="9"/>
        <v>0</v>
      </c>
      <c r="G19" s="102">
        <f t="shared" si="9"/>
        <v>0</v>
      </c>
      <c r="H19" s="102">
        <f t="shared" si="9"/>
        <v>0</v>
      </c>
      <c r="I19" s="1"/>
    </row>
    <row r="20" spans="1:9" s="102" customFormat="1" ht="12.75">
      <c r="A20" s="106"/>
      <c r="B20" s="112" t="s">
        <v>1264</v>
      </c>
      <c r="C20" s="102">
        <f aca="true" t="shared" si="10" ref="C20:H20">C19-(C19*IN_Standard_Agent_Commission_Factor)</f>
        <v>0</v>
      </c>
      <c r="D20" s="102">
        <f t="shared" si="10"/>
        <v>0</v>
      </c>
      <c r="E20" s="102">
        <f t="shared" si="10"/>
        <v>0</v>
      </c>
      <c r="F20" s="102">
        <f t="shared" si="10"/>
        <v>0</v>
      </c>
      <c r="G20" s="102">
        <f t="shared" si="10"/>
        <v>0</v>
      </c>
      <c r="H20" s="102">
        <f t="shared" si="10"/>
        <v>0</v>
      </c>
      <c r="I20" s="1"/>
    </row>
    <row r="21" spans="1:9" s="102" customFormat="1" ht="12.75">
      <c r="A21" s="106" t="s">
        <v>1265</v>
      </c>
      <c r="B21" s="112" t="s">
        <v>1266</v>
      </c>
      <c r="C21" s="102">
        <f aca="true" t="shared" si="11" ref="C21:H21">C20</f>
        <v>0</v>
      </c>
      <c r="D21" s="102">
        <f t="shared" si="11"/>
        <v>0</v>
      </c>
      <c r="E21" s="102">
        <f t="shared" si="11"/>
        <v>0</v>
      </c>
      <c r="F21" s="102">
        <f t="shared" si="11"/>
        <v>0</v>
      </c>
      <c r="G21" s="102">
        <f t="shared" si="11"/>
        <v>0</v>
      </c>
      <c r="H21" s="102">
        <f t="shared" si="11"/>
        <v>0</v>
      </c>
      <c r="I21" s="1"/>
    </row>
    <row r="22" spans="1:9" ht="12.75">
      <c r="A22" s="106"/>
      <c r="B22" s="102"/>
      <c r="C22" s="102"/>
      <c r="D22" s="102"/>
      <c r="E22" s="102"/>
      <c r="F22" s="102"/>
      <c r="G22" s="102"/>
      <c r="H22" s="102"/>
      <c r="I22" s="1"/>
    </row>
    <row r="23" spans="1:9" s="102" customFormat="1" ht="12.75">
      <c r="A23" s="106"/>
      <c r="B23" s="102" t="s">
        <v>1267</v>
      </c>
      <c r="C23" s="102">
        <f>INDEX(Is_Towing_Applicable_For_Vehicle,,1)</f>
        <v>0</v>
      </c>
      <c r="D23" s="102">
        <f>INDEX(Is_Towing_Applicable_For_Vehicle,,2)</f>
        <v>0</v>
      </c>
      <c r="E23" s="102">
        <f>INDEX(Is_Towing_Applicable_For_Vehicle,,3)</f>
        <v>0</v>
      </c>
      <c r="F23" s="102">
        <f>INDEX(Is_Towing_Applicable_For_Vehicle,,4)</f>
        <v>0</v>
      </c>
      <c r="G23" s="102">
        <f>INDEX(Is_Towing_Applicable_For_Vehicle,,5)</f>
        <v>0</v>
      </c>
      <c r="H23" s="102">
        <f>INDEX(Is_Towing_Applicable_For_Vehicle,,6)</f>
        <v>0</v>
      </c>
      <c r="I23" s="1"/>
    </row>
    <row r="24" spans="1:9" s="102" customFormat="1" ht="12.75">
      <c r="A24" s="106"/>
      <c r="I24" s="1"/>
    </row>
    <row r="25" spans="2:9" ht="12.75">
      <c r="B25" s="102" t="s">
        <v>1384</v>
      </c>
      <c r="C25" s="112">
        <f aca="true" t="shared" si="12" ref="C25:H25">IF(OR(ISERROR(C21),C21&lt;=0,C23=0),0,ROUND(C21,2))</f>
        <v>0</v>
      </c>
      <c r="D25" s="112">
        <f t="shared" si="12"/>
        <v>0</v>
      </c>
      <c r="E25" s="112">
        <f t="shared" si="12"/>
        <v>0</v>
      </c>
      <c r="F25" s="112">
        <f t="shared" si="12"/>
        <v>0</v>
      </c>
      <c r="G25" s="112">
        <f t="shared" si="12"/>
        <v>0</v>
      </c>
      <c r="H25" s="112">
        <f t="shared" si="12"/>
        <v>0</v>
      </c>
      <c r="I25" s="1"/>
    </row>
    <row r="26" spans="1:9" ht="12.75">
      <c r="A26" s="106" t="s">
        <v>1270</v>
      </c>
      <c r="B26" s="119" t="s">
        <v>1384</v>
      </c>
      <c r="C26" s="119">
        <f aca="true" t="shared" si="13" ref="C26:H26">C25</f>
        <v>0</v>
      </c>
      <c r="D26" s="119">
        <f t="shared" si="13"/>
        <v>0</v>
      </c>
      <c r="E26" s="119">
        <f t="shared" si="13"/>
        <v>0</v>
      </c>
      <c r="F26" s="119">
        <f t="shared" si="13"/>
        <v>0</v>
      </c>
      <c r="G26" s="119">
        <f t="shared" si="13"/>
        <v>0</v>
      </c>
      <c r="H26" s="119">
        <f t="shared" si="13"/>
        <v>0</v>
      </c>
      <c r="I26" s="1"/>
    </row>
    <row r="27" spans="1:9" ht="12.75">
      <c r="A27" s="106"/>
      <c r="B27" s="102"/>
      <c r="C27" s="102"/>
      <c r="D27" s="102"/>
      <c r="E27" s="102"/>
      <c r="F27" s="102"/>
      <c r="G27" s="102"/>
      <c r="H27" s="102"/>
      <c r="I27" s="1"/>
    </row>
    <row r="28" spans="1:9" ht="12.75">
      <c r="A28" s="106"/>
      <c r="B28" s="102"/>
      <c r="C28" s="102"/>
      <c r="D28" s="102"/>
      <c r="E28" s="102"/>
      <c r="F28" s="102"/>
      <c r="G28" s="102"/>
      <c r="H28" s="102"/>
      <c r="I28" s="1"/>
    </row>
    <row r="29" spans="1:9" ht="12.75">
      <c r="A29" s="106"/>
      <c r="B29" s="102"/>
      <c r="C29" s="102"/>
      <c r="D29" s="102"/>
      <c r="E29" s="102"/>
      <c r="F29" s="102"/>
      <c r="G29" s="102"/>
      <c r="H29" s="102"/>
      <c r="I29" s="1"/>
    </row>
    <row r="30" spans="1:9" ht="12.75">
      <c r="A30" s="106"/>
      <c r="B30" s="102"/>
      <c r="C30" s="102"/>
      <c r="D30" s="102"/>
      <c r="E30" s="102"/>
      <c r="F30" s="102"/>
      <c r="G30" s="102"/>
      <c r="H30" s="102"/>
      <c r="I30" s="1"/>
    </row>
    <row r="31" spans="1:9" ht="12.75">
      <c r="A31" s="106"/>
      <c r="B31" s="102"/>
      <c r="C31" s="102"/>
      <c r="D31" s="102"/>
      <c r="E31" s="102"/>
      <c r="F31" s="102"/>
      <c r="G31" s="102"/>
      <c r="H31" s="102"/>
      <c r="I31" s="1"/>
    </row>
    <row r="32" spans="1:9" ht="12.75">
      <c r="A32" s="106"/>
      <c r="B32" s="102"/>
      <c r="C32" s="102"/>
      <c r="D32" s="102"/>
      <c r="E32" s="102"/>
      <c r="F32" s="102"/>
      <c r="G32" s="102"/>
      <c r="H32" s="102"/>
      <c r="I32" s="1"/>
    </row>
    <row r="33" spans="1:9" ht="12.75">
      <c r="A33" s="102"/>
      <c r="B33" s="109"/>
      <c r="C33" s="102"/>
      <c r="D33" s="102"/>
      <c r="E33" s="102"/>
      <c r="F33" s="109"/>
      <c r="G33" s="102"/>
      <c r="H33" s="109"/>
      <c r="I33" s="1"/>
    </row>
  </sheetData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18"/>
  <sheetViews>
    <sheetView zoomScale="75" zoomScaleNormal="75" workbookViewId="0" topLeftCell="A1">
      <selection activeCell="D11" sqref="D11"/>
    </sheetView>
  </sheetViews>
  <sheetFormatPr defaultColWidth="9.140625" defaultRowHeight="12.75"/>
  <cols>
    <col min="2" max="2" width="40.28125" style="0" customWidth="1"/>
  </cols>
  <sheetData>
    <row r="1" spans="1:9" ht="20.25" customHeight="1">
      <c r="A1" s="128"/>
      <c r="B1" s="129" t="s">
        <v>1385</v>
      </c>
      <c r="C1" s="103"/>
      <c r="D1" s="103"/>
      <c r="E1" s="103"/>
      <c r="F1" s="102"/>
      <c r="G1" s="102"/>
      <c r="H1" s="102"/>
      <c r="I1" s="1"/>
    </row>
    <row r="2" spans="1:8" ht="20.25" customHeight="1">
      <c r="A2" s="103"/>
      <c r="B2" s="105"/>
      <c r="C2" s="103"/>
      <c r="D2" s="103"/>
      <c r="E2" s="103"/>
      <c r="F2" s="102"/>
      <c r="G2" s="102"/>
      <c r="H2" s="102"/>
    </row>
    <row r="3" spans="1:9" ht="12.75">
      <c r="A3" s="106" t="s">
        <v>1206</v>
      </c>
      <c r="B3" s="106" t="s">
        <v>1207</v>
      </c>
      <c r="C3" s="106" t="s">
        <v>428</v>
      </c>
      <c r="D3" s="106" t="s">
        <v>429</v>
      </c>
      <c r="E3" s="106" t="s">
        <v>430</v>
      </c>
      <c r="F3" s="106" t="s">
        <v>431</v>
      </c>
      <c r="G3" s="106" t="s">
        <v>432</v>
      </c>
      <c r="H3" s="106" t="s">
        <v>433</v>
      </c>
      <c r="I3" s="6" t="s">
        <v>229</v>
      </c>
    </row>
    <row r="4" ht="12.75">
      <c r="I4" s="1"/>
    </row>
    <row r="5" spans="1:9" ht="12.75">
      <c r="A5" s="106" t="s">
        <v>1208</v>
      </c>
      <c r="B5" s="102" t="s">
        <v>1386</v>
      </c>
      <c r="C5" s="102">
        <f>INDEX(NC_Transportation_Expenses_rate,1,1)</f>
        <v>0</v>
      </c>
      <c r="D5" s="102">
        <f>INDEX(NC_Transportation_Expenses_rate,1,2)</f>
        <v>0</v>
      </c>
      <c r="E5" s="102">
        <f>INDEX(NC_Transportation_Expenses_rate,1,3)</f>
        <v>0</v>
      </c>
      <c r="F5" s="102">
        <f>INDEX(NC_Transportation_Expenses_rate,1,4)</f>
        <v>0</v>
      </c>
      <c r="G5" s="102">
        <f>INDEX(NC_Transportation_Expenses_rate,1,5)</f>
        <v>0</v>
      </c>
      <c r="H5" s="102">
        <f>INDEX(NC_Transportation_Expenses_rate,1,6)</f>
        <v>0</v>
      </c>
      <c r="I5" s="1"/>
    </row>
    <row r="6" spans="1:9" ht="12.75">
      <c r="A6" s="106"/>
      <c r="B6" s="102"/>
      <c r="C6" s="102"/>
      <c r="D6" s="102"/>
      <c r="E6" s="102"/>
      <c r="F6" s="102"/>
      <c r="G6" s="102"/>
      <c r="H6" s="102"/>
      <c r="I6" s="1"/>
    </row>
    <row r="7" spans="1:9" ht="12.75">
      <c r="A7" s="106" t="s">
        <v>1214</v>
      </c>
      <c r="B7" s="102" t="s">
        <v>860</v>
      </c>
      <c r="C7" s="102">
        <f aca="true" t="shared" si="0" ref="C7:H7">Policy_Period_Factor</f>
        <v>0</v>
      </c>
      <c r="D7" s="102">
        <f t="shared" si="0"/>
        <v>0</v>
      </c>
      <c r="E7" s="102">
        <f t="shared" si="0"/>
        <v>0</v>
      </c>
      <c r="F7" s="102">
        <f t="shared" si="0"/>
        <v>0</v>
      </c>
      <c r="G7" s="102">
        <f t="shared" si="0"/>
        <v>0</v>
      </c>
      <c r="H7" s="102">
        <f t="shared" si="0"/>
        <v>0</v>
      </c>
      <c r="I7" s="1"/>
    </row>
    <row r="8" spans="1:9" ht="12.75">
      <c r="A8" s="106"/>
      <c r="B8" s="102" t="s">
        <v>1387</v>
      </c>
      <c r="C8" s="102">
        <f aca="true" t="shared" si="1" ref="C8:H8">C5*C7</f>
        <v>0</v>
      </c>
      <c r="D8" s="102">
        <f t="shared" si="1"/>
        <v>0</v>
      </c>
      <c r="E8" s="102">
        <f t="shared" si="1"/>
        <v>0</v>
      </c>
      <c r="F8" s="102">
        <f t="shared" si="1"/>
        <v>0</v>
      </c>
      <c r="G8" s="102">
        <f t="shared" si="1"/>
        <v>0</v>
      </c>
      <c r="H8" s="102">
        <f t="shared" si="1"/>
        <v>0</v>
      </c>
      <c r="I8" s="1"/>
    </row>
    <row r="9" spans="1:9" ht="12.75">
      <c r="A9" s="106"/>
      <c r="B9" s="102"/>
      <c r="C9" s="102"/>
      <c r="D9" s="102"/>
      <c r="E9" s="102"/>
      <c r="F9" s="102"/>
      <c r="G9" s="102"/>
      <c r="H9" s="102"/>
      <c r="I9" s="1"/>
    </row>
    <row r="10" spans="1:9" s="102" customFormat="1" ht="12.75">
      <c r="A10" s="106"/>
      <c r="B10" s="102" t="s">
        <v>1388</v>
      </c>
      <c r="C10" s="102">
        <f aca="true" t="shared" si="2" ref="C10:H10">(C8*Fampak_Discount_Factor)</f>
        <v>0</v>
      </c>
      <c r="D10" s="102">
        <f t="shared" si="2"/>
        <v>0</v>
      </c>
      <c r="E10" s="102">
        <f t="shared" si="2"/>
        <v>0</v>
      </c>
      <c r="F10" s="102">
        <f t="shared" si="2"/>
        <v>0</v>
      </c>
      <c r="G10" s="102">
        <f t="shared" si="2"/>
        <v>0</v>
      </c>
      <c r="H10" s="102">
        <f t="shared" si="2"/>
        <v>0</v>
      </c>
      <c r="I10" s="1"/>
    </row>
    <row r="11" spans="1:9" s="102" customFormat="1" ht="12.75">
      <c r="A11" s="106"/>
      <c r="B11" s="102" t="s">
        <v>1389</v>
      </c>
      <c r="C11" s="102">
        <f aca="true" t="shared" si="3" ref="C11:H11">C8-C10</f>
        <v>0</v>
      </c>
      <c r="D11" s="102">
        <f t="shared" si="3"/>
        <v>0</v>
      </c>
      <c r="E11" s="102">
        <f t="shared" si="3"/>
        <v>0</v>
      </c>
      <c r="F11" s="102">
        <f t="shared" si="3"/>
        <v>0</v>
      </c>
      <c r="G11" s="102">
        <f t="shared" si="3"/>
        <v>0</v>
      </c>
      <c r="H11" s="102">
        <f t="shared" si="3"/>
        <v>0</v>
      </c>
      <c r="I11" s="1"/>
    </row>
    <row r="12" spans="1:9" s="102" customFormat="1" ht="12.75">
      <c r="A12" s="106"/>
      <c r="B12" s="112" t="s">
        <v>1390</v>
      </c>
      <c r="C12" s="102">
        <f aca="true" t="shared" si="4" ref="C12:H12">(C11*Prime_Life_Discount_Factor)</f>
        <v>0</v>
      </c>
      <c r="D12" s="102">
        <f t="shared" si="4"/>
        <v>0</v>
      </c>
      <c r="E12" s="102">
        <f t="shared" si="4"/>
        <v>0</v>
      </c>
      <c r="F12" s="102">
        <f t="shared" si="4"/>
        <v>0</v>
      </c>
      <c r="G12" s="102">
        <f t="shared" si="4"/>
        <v>0</v>
      </c>
      <c r="H12" s="102">
        <f t="shared" si="4"/>
        <v>0</v>
      </c>
      <c r="I12" s="1"/>
    </row>
    <row r="13" spans="1:9" s="102" customFormat="1" ht="12.75">
      <c r="A13" s="106"/>
      <c r="B13" s="102" t="s">
        <v>1391</v>
      </c>
      <c r="C13" s="102">
        <f aca="true" t="shared" si="5" ref="C13:H13">C11-C12</f>
        <v>0</v>
      </c>
      <c r="D13" s="102">
        <f t="shared" si="5"/>
        <v>0</v>
      </c>
      <c r="E13" s="102">
        <f t="shared" si="5"/>
        <v>0</v>
      </c>
      <c r="F13" s="102">
        <f t="shared" si="5"/>
        <v>0</v>
      </c>
      <c r="G13" s="102">
        <f t="shared" si="5"/>
        <v>0</v>
      </c>
      <c r="H13" s="102">
        <f t="shared" si="5"/>
        <v>0</v>
      </c>
      <c r="I13" s="1"/>
    </row>
    <row r="14" spans="1:9" s="102" customFormat="1" ht="12.75">
      <c r="A14" s="106"/>
      <c r="B14" s="112" t="s">
        <v>1263</v>
      </c>
      <c r="C14" s="102">
        <f aca="true" t="shared" si="6" ref="C14:H14">C13-(C13*INDEX(Mass_Merchandise_Factor,,1))</f>
        <v>0</v>
      </c>
      <c r="D14" s="102">
        <f t="shared" si="6"/>
        <v>0</v>
      </c>
      <c r="E14" s="102">
        <f t="shared" si="6"/>
        <v>0</v>
      </c>
      <c r="F14" s="102">
        <f t="shared" si="6"/>
        <v>0</v>
      </c>
      <c r="G14" s="102">
        <f t="shared" si="6"/>
        <v>0</v>
      </c>
      <c r="H14" s="102">
        <f t="shared" si="6"/>
        <v>0</v>
      </c>
      <c r="I14" s="1"/>
    </row>
    <row r="15" spans="1:9" s="102" customFormat="1" ht="12.75">
      <c r="A15" s="106"/>
      <c r="I15" s="1"/>
    </row>
    <row r="16" spans="1:9" s="102" customFormat="1" ht="12.75">
      <c r="A16" s="106"/>
      <c r="B16" s="102" t="s">
        <v>1267</v>
      </c>
      <c r="C16" s="102">
        <f>IF(INDEX(Comp_Coverage_Premium,,1)&gt;0,1,0)</f>
        <v>0</v>
      </c>
      <c r="D16" s="102">
        <f>IF(INDEX(Comp_Coverage_Premium,,2)&gt;0,1,0)</f>
        <v>0</v>
      </c>
      <c r="E16" s="102">
        <f>IF(INDEX(Comp_Coverage_Premium,,3)&gt;0,1,0)</f>
        <v>0</v>
      </c>
      <c r="F16" s="102">
        <f>IF(INDEX(Comp_Coverage_Premium,,4)&gt;0,1,0)</f>
        <v>0</v>
      </c>
      <c r="G16" s="102">
        <f>IF(INDEX(Comp_Coverage_Premium,,5)&gt;0,1,0)</f>
        <v>0</v>
      </c>
      <c r="H16" s="102">
        <f>IF(INDEX(Comp_Coverage_Premium,,6)&gt;0,1,0)</f>
        <v>0</v>
      </c>
      <c r="I16" s="1"/>
    </row>
    <row r="17" spans="1:9" s="102" customFormat="1" ht="12.75">
      <c r="A17" s="106"/>
      <c r="I17" s="1"/>
    </row>
    <row r="18" spans="1:9" ht="12.75">
      <c r="A18" s="106" t="s">
        <v>1270</v>
      </c>
      <c r="B18" s="119" t="s">
        <v>1139</v>
      </c>
      <c r="C18" s="119">
        <f aca="true" t="shared" si="7" ref="C18:H18">IF(OR(ISERROR(ROUND(C14,2)),C16=0),0,ROUND(C14,2))</f>
        <v>0</v>
      </c>
      <c r="D18" s="119">
        <f t="shared" si="7"/>
        <v>0</v>
      </c>
      <c r="E18" s="119">
        <f t="shared" si="7"/>
        <v>0</v>
      </c>
      <c r="F18" s="119">
        <f t="shared" si="7"/>
        <v>0</v>
      </c>
      <c r="G18" s="119">
        <f t="shared" si="7"/>
        <v>0</v>
      </c>
      <c r="H18" s="119">
        <f t="shared" si="7"/>
        <v>0</v>
      </c>
      <c r="I18" s="1"/>
    </row>
  </sheetData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27"/>
  <sheetViews>
    <sheetView zoomScale="75" zoomScaleNormal="75" workbookViewId="0" topLeftCell="A1">
      <selection activeCell="C27" sqref="C27:H27"/>
    </sheetView>
  </sheetViews>
  <sheetFormatPr defaultColWidth="9.140625" defaultRowHeight="12.75"/>
  <cols>
    <col min="2" max="2" width="48.7109375" style="0" customWidth="1"/>
  </cols>
  <sheetData>
    <row r="1" spans="1:9" ht="20.25" customHeight="1">
      <c r="A1" s="103"/>
      <c r="B1" s="104" t="s">
        <v>1392</v>
      </c>
      <c r="C1" s="103"/>
      <c r="D1" s="103"/>
      <c r="E1" s="103"/>
      <c r="F1" s="102"/>
      <c r="G1" s="102"/>
      <c r="H1" s="102"/>
      <c r="I1" s="1"/>
    </row>
    <row r="2" spans="1:8" ht="20.25" customHeight="1">
      <c r="A2" s="103"/>
      <c r="B2" s="105"/>
      <c r="C2" s="103"/>
      <c r="D2" s="103"/>
      <c r="E2" s="103"/>
      <c r="F2" s="102"/>
      <c r="G2" s="102"/>
      <c r="H2" s="102"/>
    </row>
    <row r="3" spans="1:9" ht="12.75">
      <c r="A3" s="106" t="s">
        <v>1206</v>
      </c>
      <c r="B3" s="106" t="s">
        <v>1207</v>
      </c>
      <c r="C3" s="106" t="s">
        <v>428</v>
      </c>
      <c r="D3" s="106" t="s">
        <v>429</v>
      </c>
      <c r="E3" s="106" t="s">
        <v>430</v>
      </c>
      <c r="F3" s="106" t="s">
        <v>431</v>
      </c>
      <c r="G3" s="106" t="s">
        <v>432</v>
      </c>
      <c r="H3" s="106" t="s">
        <v>433</v>
      </c>
      <c r="I3" s="6" t="s">
        <v>229</v>
      </c>
    </row>
    <row r="4" ht="12.75">
      <c r="I4" s="1"/>
    </row>
    <row r="5" spans="1:9" ht="12.75">
      <c r="A5" s="106" t="s">
        <v>1208</v>
      </c>
      <c r="B5" s="102" t="s">
        <v>853</v>
      </c>
      <c r="C5" s="102">
        <f>INDEX(Communications_Equipment_Rate,1,1)</f>
        <v>0</v>
      </c>
      <c r="D5" s="102">
        <f>INDEX(Communications_Equipment_Rate,1,2)</f>
        <v>0</v>
      </c>
      <c r="E5" s="102">
        <f>INDEX(Communications_Equipment_Rate,1,3)</f>
        <v>0</v>
      </c>
      <c r="F5" s="102">
        <f>INDEX(Communications_Equipment_Rate,1,4)</f>
        <v>0</v>
      </c>
      <c r="G5" s="102">
        <f>INDEX(Communications_Equipment_Rate,1,5)</f>
        <v>0</v>
      </c>
      <c r="H5" s="102">
        <f>INDEX(Communications_Equipment_Rate,1,6)</f>
        <v>0</v>
      </c>
      <c r="I5" s="1"/>
    </row>
    <row r="6" spans="1:9" ht="12.75">
      <c r="A6" s="106"/>
      <c r="B6" s="102" t="s">
        <v>857</v>
      </c>
      <c r="C6" s="102">
        <f>INDEX(Tapes_Media_Rate,1,1)</f>
        <v>0</v>
      </c>
      <c r="D6" s="102">
        <f>INDEX(Tapes_Media_Rate,1,2)</f>
        <v>0</v>
      </c>
      <c r="E6" s="102">
        <f>INDEX(Tapes_Media_Rate,1,3)</f>
        <v>0</v>
      </c>
      <c r="F6" s="102">
        <f>INDEX(Tapes_Media_Rate,1,4)</f>
        <v>0</v>
      </c>
      <c r="G6" s="102">
        <f>INDEX(Tapes_Media_Rate,1,5)</f>
        <v>0</v>
      </c>
      <c r="H6" s="102">
        <f>INDEX(Tapes_Media_Rate,1,6)</f>
        <v>0</v>
      </c>
      <c r="I6" s="1"/>
    </row>
    <row r="7" spans="1:9" ht="12.75">
      <c r="A7" s="106"/>
      <c r="B7" s="102" t="s">
        <v>548</v>
      </c>
      <c r="C7" s="102">
        <f>INDEX(Excess_Sound_Equipment_Rate,1,1)</f>
        <v>0</v>
      </c>
      <c r="D7" s="102">
        <f>INDEX(Excess_Sound_Equipment_Rate,1,2)</f>
        <v>0</v>
      </c>
      <c r="E7" s="102">
        <f>INDEX(Excess_Sound_Equipment_Rate,1,3)</f>
        <v>0</v>
      </c>
      <c r="F7" s="102">
        <f>INDEX(Excess_Sound_Equipment_Rate,1,4)</f>
        <v>0</v>
      </c>
      <c r="G7" s="102">
        <f>INDEX(Excess_Sound_Equipment_Rate,1,5)</f>
        <v>0</v>
      </c>
      <c r="H7" s="102">
        <f>INDEX(Excess_Sound_Equipment_Rate,1,6)</f>
        <v>0</v>
      </c>
      <c r="I7" s="1"/>
    </row>
    <row r="8" spans="1:9" ht="12.75">
      <c r="A8" s="106"/>
      <c r="B8" s="102" t="s">
        <v>1393</v>
      </c>
      <c r="C8" s="102">
        <f aca="true" t="shared" si="0" ref="C8:H8">(C5+C6+C7)</f>
        <v>0</v>
      </c>
      <c r="D8" s="102">
        <f t="shared" si="0"/>
        <v>0</v>
      </c>
      <c r="E8" s="102">
        <f t="shared" si="0"/>
        <v>0</v>
      </c>
      <c r="F8" s="102">
        <f t="shared" si="0"/>
        <v>0</v>
      </c>
      <c r="G8" s="102">
        <f t="shared" si="0"/>
        <v>0</v>
      </c>
      <c r="H8" s="102">
        <f t="shared" si="0"/>
        <v>0</v>
      </c>
      <c r="I8" s="1"/>
    </row>
    <row r="9" spans="1:9" ht="12.75">
      <c r="A9" s="106"/>
      <c r="B9" s="108" t="s">
        <v>1237</v>
      </c>
      <c r="C9" s="111">
        <f>INDEX(Accident_Prevention_Discount_Factor,,1)</f>
        <v>0</v>
      </c>
      <c r="D9" s="111">
        <f>INDEX(Accident_Prevention_Discount_Factor,,2)</f>
        <v>0</v>
      </c>
      <c r="E9" s="111">
        <f>INDEX(Accident_Prevention_Discount_Factor,,3)</f>
        <v>0</v>
      </c>
      <c r="F9" s="111">
        <f>INDEX(Accident_Prevention_Discount_Factor,,4)</f>
        <v>0</v>
      </c>
      <c r="G9" s="111">
        <f>INDEX(Accident_Prevention_Discount_Factor,,5)</f>
        <v>0</v>
      </c>
      <c r="H9" s="111">
        <f>INDEX(Accident_Prevention_Discount_Factor,,6)</f>
        <v>0</v>
      </c>
      <c r="I9" s="1"/>
    </row>
    <row r="10" spans="1:9" ht="12.75">
      <c r="A10" s="106"/>
      <c r="B10" s="102"/>
      <c r="C10" s="102"/>
      <c r="D10" s="102"/>
      <c r="E10" s="102"/>
      <c r="F10" s="102"/>
      <c r="G10" s="102"/>
      <c r="H10" s="102"/>
      <c r="I10" s="1"/>
    </row>
    <row r="11" spans="1:9" s="102" customFormat="1" ht="12.75">
      <c r="A11" s="106" t="s">
        <v>1212</v>
      </c>
      <c r="B11" s="107" t="s">
        <v>1213</v>
      </c>
      <c r="C11" s="102">
        <f aca="true" t="shared" si="1" ref="C11:H11">(C8*(IF(Insured_State="NC",Company_Deviation_Factor_NC,Company_Deviation_Factor_Miscellaneous)))</f>
        <v>0</v>
      </c>
      <c r="D11" s="102">
        <f t="shared" si="1"/>
        <v>0</v>
      </c>
      <c r="E11" s="102">
        <f t="shared" si="1"/>
        <v>0</v>
      </c>
      <c r="F11" s="102">
        <f t="shared" si="1"/>
        <v>0</v>
      </c>
      <c r="G11" s="102">
        <f t="shared" si="1"/>
        <v>0</v>
      </c>
      <c r="H11" s="102">
        <f t="shared" si="1"/>
        <v>0</v>
      </c>
      <c r="I11" s="1"/>
    </row>
    <row r="12" spans="1:9" s="102" customFormat="1" ht="12.75">
      <c r="A12" s="106"/>
      <c r="B12" s="107"/>
      <c r="I12" s="1"/>
    </row>
    <row r="13" spans="1:9" s="102" customFormat="1" ht="12.75">
      <c r="A13" s="106"/>
      <c r="B13" s="102" t="s">
        <v>1257</v>
      </c>
      <c r="C13" s="102">
        <f aca="true" t="shared" si="2" ref="C13:H13">C11*Policy_Period_Factor</f>
        <v>0</v>
      </c>
      <c r="D13" s="102">
        <f t="shared" si="2"/>
        <v>0</v>
      </c>
      <c r="E13" s="102">
        <f t="shared" si="2"/>
        <v>0</v>
      </c>
      <c r="F13" s="102">
        <f t="shared" si="2"/>
        <v>0</v>
      </c>
      <c r="G13" s="102">
        <f t="shared" si="2"/>
        <v>0</v>
      </c>
      <c r="H13" s="102">
        <f t="shared" si="2"/>
        <v>0</v>
      </c>
      <c r="I13" s="1"/>
    </row>
    <row r="14" spans="1:9" s="102" customFormat="1" ht="12.75">
      <c r="A14" s="106"/>
      <c r="I14" s="1"/>
    </row>
    <row r="15" spans="1:9" s="102" customFormat="1" ht="12.75">
      <c r="A15" s="106" t="s">
        <v>1300</v>
      </c>
      <c r="B15" s="102" t="s">
        <v>1255</v>
      </c>
      <c r="C15" s="102">
        <f aca="true" t="shared" si="3" ref="C15:H15">C13-(C13*Valued_Customer_Discount_Factor)</f>
        <v>0</v>
      </c>
      <c r="D15" s="102">
        <f t="shared" si="3"/>
        <v>0</v>
      </c>
      <c r="E15" s="102">
        <f t="shared" si="3"/>
        <v>0</v>
      </c>
      <c r="F15" s="102">
        <f t="shared" si="3"/>
        <v>0</v>
      </c>
      <c r="G15" s="102">
        <f t="shared" si="3"/>
        <v>0</v>
      </c>
      <c r="H15" s="102">
        <f t="shared" si="3"/>
        <v>0</v>
      </c>
      <c r="I15" s="1"/>
    </row>
    <row r="16" spans="1:9" s="102" customFormat="1" ht="12.75">
      <c r="A16" s="106"/>
      <c r="B16" s="102" t="s">
        <v>1256</v>
      </c>
      <c r="C16" s="102">
        <f aca="true" t="shared" si="4" ref="C16:H16">IF(Insured_State="MI",C15-(C15*C9),C15)</f>
        <v>0</v>
      </c>
      <c r="D16" s="102">
        <f t="shared" si="4"/>
        <v>0</v>
      </c>
      <c r="E16" s="102">
        <f t="shared" si="4"/>
        <v>0</v>
      </c>
      <c r="F16" s="102">
        <f t="shared" si="4"/>
        <v>0</v>
      </c>
      <c r="G16" s="102">
        <f t="shared" si="4"/>
        <v>0</v>
      </c>
      <c r="H16" s="102">
        <f t="shared" si="4"/>
        <v>0</v>
      </c>
      <c r="I16" s="1"/>
    </row>
    <row r="17" spans="1:9" s="102" customFormat="1" ht="12.75">
      <c r="A17" s="106"/>
      <c r="B17" s="102" t="s">
        <v>1258</v>
      </c>
      <c r="C17" s="102">
        <f aca="true" t="shared" si="5" ref="C17:H17">C16-(C16*Fampak_Discount_Factor)</f>
        <v>0</v>
      </c>
      <c r="D17" s="102">
        <f t="shared" si="5"/>
        <v>0</v>
      </c>
      <c r="E17" s="102">
        <f t="shared" si="5"/>
        <v>0</v>
      </c>
      <c r="F17" s="102">
        <f t="shared" si="5"/>
        <v>0</v>
      </c>
      <c r="G17" s="102">
        <f t="shared" si="5"/>
        <v>0</v>
      </c>
      <c r="H17" s="102">
        <f t="shared" si="5"/>
        <v>0</v>
      </c>
      <c r="I17" s="1"/>
    </row>
    <row r="18" spans="1:9" s="102" customFormat="1" ht="12.75">
      <c r="A18" s="106"/>
      <c r="B18" s="112" t="s">
        <v>1259</v>
      </c>
      <c r="C18" s="102">
        <f aca="true" t="shared" si="6" ref="C18:H18">C17-(C17*Prime_Life_Discount_Factor)</f>
        <v>0</v>
      </c>
      <c r="D18" s="102">
        <f t="shared" si="6"/>
        <v>0</v>
      </c>
      <c r="E18" s="102">
        <f t="shared" si="6"/>
        <v>0</v>
      </c>
      <c r="F18" s="102">
        <f t="shared" si="6"/>
        <v>0</v>
      </c>
      <c r="G18" s="102">
        <f t="shared" si="6"/>
        <v>0</v>
      </c>
      <c r="H18" s="102">
        <f t="shared" si="6"/>
        <v>0</v>
      </c>
      <c r="I18" s="1"/>
    </row>
    <row r="19" spans="1:9" s="102" customFormat="1" ht="12.75">
      <c r="A19" s="106"/>
      <c r="B19" s="102" t="s">
        <v>1260</v>
      </c>
      <c r="C19" s="102">
        <f aca="true" t="shared" si="7" ref="C19:H19">IF(Insured_State="PA",C18-(C18*C9),C18)</f>
        <v>0</v>
      </c>
      <c r="D19" s="102">
        <f t="shared" si="7"/>
        <v>0</v>
      </c>
      <c r="E19" s="102">
        <f t="shared" si="7"/>
        <v>0</v>
      </c>
      <c r="F19" s="102">
        <f t="shared" si="7"/>
        <v>0</v>
      </c>
      <c r="G19" s="102">
        <f t="shared" si="7"/>
        <v>0</v>
      </c>
      <c r="H19" s="102">
        <f t="shared" si="7"/>
        <v>0</v>
      </c>
      <c r="I19" s="1"/>
    </row>
    <row r="20" spans="1:9" s="102" customFormat="1" ht="12.75">
      <c r="A20" s="106"/>
      <c r="B20" s="102" t="s">
        <v>1261</v>
      </c>
      <c r="C20" s="102">
        <f aca="true" t="shared" si="8" ref="C20:H20">IF(Insured_State="PA",Tort_Factor_Miscellaneous,1)</f>
        <v>1</v>
      </c>
      <c r="D20" s="102">
        <f t="shared" si="8"/>
        <v>1</v>
      </c>
      <c r="E20" s="102">
        <f t="shared" si="8"/>
        <v>1</v>
      </c>
      <c r="F20" s="102">
        <f t="shared" si="8"/>
        <v>1</v>
      </c>
      <c r="G20" s="102">
        <f t="shared" si="8"/>
        <v>1</v>
      </c>
      <c r="H20" s="102">
        <f t="shared" si="8"/>
        <v>1</v>
      </c>
      <c r="I20" s="1"/>
    </row>
    <row r="21" spans="1:9" s="102" customFormat="1" ht="12.75">
      <c r="A21" s="106"/>
      <c r="B21" s="102" t="s">
        <v>1262</v>
      </c>
      <c r="C21" s="102">
        <f aca="true" t="shared" si="9" ref="C21:H21">C19*C20</f>
        <v>0</v>
      </c>
      <c r="D21" s="102">
        <f t="shared" si="9"/>
        <v>0</v>
      </c>
      <c r="E21" s="102">
        <f t="shared" si="9"/>
        <v>0</v>
      </c>
      <c r="F21" s="102">
        <f t="shared" si="9"/>
        <v>0</v>
      </c>
      <c r="G21" s="102">
        <f t="shared" si="9"/>
        <v>0</v>
      </c>
      <c r="H21" s="102">
        <f t="shared" si="9"/>
        <v>0</v>
      </c>
      <c r="I21" s="1"/>
    </row>
    <row r="22" spans="1:9" s="102" customFormat="1" ht="12.75">
      <c r="A22" s="106"/>
      <c r="B22" s="112" t="s">
        <v>1263</v>
      </c>
      <c r="C22" s="102">
        <f aca="true" t="shared" si="10" ref="C22:H22">C21-(C21*INDEX(Mass_Merchandise_Factor,,1))</f>
        <v>0</v>
      </c>
      <c r="D22" s="102">
        <f t="shared" si="10"/>
        <v>0</v>
      </c>
      <c r="E22" s="102">
        <f t="shared" si="10"/>
        <v>0</v>
      </c>
      <c r="F22" s="102">
        <f t="shared" si="10"/>
        <v>0</v>
      </c>
      <c r="G22" s="102">
        <f t="shared" si="10"/>
        <v>0</v>
      </c>
      <c r="H22" s="102">
        <f t="shared" si="10"/>
        <v>0</v>
      </c>
      <c r="I22" s="1"/>
    </row>
    <row r="23" spans="1:9" s="102" customFormat="1" ht="12.75">
      <c r="A23" s="106"/>
      <c r="B23" s="112" t="s">
        <v>1264</v>
      </c>
      <c r="C23" s="102">
        <f aca="true" t="shared" si="11" ref="C23:H23">C22-(C22*IN_Standard_Agent_Commission_Factor)</f>
        <v>0</v>
      </c>
      <c r="D23" s="102">
        <f t="shared" si="11"/>
        <v>0</v>
      </c>
      <c r="E23" s="102">
        <f t="shared" si="11"/>
        <v>0</v>
      </c>
      <c r="F23" s="102">
        <f t="shared" si="11"/>
        <v>0</v>
      </c>
      <c r="G23" s="102">
        <f t="shared" si="11"/>
        <v>0</v>
      </c>
      <c r="H23" s="102">
        <f t="shared" si="11"/>
        <v>0</v>
      </c>
      <c r="I23" s="1"/>
    </row>
    <row r="24" spans="1:9" s="102" customFormat="1" ht="12.75">
      <c r="A24" s="106" t="s">
        <v>1394</v>
      </c>
      <c r="B24" s="112" t="s">
        <v>1266</v>
      </c>
      <c r="C24" s="102">
        <f aca="true" t="shared" si="12" ref="C24:H24">C23</f>
        <v>0</v>
      </c>
      <c r="D24" s="102">
        <f t="shared" si="12"/>
        <v>0</v>
      </c>
      <c r="E24" s="102">
        <f t="shared" si="12"/>
        <v>0</v>
      </c>
      <c r="F24" s="102">
        <f t="shared" si="12"/>
        <v>0</v>
      </c>
      <c r="G24" s="102">
        <f t="shared" si="12"/>
        <v>0</v>
      </c>
      <c r="H24" s="102">
        <f t="shared" si="12"/>
        <v>0</v>
      </c>
      <c r="I24" s="1"/>
    </row>
    <row r="25" spans="1:9" ht="12.75">
      <c r="A25" s="106"/>
      <c r="B25" s="102"/>
      <c r="C25" s="102"/>
      <c r="D25" s="102"/>
      <c r="E25" s="102"/>
      <c r="F25" s="102"/>
      <c r="G25" s="102"/>
      <c r="H25" s="102"/>
      <c r="I25" s="1"/>
    </row>
    <row r="26" spans="2:9" ht="12.75">
      <c r="B26" s="102" t="s">
        <v>1395</v>
      </c>
      <c r="C26" s="102">
        <f aca="true" t="shared" si="13" ref="C26:H26">IF(OR(ISERROR(C24),C24&lt;=0),0,ROUND(C24,2))</f>
        <v>0</v>
      </c>
      <c r="D26" s="102">
        <f t="shared" si="13"/>
        <v>0</v>
      </c>
      <c r="E26" s="102">
        <f t="shared" si="13"/>
        <v>0</v>
      </c>
      <c r="F26" s="102">
        <f t="shared" si="13"/>
        <v>0</v>
      </c>
      <c r="G26" s="102">
        <f t="shared" si="13"/>
        <v>0</v>
      </c>
      <c r="H26" s="102">
        <f t="shared" si="13"/>
        <v>0</v>
      </c>
      <c r="I26" s="1"/>
    </row>
    <row r="27" spans="1:8" ht="12.75">
      <c r="A27" s="106" t="s">
        <v>1270</v>
      </c>
      <c r="B27" s="119" t="s">
        <v>1396</v>
      </c>
      <c r="C27" s="118">
        <f aca="true" t="shared" si="14" ref="C27:H27">C26</f>
        <v>0</v>
      </c>
      <c r="D27" s="118">
        <f t="shared" si="14"/>
        <v>0</v>
      </c>
      <c r="E27" s="118">
        <f t="shared" si="14"/>
        <v>0</v>
      </c>
      <c r="F27" s="118">
        <f t="shared" si="14"/>
        <v>0</v>
      </c>
      <c r="G27" s="118">
        <f t="shared" si="14"/>
        <v>0</v>
      </c>
      <c r="H27" s="118">
        <f t="shared" si="14"/>
        <v>0</v>
      </c>
    </row>
  </sheetData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BK92"/>
  <sheetViews>
    <sheetView zoomScale="75" zoomScaleNormal="75" workbookViewId="0" topLeftCell="A70">
      <selection activeCell="C13" sqref="C13"/>
    </sheetView>
  </sheetViews>
  <sheetFormatPr defaultColWidth="9.140625" defaultRowHeight="12.75"/>
  <cols>
    <col min="1" max="1" width="12.00390625" style="0" customWidth="1"/>
    <col min="2" max="2" width="40.140625" style="0" customWidth="1"/>
  </cols>
  <sheetData>
    <row r="1" spans="1:9" ht="20.25" customHeight="1">
      <c r="A1" s="103"/>
      <c r="B1" s="104" t="s">
        <v>1397</v>
      </c>
      <c r="C1" s="103"/>
      <c r="D1" s="103"/>
      <c r="E1" s="103"/>
      <c r="F1" s="102"/>
      <c r="G1" s="102"/>
      <c r="H1" s="102"/>
      <c r="I1" s="1"/>
    </row>
    <row r="3" spans="1:9" ht="12.75">
      <c r="A3" s="106" t="s">
        <v>1206</v>
      </c>
      <c r="B3" s="106" t="s">
        <v>1207</v>
      </c>
      <c r="C3" s="106" t="s">
        <v>359</v>
      </c>
      <c r="D3" s="106" t="s">
        <v>360</v>
      </c>
      <c r="E3" s="106" t="s">
        <v>361</v>
      </c>
      <c r="F3" s="106" t="s">
        <v>362</v>
      </c>
      <c r="G3" s="106" t="s">
        <v>363</v>
      </c>
      <c r="H3" s="106" t="s">
        <v>364</v>
      </c>
      <c r="I3" s="6" t="s">
        <v>229</v>
      </c>
    </row>
    <row r="4" ht="12.75">
      <c r="I4" s="1"/>
    </row>
    <row r="5" spans="1:9" ht="12.75">
      <c r="A5" s="106" t="s">
        <v>1208</v>
      </c>
      <c r="B5" s="102" t="s">
        <v>1398</v>
      </c>
      <c r="C5" s="102">
        <f>INDEX(IF(CSL,ExtNO_CSL_Base_Rate,ExtNO_BI_Base_Rate),1,1)</f>
        <v>0</v>
      </c>
      <c r="D5" s="102">
        <f>INDEX(IF(CSL,ExtNO_CSL_Base_Rate,ExtNO_BI_Base_Rate),1,2)</f>
        <v>0</v>
      </c>
      <c r="E5" s="102">
        <f>INDEX(IF(CSL,ExtNO_CSL_Base_Rate,ExtNO_BI_Base_Rate),1,3)</f>
        <v>0</v>
      </c>
      <c r="F5" s="102">
        <f>INDEX(IF(CSL,ExtNO_CSL_Base_Rate,ExtNO_BI_Base_Rate),1,4)</f>
        <v>0</v>
      </c>
      <c r="G5" s="102">
        <f>INDEX(IF(CSL,ExtNO_CSL_Base_Rate,ExtNO_BI_Base_Rate),1,5)</f>
        <v>0</v>
      </c>
      <c r="H5" s="102">
        <f>INDEX(IF(CSL,ExtNO_CSL_Base_Rate,ExtNO_BI_Base_Rate),1,6)</f>
        <v>0</v>
      </c>
      <c r="I5" s="1"/>
    </row>
    <row r="6" spans="1:9" ht="12.75">
      <c r="A6" s="106" t="s">
        <v>1399</v>
      </c>
      <c r="B6" s="102" t="s">
        <v>1400</v>
      </c>
      <c r="C6" s="102">
        <f>INDEX(IF(CSL,CSL_Base_rate,BI_Base_rate),1,1)</f>
        <v>0</v>
      </c>
      <c r="D6" s="102">
        <f>INDEX(IF(CSL,CSL_Base_rate,BI_Base_rate),1,2)</f>
        <v>0</v>
      </c>
      <c r="E6" s="102">
        <f>INDEX(IF(CSL,CSL_Base_rate,BI_Base_rate),1,3)</f>
        <v>0</v>
      </c>
      <c r="F6" s="102">
        <f>INDEX(IF(CSL,CSL_Base_rate,BI_Base_rate),1,4)</f>
        <v>0</v>
      </c>
      <c r="G6" s="102">
        <f>INDEX(IF(CSL,CSL_Base_rate,BI_Base_rate),1,5)</f>
        <v>0</v>
      </c>
      <c r="H6" s="102">
        <f>INDEX(IF(CSL,CSL_Base_rate,BI_Base_rate),1,6)</f>
        <v>0</v>
      </c>
      <c r="I6" s="1"/>
    </row>
    <row r="7" spans="1:9" ht="12.75">
      <c r="A7" s="106" t="s">
        <v>1401</v>
      </c>
      <c r="B7" s="102" t="s">
        <v>1402</v>
      </c>
      <c r="C7" s="102">
        <f aca="true" t="shared" si="0" ref="C7:H7">SUM(C5:C6)</f>
        <v>0</v>
      </c>
      <c r="D7" s="102">
        <f t="shared" si="0"/>
        <v>0</v>
      </c>
      <c r="E7" s="102">
        <f t="shared" si="0"/>
        <v>0</v>
      </c>
      <c r="F7" s="102">
        <f t="shared" si="0"/>
        <v>0</v>
      </c>
      <c r="G7" s="102">
        <f t="shared" si="0"/>
        <v>0</v>
      </c>
      <c r="H7" s="102">
        <f t="shared" si="0"/>
        <v>0</v>
      </c>
      <c r="I7" s="1"/>
    </row>
    <row r="8" spans="1:9" ht="12.75">
      <c r="A8" s="106"/>
      <c r="B8" s="102"/>
      <c r="C8" s="102"/>
      <c r="D8" s="102"/>
      <c r="E8" s="102"/>
      <c r="F8" s="102"/>
      <c r="G8" s="102"/>
      <c r="H8" s="102"/>
      <c r="I8" s="1"/>
    </row>
    <row r="9" spans="1:9" s="102" customFormat="1" ht="12.75">
      <c r="A9" s="106" t="s">
        <v>1212</v>
      </c>
      <c r="B9" s="107" t="s">
        <v>1403</v>
      </c>
      <c r="C9" s="102">
        <f aca="true" t="shared" si="1" ref="C9:H9">(C7*(IF(Insured_State="NC",Company_Deviation_Factor_NC,Company_Deviation_Factor_Miscellaneous))*Tier_Rating_Factor)</f>
        <v>0</v>
      </c>
      <c r="D9" s="102">
        <f t="shared" si="1"/>
        <v>0</v>
      </c>
      <c r="E9" s="102">
        <f t="shared" si="1"/>
        <v>0</v>
      </c>
      <c r="F9" s="102">
        <f t="shared" si="1"/>
        <v>0</v>
      </c>
      <c r="G9" s="102">
        <f t="shared" si="1"/>
        <v>0</v>
      </c>
      <c r="H9" s="102">
        <f t="shared" si="1"/>
        <v>0</v>
      </c>
      <c r="I9" s="1"/>
    </row>
    <row r="10" spans="1:9" s="102" customFormat="1" ht="12.75">
      <c r="A10" s="106"/>
      <c r="B10" s="107"/>
      <c r="I10" s="1"/>
    </row>
    <row r="11" spans="1:9" s="102" customFormat="1" ht="12.75">
      <c r="A11" s="106" t="s">
        <v>1214</v>
      </c>
      <c r="B11" s="102" t="s">
        <v>1404</v>
      </c>
      <c r="C11" s="102">
        <f>INDEX(IF(CSL,ExtNO_CSL_Increased_Limits_Factor,ExtNO_BI_Increased_Limits_Factor),1,1)</f>
        <v>0</v>
      </c>
      <c r="D11" s="102">
        <f>INDEX(IF(CSL,ExtNO_CSL_Increased_Limits_Factor,ExtNO_BI_Increased_Limits_Factor),1,2)</f>
        <v>0</v>
      </c>
      <c r="E11" s="102">
        <f>INDEX(IF(CSL,ExtNO_CSL_Increased_Limits_Factor,ExtNO_BI_Increased_Limits_Factor),1,3)</f>
        <v>0</v>
      </c>
      <c r="F11" s="102">
        <f>INDEX(IF(CSL,ExtNO_CSL_Increased_Limits_Factor,ExtNO_BI_Increased_Limits_Factor),1,4)</f>
        <v>0</v>
      </c>
      <c r="G11" s="102">
        <f>INDEX(IF(CSL,ExtNO_CSL_Increased_Limits_Factor,ExtNO_BI_Increased_Limits_Factor),1,5)</f>
        <v>0</v>
      </c>
      <c r="H11" s="102">
        <f>INDEX(IF(CSL,ExtNO_CSL_Increased_Limits_Factor,ExtNO_BI_Increased_Limits_Factor),1,6)</f>
        <v>0</v>
      </c>
      <c r="I11" s="1"/>
    </row>
    <row r="12" spans="2:9" s="102" customFormat="1" ht="12.75">
      <c r="B12" s="108" t="s">
        <v>1219</v>
      </c>
      <c r="C12" s="102">
        <f aca="true" t="shared" si="2" ref="C12:H12">(C9*C11)</f>
        <v>0</v>
      </c>
      <c r="D12" s="102">
        <f t="shared" si="2"/>
        <v>0</v>
      </c>
      <c r="E12" s="102">
        <f t="shared" si="2"/>
        <v>0</v>
      </c>
      <c r="F12" s="102">
        <f t="shared" si="2"/>
        <v>0</v>
      </c>
      <c r="G12" s="102">
        <f t="shared" si="2"/>
        <v>0</v>
      </c>
      <c r="H12" s="102">
        <f t="shared" si="2"/>
        <v>0</v>
      </c>
      <c r="I12" s="1"/>
    </row>
    <row r="13" spans="1:9" s="102" customFormat="1" ht="12.75">
      <c r="A13" s="106"/>
      <c r="B13" s="107"/>
      <c r="I13" s="1"/>
    </row>
    <row r="14" spans="1:9" ht="12.75">
      <c r="A14" s="106" t="s">
        <v>1356</v>
      </c>
      <c r="B14" s="102" t="s">
        <v>1405</v>
      </c>
      <c r="C14" s="102">
        <f aca="true" t="shared" si="3" ref="C14:H14">C12</f>
        <v>0</v>
      </c>
      <c r="D14" s="102">
        <f t="shared" si="3"/>
        <v>0</v>
      </c>
      <c r="E14" s="102">
        <f t="shared" si="3"/>
        <v>0</v>
      </c>
      <c r="F14" s="102">
        <f t="shared" si="3"/>
        <v>0</v>
      </c>
      <c r="G14" s="102">
        <f t="shared" si="3"/>
        <v>0</v>
      </c>
      <c r="H14" s="102">
        <f t="shared" si="3"/>
        <v>0</v>
      </c>
      <c r="I14" s="1"/>
    </row>
    <row r="15" spans="1:9" ht="12.75">
      <c r="A15" s="106"/>
      <c r="B15" s="102"/>
      <c r="C15" s="102"/>
      <c r="D15" s="102"/>
      <c r="E15" s="102"/>
      <c r="F15" s="102"/>
      <c r="G15" s="102"/>
      <c r="H15" s="102"/>
      <c r="I15" s="1"/>
    </row>
    <row r="16" spans="1:9" s="102" customFormat="1" ht="12.75">
      <c r="A16" s="106" t="s">
        <v>1360</v>
      </c>
      <c r="B16" s="102" t="s">
        <v>1255</v>
      </c>
      <c r="C16" s="102">
        <f aca="true" t="shared" si="4" ref="C16:H16">C14-(C14*Valued_Customer_Discount_Factor)</f>
        <v>0</v>
      </c>
      <c r="D16" s="102">
        <f t="shared" si="4"/>
        <v>0</v>
      </c>
      <c r="E16" s="102">
        <f t="shared" si="4"/>
        <v>0</v>
      </c>
      <c r="F16" s="102">
        <f t="shared" si="4"/>
        <v>0</v>
      </c>
      <c r="G16" s="102">
        <f t="shared" si="4"/>
        <v>0</v>
      </c>
      <c r="H16" s="102">
        <f t="shared" si="4"/>
        <v>0</v>
      </c>
      <c r="I16" s="1"/>
    </row>
    <row r="17" spans="1:9" s="102" customFormat="1" ht="12.75">
      <c r="A17" s="106"/>
      <c r="B17" s="102" t="s">
        <v>1327</v>
      </c>
      <c r="C17" s="102">
        <f aca="true" t="shared" si="5" ref="C17:H17">C16-(C16*Loss_Free_Credit_Factor)</f>
        <v>0</v>
      </c>
      <c r="D17" s="102">
        <f t="shared" si="5"/>
        <v>0</v>
      </c>
      <c r="E17" s="102">
        <f t="shared" si="5"/>
        <v>0</v>
      </c>
      <c r="F17" s="102">
        <f t="shared" si="5"/>
        <v>0</v>
      </c>
      <c r="G17" s="102">
        <f t="shared" si="5"/>
        <v>0</v>
      </c>
      <c r="H17" s="102">
        <f t="shared" si="5"/>
        <v>0</v>
      </c>
      <c r="I17" s="1"/>
    </row>
    <row r="18" spans="1:9" s="102" customFormat="1" ht="12.75">
      <c r="A18" s="106"/>
      <c r="B18" s="102" t="s">
        <v>1258</v>
      </c>
      <c r="C18" s="102">
        <f aca="true" t="shared" si="6" ref="C18:H18">C17-(C17*Fampak_Discount_Factor)</f>
        <v>0</v>
      </c>
      <c r="D18" s="102">
        <f t="shared" si="6"/>
        <v>0</v>
      </c>
      <c r="E18" s="102">
        <f t="shared" si="6"/>
        <v>0</v>
      </c>
      <c r="F18" s="102">
        <f t="shared" si="6"/>
        <v>0</v>
      </c>
      <c r="G18" s="102">
        <f t="shared" si="6"/>
        <v>0</v>
      </c>
      <c r="H18" s="102">
        <f t="shared" si="6"/>
        <v>0</v>
      </c>
      <c r="I18" s="1"/>
    </row>
    <row r="19" spans="1:9" s="102" customFormat="1" ht="12.75">
      <c r="A19" s="106"/>
      <c r="B19" s="112" t="s">
        <v>1259</v>
      </c>
      <c r="C19" s="102">
        <f aca="true" t="shared" si="7" ref="C19:H19">C18-(C18*Prime_Life_Discount_Factor)</f>
        <v>0</v>
      </c>
      <c r="D19" s="102">
        <f t="shared" si="7"/>
        <v>0</v>
      </c>
      <c r="E19" s="102">
        <f t="shared" si="7"/>
        <v>0</v>
      </c>
      <c r="F19" s="102">
        <f t="shared" si="7"/>
        <v>0</v>
      </c>
      <c r="G19" s="102">
        <f t="shared" si="7"/>
        <v>0</v>
      </c>
      <c r="H19" s="102">
        <f t="shared" si="7"/>
        <v>0</v>
      </c>
      <c r="I19" s="1"/>
    </row>
    <row r="20" spans="1:9" s="102" customFormat="1" ht="12.75">
      <c r="A20" s="106"/>
      <c r="B20" s="112" t="s">
        <v>1263</v>
      </c>
      <c r="C20" s="102">
        <f>C19-(C19*INDEX(Mass_Merchandise_Factor,,1))</f>
        <v>0</v>
      </c>
      <c r="D20" s="102">
        <f>D19-(D19*INDEX(Mass_Merchandise_Factor,,2))</f>
        <v>0</v>
      </c>
      <c r="E20" s="102">
        <f>E19-(E19*INDEX(Mass_Merchandise_Factor,,3))</f>
        <v>0</v>
      </c>
      <c r="F20" s="102">
        <f>F19-(F19*INDEX(Mass_Merchandise_Factor,,4))</f>
        <v>0</v>
      </c>
      <c r="G20" s="102">
        <f>G19-(G19*INDEX(Mass_Merchandise_Factor,,5))</f>
        <v>0</v>
      </c>
      <c r="H20" s="102">
        <f>H19-(H19*INDEX(Mass_Merchandise_Factor,,6))</f>
        <v>0</v>
      </c>
      <c r="I20" s="1"/>
    </row>
    <row r="21" spans="1:9" s="102" customFormat="1" ht="12.75">
      <c r="A21" s="106"/>
      <c r="B21" s="112" t="s">
        <v>1264</v>
      </c>
      <c r="C21" s="102">
        <f aca="true" t="shared" si="8" ref="C21:H21">C20-(C20*IN_Standard_Agent_Commission_Factor)</f>
        <v>0</v>
      </c>
      <c r="D21" s="102">
        <f t="shared" si="8"/>
        <v>0</v>
      </c>
      <c r="E21" s="102">
        <f t="shared" si="8"/>
        <v>0</v>
      </c>
      <c r="F21" s="102">
        <f t="shared" si="8"/>
        <v>0</v>
      </c>
      <c r="G21" s="102">
        <f t="shared" si="8"/>
        <v>0</v>
      </c>
      <c r="H21" s="102">
        <f t="shared" si="8"/>
        <v>0</v>
      </c>
      <c r="I21" s="1"/>
    </row>
    <row r="22" spans="1:9" s="102" customFormat="1" ht="12.75">
      <c r="A22" s="106" t="s">
        <v>1362</v>
      </c>
      <c r="B22" s="112" t="s">
        <v>1266</v>
      </c>
      <c r="C22" s="102">
        <f aca="true" t="shared" si="9" ref="C22:H22">C21</f>
        <v>0</v>
      </c>
      <c r="D22" s="102">
        <f t="shared" si="9"/>
        <v>0</v>
      </c>
      <c r="E22" s="102">
        <f t="shared" si="9"/>
        <v>0</v>
      </c>
      <c r="F22" s="102">
        <f t="shared" si="9"/>
        <v>0</v>
      </c>
      <c r="G22" s="102">
        <f t="shared" si="9"/>
        <v>0</v>
      </c>
      <c r="H22" s="102">
        <f t="shared" si="9"/>
        <v>0</v>
      </c>
      <c r="I22" s="1"/>
    </row>
    <row r="23" s="102" customFormat="1" ht="12.75">
      <c r="I23" s="1"/>
    </row>
    <row r="24" spans="1:9" ht="12.75">
      <c r="A24" s="106" t="s">
        <v>1334</v>
      </c>
      <c r="B24" s="102" t="s">
        <v>860</v>
      </c>
      <c r="C24" s="102">
        <f aca="true" t="shared" si="10" ref="C24:H24">Policy_Period_Factor</f>
        <v>0</v>
      </c>
      <c r="D24" s="102">
        <f t="shared" si="10"/>
        <v>0</v>
      </c>
      <c r="E24" s="102">
        <f t="shared" si="10"/>
        <v>0</v>
      </c>
      <c r="F24" s="102">
        <f t="shared" si="10"/>
        <v>0</v>
      </c>
      <c r="G24" s="102">
        <f t="shared" si="10"/>
        <v>0</v>
      </c>
      <c r="H24" s="102">
        <f t="shared" si="10"/>
        <v>0</v>
      </c>
      <c r="I24" s="1"/>
    </row>
    <row r="25" spans="2:9" s="112" customFormat="1" ht="12.75">
      <c r="B25" s="112" t="s">
        <v>1261</v>
      </c>
      <c r="C25" s="102">
        <f aca="true" t="shared" si="11" ref="C25:H25">IF(Insured_State="PA",Tort_Factor_Miscellaneous,1)</f>
        <v>1</v>
      </c>
      <c r="D25" s="102">
        <f t="shared" si="11"/>
        <v>1</v>
      </c>
      <c r="E25" s="102">
        <f t="shared" si="11"/>
        <v>1</v>
      </c>
      <c r="F25" s="102">
        <f t="shared" si="11"/>
        <v>1</v>
      </c>
      <c r="G25" s="102">
        <f t="shared" si="11"/>
        <v>1</v>
      </c>
      <c r="H25" s="102">
        <f t="shared" si="11"/>
        <v>1</v>
      </c>
      <c r="I25" s="15"/>
    </row>
    <row r="26" spans="1:9" ht="12.75">
      <c r="A26" s="106"/>
      <c r="B26" s="102" t="s">
        <v>1406</v>
      </c>
      <c r="C26" s="102">
        <f aca="true" t="shared" si="12" ref="C26:H26">C22*C24*C25</f>
        <v>0</v>
      </c>
      <c r="D26" s="102">
        <f t="shared" si="12"/>
        <v>0</v>
      </c>
      <c r="E26" s="102">
        <f t="shared" si="12"/>
        <v>0</v>
      </c>
      <c r="F26" s="102">
        <f t="shared" si="12"/>
        <v>0</v>
      </c>
      <c r="G26" s="102">
        <f t="shared" si="12"/>
        <v>0</v>
      </c>
      <c r="H26" s="102">
        <f t="shared" si="12"/>
        <v>0</v>
      </c>
      <c r="I26" s="1"/>
    </row>
    <row r="27" spans="1:9" ht="12.75">
      <c r="A27" s="106"/>
      <c r="B27" s="102"/>
      <c r="C27" s="102"/>
      <c r="D27" s="102"/>
      <c r="E27" s="102"/>
      <c r="F27" s="102"/>
      <c r="G27" s="102"/>
      <c r="H27" s="102"/>
      <c r="I27" s="1"/>
    </row>
    <row r="28" spans="1:9" ht="12.75">
      <c r="A28" s="106" t="s">
        <v>1229</v>
      </c>
      <c r="B28" s="102" t="s">
        <v>1407</v>
      </c>
      <c r="C28" s="102">
        <f>IF(CSL,0,INDEX(ExtNO_PD_Base_Rate,,1))</f>
        <v>0</v>
      </c>
      <c r="D28" s="102">
        <f>IF(CSL,0,INDEX(ExtNO_PD_Base_Rate,,2))</f>
        <v>0</v>
      </c>
      <c r="E28" s="102">
        <f>IF(CSL,0,INDEX(ExtNO_PD_Base_Rate,,3))</f>
        <v>0</v>
      </c>
      <c r="F28" s="102">
        <f>IF(CSL,0,INDEX(ExtNO_PD_Base_Rate,,4))</f>
        <v>0</v>
      </c>
      <c r="G28" s="102">
        <f>IF(CSL,0,INDEX(ExtNO_PD_Base_Rate,,5))</f>
        <v>0</v>
      </c>
      <c r="H28" s="102">
        <f>IF(CSL,0,INDEX(ExtNO_PD_Base_Rate,,6))</f>
        <v>0</v>
      </c>
      <c r="I28" s="1"/>
    </row>
    <row r="29" spans="1:9" ht="12.75">
      <c r="A29" s="106" t="s">
        <v>1280</v>
      </c>
      <c r="B29" s="102" t="s">
        <v>1408</v>
      </c>
      <c r="C29" s="102">
        <f>IF(CSL,0,INDEX(PD_Base_rate,,1))</f>
        <v>0</v>
      </c>
      <c r="D29" s="102">
        <f>IF(CSL,0,INDEX(PD_Base_rate,,2))</f>
        <v>0</v>
      </c>
      <c r="E29" s="102">
        <f>IF(CSL,0,INDEX(PD_Base_rate,,3))</f>
        <v>0</v>
      </c>
      <c r="F29" s="102">
        <f>IF(CSL,0,INDEX(PD_Base_rate,,4))</f>
        <v>0</v>
      </c>
      <c r="G29" s="102">
        <f>IF(CSL,0,INDEX(PD_Base_rate,,5))</f>
        <v>0</v>
      </c>
      <c r="H29" s="102">
        <f>IF(CSL,0,INDEX(PD_Base_rate,,6))</f>
        <v>0</v>
      </c>
      <c r="I29" s="1"/>
    </row>
    <row r="30" spans="1:9" ht="12.75">
      <c r="A30" s="106" t="s">
        <v>1281</v>
      </c>
      <c r="B30" s="102" t="s">
        <v>1409</v>
      </c>
      <c r="C30" s="102">
        <f aca="true" t="shared" si="13" ref="C30:H30">SUM(C28:C29)</f>
        <v>0</v>
      </c>
      <c r="D30" s="102">
        <f t="shared" si="13"/>
        <v>0</v>
      </c>
      <c r="E30" s="102">
        <f t="shared" si="13"/>
        <v>0</v>
      </c>
      <c r="F30" s="102">
        <f t="shared" si="13"/>
        <v>0</v>
      </c>
      <c r="G30" s="102">
        <f t="shared" si="13"/>
        <v>0</v>
      </c>
      <c r="H30" s="102">
        <f t="shared" si="13"/>
        <v>0</v>
      </c>
      <c r="I30" s="1"/>
    </row>
    <row r="31" spans="1:9" ht="12.75">
      <c r="A31" s="106"/>
      <c r="B31" s="102"/>
      <c r="C31" s="102"/>
      <c r="D31" s="102"/>
      <c r="E31" s="102"/>
      <c r="F31" s="102"/>
      <c r="G31" s="102"/>
      <c r="H31" s="102"/>
      <c r="I31" s="1"/>
    </row>
    <row r="32" spans="1:9" s="102" customFormat="1" ht="12.75">
      <c r="A32" s="106" t="s">
        <v>1283</v>
      </c>
      <c r="B32" s="107" t="s">
        <v>1410</v>
      </c>
      <c r="C32" s="102">
        <f aca="true" t="shared" si="14" ref="C32:H32">(C30*Tier_Rating_Factor)</f>
        <v>0</v>
      </c>
      <c r="D32" s="102">
        <f t="shared" si="14"/>
        <v>0</v>
      </c>
      <c r="E32" s="102">
        <f t="shared" si="14"/>
        <v>0</v>
      </c>
      <c r="F32" s="102">
        <f t="shared" si="14"/>
        <v>0</v>
      </c>
      <c r="G32" s="102">
        <f t="shared" si="14"/>
        <v>0</v>
      </c>
      <c r="H32" s="102">
        <f t="shared" si="14"/>
        <v>0</v>
      </c>
      <c r="I32" s="1"/>
    </row>
    <row r="33" spans="1:9" s="102" customFormat="1" ht="12.75">
      <c r="A33" s="106"/>
      <c r="B33" s="107"/>
      <c r="I33" s="1"/>
    </row>
    <row r="34" spans="1:9" s="102" customFormat="1" ht="12.75">
      <c r="A34" s="106" t="s">
        <v>1231</v>
      </c>
      <c r="B34" s="102" t="s">
        <v>1411</v>
      </c>
      <c r="C34" s="102">
        <f>IF(CSL,0,INDEX(ExtNO_PD_Increased_Limits_Factor,,1))</f>
        <v>0</v>
      </c>
      <c r="D34" s="102">
        <f>IF(CSL,0,INDEX(ExtNO_PD_Increased_Limits_Factor,,2))</f>
        <v>0</v>
      </c>
      <c r="E34" s="102">
        <f>IF(CSL,0,INDEX(ExtNO_PD_Increased_Limits_Factor,,3))</f>
        <v>0</v>
      </c>
      <c r="F34" s="102">
        <f>IF(CSL,0,INDEX(ExtNO_PD_Increased_Limits_Factor,,4))</f>
        <v>0</v>
      </c>
      <c r="G34" s="102">
        <f>IF(CSL,0,INDEX(ExtNO_PD_Increased_Limits_Factor,,5))</f>
        <v>0</v>
      </c>
      <c r="H34" s="102">
        <f>IF(CSL,0,INDEX(ExtNO_PD_Increased_Limits_Factor,,6))</f>
        <v>0</v>
      </c>
      <c r="I34" s="1"/>
    </row>
    <row r="35" spans="2:9" s="102" customFormat="1" ht="12.75">
      <c r="B35" s="108" t="s">
        <v>1219</v>
      </c>
      <c r="C35" s="102">
        <f aca="true" t="shared" si="15" ref="C35:H35">(C32*C34)</f>
        <v>0</v>
      </c>
      <c r="D35" s="102">
        <f t="shared" si="15"/>
        <v>0</v>
      </c>
      <c r="E35" s="102">
        <f t="shared" si="15"/>
        <v>0</v>
      </c>
      <c r="F35" s="102">
        <f t="shared" si="15"/>
        <v>0</v>
      </c>
      <c r="G35" s="102">
        <f t="shared" si="15"/>
        <v>0</v>
      </c>
      <c r="H35" s="102">
        <f t="shared" si="15"/>
        <v>0</v>
      </c>
      <c r="I35" s="1"/>
    </row>
    <row r="36" spans="1:9" s="102" customFormat="1" ht="12.75">
      <c r="A36" s="106"/>
      <c r="B36" s="107"/>
      <c r="I36" s="1"/>
    </row>
    <row r="37" spans="1:9" ht="12.75">
      <c r="A37" s="106" t="s">
        <v>1412</v>
      </c>
      <c r="B37" s="102" t="s">
        <v>1413</v>
      </c>
      <c r="C37" s="102">
        <f aca="true" t="shared" si="16" ref="C37:H37">C35</f>
        <v>0</v>
      </c>
      <c r="D37" s="102">
        <f t="shared" si="16"/>
        <v>0</v>
      </c>
      <c r="E37" s="102">
        <f t="shared" si="16"/>
        <v>0</v>
      </c>
      <c r="F37" s="102">
        <f t="shared" si="16"/>
        <v>0</v>
      </c>
      <c r="G37" s="102">
        <f t="shared" si="16"/>
        <v>0</v>
      </c>
      <c r="H37" s="102">
        <f t="shared" si="16"/>
        <v>0</v>
      </c>
      <c r="I37" s="1"/>
    </row>
    <row r="38" spans="1:9" ht="12.75">
      <c r="A38" s="106"/>
      <c r="B38" s="102"/>
      <c r="C38" s="102"/>
      <c r="D38" s="102"/>
      <c r="E38" s="102"/>
      <c r="F38" s="102"/>
      <c r="G38" s="102"/>
      <c r="H38" s="102"/>
      <c r="I38" s="1"/>
    </row>
    <row r="39" spans="1:9" s="102" customFormat="1" ht="12.75">
      <c r="A39" s="106" t="s">
        <v>1414</v>
      </c>
      <c r="B39" s="102" t="s">
        <v>1255</v>
      </c>
      <c r="C39" s="102">
        <f aca="true" t="shared" si="17" ref="C39:H39">C37-(C37*Valued_Customer_Discount_Factor)</f>
        <v>0</v>
      </c>
      <c r="D39" s="102">
        <f t="shared" si="17"/>
        <v>0</v>
      </c>
      <c r="E39" s="102">
        <f t="shared" si="17"/>
        <v>0</v>
      </c>
      <c r="F39" s="102">
        <f t="shared" si="17"/>
        <v>0</v>
      </c>
      <c r="G39" s="102">
        <f t="shared" si="17"/>
        <v>0</v>
      </c>
      <c r="H39" s="102">
        <f t="shared" si="17"/>
        <v>0</v>
      </c>
      <c r="I39" s="1"/>
    </row>
    <row r="40" spans="1:9" s="102" customFormat="1" ht="12.75">
      <c r="A40" s="106"/>
      <c r="B40" s="102" t="s">
        <v>1327</v>
      </c>
      <c r="C40" s="102">
        <f aca="true" t="shared" si="18" ref="C40:H40">C39-(C39*Loss_Free_Credit_Factor)</f>
        <v>0</v>
      </c>
      <c r="D40" s="102">
        <f t="shared" si="18"/>
        <v>0</v>
      </c>
      <c r="E40" s="102">
        <f t="shared" si="18"/>
        <v>0</v>
      </c>
      <c r="F40" s="102">
        <f t="shared" si="18"/>
        <v>0</v>
      </c>
      <c r="G40" s="102">
        <f t="shared" si="18"/>
        <v>0</v>
      </c>
      <c r="H40" s="102">
        <f t="shared" si="18"/>
        <v>0</v>
      </c>
      <c r="I40" s="1"/>
    </row>
    <row r="41" spans="1:9" s="102" customFormat="1" ht="12.75">
      <c r="A41" s="106"/>
      <c r="B41" s="102" t="s">
        <v>1258</v>
      </c>
      <c r="C41" s="102">
        <f aca="true" t="shared" si="19" ref="C41:H41">C40-(C40*Fampak_Discount_Factor)</f>
        <v>0</v>
      </c>
      <c r="D41" s="102">
        <f t="shared" si="19"/>
        <v>0</v>
      </c>
      <c r="E41" s="102">
        <f t="shared" si="19"/>
        <v>0</v>
      </c>
      <c r="F41" s="102">
        <f t="shared" si="19"/>
        <v>0</v>
      </c>
      <c r="G41" s="102">
        <f t="shared" si="19"/>
        <v>0</v>
      </c>
      <c r="H41" s="102">
        <f t="shared" si="19"/>
        <v>0</v>
      </c>
      <c r="I41" s="1"/>
    </row>
    <row r="42" spans="1:9" s="102" customFormat="1" ht="12.75">
      <c r="A42" s="106"/>
      <c r="B42" s="112" t="s">
        <v>1259</v>
      </c>
      <c r="C42" s="102">
        <f aca="true" t="shared" si="20" ref="C42:H42">C41-(C41*Prime_Life_Discount_Factor)</f>
        <v>0</v>
      </c>
      <c r="D42" s="102">
        <f t="shared" si="20"/>
        <v>0</v>
      </c>
      <c r="E42" s="102">
        <f t="shared" si="20"/>
        <v>0</v>
      </c>
      <c r="F42" s="102">
        <f t="shared" si="20"/>
        <v>0</v>
      </c>
      <c r="G42" s="102">
        <f t="shared" si="20"/>
        <v>0</v>
      </c>
      <c r="H42" s="102">
        <f t="shared" si="20"/>
        <v>0</v>
      </c>
      <c r="I42" s="1"/>
    </row>
    <row r="43" spans="1:9" s="102" customFormat="1" ht="12.75">
      <c r="A43" s="106"/>
      <c r="B43" s="112" t="s">
        <v>1263</v>
      </c>
      <c r="C43" s="102">
        <f>C42-(C42*INDEX(Mass_Merchandise_Factor,,1))</f>
        <v>0</v>
      </c>
      <c r="D43" s="102">
        <f>D42-(D42*INDEX(Mass_Merchandise_Factor,,2))</f>
        <v>0</v>
      </c>
      <c r="E43" s="102">
        <f>E42-(E42*INDEX(Mass_Merchandise_Factor,,3))</f>
        <v>0</v>
      </c>
      <c r="F43" s="102">
        <f>F42-(F42*INDEX(Mass_Merchandise_Factor,,4))</f>
        <v>0</v>
      </c>
      <c r="G43" s="102">
        <f>G42-(G42*INDEX(Mass_Merchandise_Factor,,5))</f>
        <v>0</v>
      </c>
      <c r="H43" s="102">
        <f>H42-(H42*INDEX(Mass_Merchandise_Factor,,6))</f>
        <v>0</v>
      </c>
      <c r="I43" s="1"/>
    </row>
    <row r="44" spans="1:9" s="102" customFormat="1" ht="12.75">
      <c r="A44" s="106"/>
      <c r="B44" s="112" t="s">
        <v>1264</v>
      </c>
      <c r="C44" s="102">
        <f aca="true" t="shared" si="21" ref="C44:H44">C43-(C43*IN_Standard_Agent_Commission_Factor)</f>
        <v>0</v>
      </c>
      <c r="D44" s="102">
        <f t="shared" si="21"/>
        <v>0</v>
      </c>
      <c r="E44" s="102">
        <f t="shared" si="21"/>
        <v>0</v>
      </c>
      <c r="F44" s="102">
        <f t="shared" si="21"/>
        <v>0</v>
      </c>
      <c r="G44" s="102">
        <f t="shared" si="21"/>
        <v>0</v>
      </c>
      <c r="H44" s="102">
        <f t="shared" si="21"/>
        <v>0</v>
      </c>
      <c r="I44" s="1"/>
    </row>
    <row r="45" spans="1:9" s="102" customFormat="1" ht="12.75">
      <c r="A45" s="106" t="s">
        <v>1415</v>
      </c>
      <c r="B45" s="112" t="s">
        <v>1266</v>
      </c>
      <c r="C45" s="102">
        <f aca="true" t="shared" si="22" ref="C45:H45">C44</f>
        <v>0</v>
      </c>
      <c r="D45" s="102">
        <f t="shared" si="22"/>
        <v>0</v>
      </c>
      <c r="E45" s="102">
        <f t="shared" si="22"/>
        <v>0</v>
      </c>
      <c r="F45" s="102">
        <f t="shared" si="22"/>
        <v>0</v>
      </c>
      <c r="G45" s="102">
        <f t="shared" si="22"/>
        <v>0</v>
      </c>
      <c r="H45" s="102">
        <f t="shared" si="22"/>
        <v>0</v>
      </c>
      <c r="I45" s="1"/>
    </row>
    <row r="46" spans="1:9" s="102" customFormat="1" ht="12.75">
      <c r="A46" s="106"/>
      <c r="B46" s="112"/>
      <c r="I46" s="1"/>
    </row>
    <row r="47" spans="1:9" ht="12.75">
      <c r="A47" s="106" t="s">
        <v>1416</v>
      </c>
      <c r="B47" s="102" t="s">
        <v>860</v>
      </c>
      <c r="C47" s="102">
        <f aca="true" t="shared" si="23" ref="C47:H47">Policy_Period_Factor</f>
        <v>0</v>
      </c>
      <c r="D47" s="102">
        <f t="shared" si="23"/>
        <v>0</v>
      </c>
      <c r="E47" s="102">
        <f t="shared" si="23"/>
        <v>0</v>
      </c>
      <c r="F47" s="102">
        <f t="shared" si="23"/>
        <v>0</v>
      </c>
      <c r="G47" s="102">
        <f t="shared" si="23"/>
        <v>0</v>
      </c>
      <c r="H47" s="102">
        <f t="shared" si="23"/>
        <v>0</v>
      </c>
      <c r="I47" s="1"/>
    </row>
    <row r="48" spans="1:9" s="102" customFormat="1" ht="12.75">
      <c r="A48" s="106"/>
      <c r="B48" s="102" t="s">
        <v>1261</v>
      </c>
      <c r="C48" s="102">
        <f aca="true" t="shared" si="24" ref="C48:H48">IF(Insured_State="PA",IF(CSL,1,Tort_Factor_PD),1)</f>
        <v>1</v>
      </c>
      <c r="D48" s="102">
        <f t="shared" si="24"/>
        <v>1</v>
      </c>
      <c r="E48" s="102">
        <f t="shared" si="24"/>
        <v>1</v>
      </c>
      <c r="F48" s="102">
        <f t="shared" si="24"/>
        <v>1</v>
      </c>
      <c r="G48" s="102">
        <f t="shared" si="24"/>
        <v>1</v>
      </c>
      <c r="H48" s="102">
        <f t="shared" si="24"/>
        <v>1</v>
      </c>
      <c r="I48" s="1"/>
    </row>
    <row r="49" spans="1:9" ht="12.75">
      <c r="A49" s="106" t="s">
        <v>1417</v>
      </c>
      <c r="B49" s="102" t="s">
        <v>1418</v>
      </c>
      <c r="C49" s="102">
        <f aca="true" t="shared" si="25" ref="C49:H49">C45*C47*C48</f>
        <v>0</v>
      </c>
      <c r="D49" s="102">
        <f t="shared" si="25"/>
        <v>0</v>
      </c>
      <c r="E49" s="102">
        <f t="shared" si="25"/>
        <v>0</v>
      </c>
      <c r="F49" s="102">
        <f t="shared" si="25"/>
        <v>0</v>
      </c>
      <c r="G49" s="102">
        <f t="shared" si="25"/>
        <v>0</v>
      </c>
      <c r="H49" s="102">
        <f t="shared" si="25"/>
        <v>0</v>
      </c>
      <c r="I49" s="1"/>
    </row>
    <row r="50" spans="1:9" ht="12.75">
      <c r="A50" s="106"/>
      <c r="B50" s="102"/>
      <c r="C50" s="102"/>
      <c r="D50" s="102"/>
      <c r="E50" s="102"/>
      <c r="F50" s="102"/>
      <c r="G50" s="102"/>
      <c r="H50" s="102"/>
      <c r="I50" s="1"/>
    </row>
    <row r="51" spans="1:9" ht="12.75">
      <c r="A51" s="106" t="s">
        <v>1236</v>
      </c>
      <c r="B51" s="102" t="s">
        <v>701</v>
      </c>
      <c r="C51" s="102">
        <f>INDEX(ExtNO_Medical_Base_Rate,,1)</f>
        <v>0</v>
      </c>
      <c r="D51" s="102">
        <f>INDEX(ExtNO_Medical_Base_Rate,,2)</f>
        <v>0</v>
      </c>
      <c r="E51" s="102">
        <f>INDEX(ExtNO_Medical_Base_Rate,,3)</f>
        <v>0</v>
      </c>
      <c r="F51" s="102">
        <f>INDEX(ExtNO_Medical_Base_Rate,,4)</f>
        <v>0</v>
      </c>
      <c r="G51" s="102">
        <f>INDEX(ExtNO_Medical_Base_Rate,,5)</f>
        <v>0</v>
      </c>
      <c r="H51" s="102">
        <f>INDEX(ExtNO_Medical_Base_Rate,,6)</f>
        <v>0</v>
      </c>
      <c r="I51" s="1"/>
    </row>
    <row r="52" spans="1:9" ht="12.75">
      <c r="A52" s="106" t="s">
        <v>1419</v>
      </c>
      <c r="B52" s="102" t="s">
        <v>1420</v>
      </c>
      <c r="C52" s="102">
        <f>INDEX(Medical_Base_Rate,,1)</f>
        <v>0</v>
      </c>
      <c r="D52" s="102">
        <f>INDEX(Medical_Base_Rate,,2)</f>
        <v>0</v>
      </c>
      <c r="E52" s="102">
        <f>INDEX(Medical_Base_Rate,,3)</f>
        <v>0</v>
      </c>
      <c r="F52" s="102">
        <f>INDEX(Medical_Base_Rate,,4)</f>
        <v>0</v>
      </c>
      <c r="G52" s="102">
        <f>INDEX(Medical_Base_Rate,,5)</f>
        <v>0</v>
      </c>
      <c r="H52" s="102">
        <f>INDEX(Medical_Base_Rate,,6)</f>
        <v>0</v>
      </c>
      <c r="I52" s="1"/>
    </row>
    <row r="53" spans="1:9" ht="12.75">
      <c r="A53" s="106" t="s">
        <v>1421</v>
      </c>
      <c r="B53" s="102" t="s">
        <v>1422</v>
      </c>
      <c r="C53" s="102">
        <f aca="true" t="shared" si="26" ref="C53:H53">SUM(C51:C52)</f>
        <v>0</v>
      </c>
      <c r="D53" s="102">
        <f t="shared" si="26"/>
        <v>0</v>
      </c>
      <c r="E53" s="102">
        <f t="shared" si="26"/>
        <v>0</v>
      </c>
      <c r="F53" s="102">
        <f t="shared" si="26"/>
        <v>0</v>
      </c>
      <c r="G53" s="102">
        <f t="shared" si="26"/>
        <v>0</v>
      </c>
      <c r="H53" s="102">
        <f t="shared" si="26"/>
        <v>0</v>
      </c>
      <c r="I53" s="1"/>
    </row>
    <row r="54" spans="1:9" ht="12.75">
      <c r="A54" s="106"/>
      <c r="B54" s="102"/>
      <c r="C54" s="102"/>
      <c r="D54" s="102"/>
      <c r="E54" s="102"/>
      <c r="F54" s="102"/>
      <c r="G54" s="102"/>
      <c r="H54" s="102"/>
      <c r="I54" s="1"/>
    </row>
    <row r="55" spans="1:9" s="102" customFormat="1" ht="12.75">
      <c r="A55" s="106" t="s">
        <v>1423</v>
      </c>
      <c r="B55" s="107" t="s">
        <v>1424</v>
      </c>
      <c r="C55" s="102">
        <f aca="true" t="shared" si="27" ref="C55:H55">(C53*Tier_Rating_Factor)</f>
        <v>0</v>
      </c>
      <c r="D55" s="102">
        <f t="shared" si="27"/>
        <v>0</v>
      </c>
      <c r="E55" s="102">
        <f t="shared" si="27"/>
        <v>0</v>
      </c>
      <c r="F55" s="102">
        <f t="shared" si="27"/>
        <v>0</v>
      </c>
      <c r="G55" s="102">
        <f t="shared" si="27"/>
        <v>0</v>
      </c>
      <c r="H55" s="102">
        <f t="shared" si="27"/>
        <v>0</v>
      </c>
      <c r="I55" s="1"/>
    </row>
    <row r="56" spans="1:9" s="102" customFormat="1" ht="12.75">
      <c r="A56" s="106"/>
      <c r="B56" s="107"/>
      <c r="I56" s="1"/>
    </row>
    <row r="57" spans="1:63" s="117" customFormat="1" ht="12.75" customHeight="1">
      <c r="A57" s="106" t="s">
        <v>1238</v>
      </c>
      <c r="B57" s="102" t="s">
        <v>1425</v>
      </c>
      <c r="C57" s="102">
        <f>INDEX(ExtNO_Medical_Increased_Limits_Factor,1,1)</f>
        <v>0</v>
      </c>
      <c r="D57" s="102">
        <f>INDEX(ExtNO_Medical_Increased_Limits_Factor,1,2)</f>
        <v>0</v>
      </c>
      <c r="E57" s="102">
        <f>INDEX(ExtNO_Medical_Increased_Limits_Factor,1,3)</f>
        <v>0</v>
      </c>
      <c r="F57" s="102">
        <f>INDEX(ExtNO_Medical_Increased_Limits_Factor,1,4)</f>
        <v>0</v>
      </c>
      <c r="G57" s="102">
        <f>INDEX(ExtNO_Medical_Increased_Limits_Factor,1,5)</f>
        <v>0</v>
      </c>
      <c r="H57" s="102">
        <f>INDEX(ExtNO_Medical_Increased_Limits_Factor,1,6)</f>
        <v>0</v>
      </c>
      <c r="I57" s="1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  <c r="AR57" s="47"/>
      <c r="AS57" s="47"/>
      <c r="AT57" s="47"/>
      <c r="AU57" s="47"/>
      <c r="AV57" s="47"/>
      <c r="AW57" s="47"/>
      <c r="AX57" s="47"/>
      <c r="AY57" s="47"/>
      <c r="AZ57" s="47"/>
      <c r="BA57" s="47"/>
      <c r="BB57" s="47"/>
      <c r="BC57" s="47"/>
      <c r="BD57" s="47"/>
      <c r="BE57" s="47"/>
      <c r="BF57" s="47"/>
      <c r="BG57" s="47"/>
      <c r="BH57" s="47"/>
      <c r="BI57" s="47"/>
      <c r="BJ57" s="47"/>
      <c r="BK57" s="47"/>
    </row>
    <row r="58" spans="1:63" s="117" customFormat="1" ht="12.75">
      <c r="A58" s="102"/>
      <c r="B58" s="108" t="s">
        <v>1219</v>
      </c>
      <c r="C58" s="102">
        <f aca="true" t="shared" si="28" ref="C58:H58">(C55*C57)</f>
        <v>0</v>
      </c>
      <c r="D58" s="102">
        <f t="shared" si="28"/>
        <v>0</v>
      </c>
      <c r="E58" s="102">
        <f t="shared" si="28"/>
        <v>0</v>
      </c>
      <c r="F58" s="102">
        <f t="shared" si="28"/>
        <v>0</v>
      </c>
      <c r="G58" s="102">
        <f t="shared" si="28"/>
        <v>0</v>
      </c>
      <c r="H58" s="102">
        <f t="shared" si="28"/>
        <v>0</v>
      </c>
      <c r="I58" s="1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47"/>
      <c r="AS58" s="47"/>
      <c r="AT58" s="47"/>
      <c r="AU58" s="47"/>
      <c r="AV58" s="47"/>
      <c r="AW58" s="47"/>
      <c r="AX58" s="47"/>
      <c r="AY58" s="47"/>
      <c r="AZ58" s="47"/>
      <c r="BA58" s="47"/>
      <c r="BB58" s="47"/>
      <c r="BC58" s="47"/>
      <c r="BD58" s="47"/>
      <c r="BE58" s="47"/>
      <c r="BF58" s="47"/>
      <c r="BG58" s="47"/>
      <c r="BH58" s="47"/>
      <c r="BI58" s="47"/>
      <c r="BJ58" s="47"/>
      <c r="BK58" s="47"/>
    </row>
    <row r="59" spans="1:9" s="102" customFormat="1" ht="12.75">
      <c r="A59" s="106"/>
      <c r="B59" s="107"/>
      <c r="I59" s="1"/>
    </row>
    <row r="60" spans="1:9" ht="12.75">
      <c r="A60" s="106" t="s">
        <v>1426</v>
      </c>
      <c r="B60" s="102" t="s">
        <v>1427</v>
      </c>
      <c r="C60" s="102">
        <f aca="true" t="shared" si="29" ref="C60:H60">C58</f>
        <v>0</v>
      </c>
      <c r="D60" s="102">
        <f t="shared" si="29"/>
        <v>0</v>
      </c>
      <c r="E60" s="102">
        <f t="shared" si="29"/>
        <v>0</v>
      </c>
      <c r="F60" s="102">
        <f t="shared" si="29"/>
        <v>0</v>
      </c>
      <c r="G60" s="102">
        <f t="shared" si="29"/>
        <v>0</v>
      </c>
      <c r="H60" s="102">
        <f t="shared" si="29"/>
        <v>0</v>
      </c>
      <c r="I60" s="1"/>
    </row>
    <row r="61" spans="1:9" ht="12.75">
      <c r="A61" s="106"/>
      <c r="B61" s="102"/>
      <c r="C61" s="102"/>
      <c r="D61" s="102"/>
      <c r="E61" s="102"/>
      <c r="F61" s="102"/>
      <c r="G61" s="102"/>
      <c r="H61" s="102"/>
      <c r="I61" s="1"/>
    </row>
    <row r="62" spans="1:9" s="102" customFormat="1" ht="12.75">
      <c r="A62" s="106" t="s">
        <v>1428</v>
      </c>
      <c r="B62" s="102" t="s">
        <v>1255</v>
      </c>
      <c r="C62" s="102">
        <f aca="true" t="shared" si="30" ref="C62:H62">C60-(C60*Valued_Customer_Discount_Factor)</f>
        <v>0</v>
      </c>
      <c r="D62" s="102">
        <f t="shared" si="30"/>
        <v>0</v>
      </c>
      <c r="E62" s="102">
        <f t="shared" si="30"/>
        <v>0</v>
      </c>
      <c r="F62" s="102">
        <f t="shared" si="30"/>
        <v>0</v>
      </c>
      <c r="G62" s="102">
        <f t="shared" si="30"/>
        <v>0</v>
      </c>
      <c r="H62" s="102">
        <f t="shared" si="30"/>
        <v>0</v>
      </c>
      <c r="I62" s="1"/>
    </row>
    <row r="63" spans="1:9" s="102" customFormat="1" ht="12.75">
      <c r="A63" s="106"/>
      <c r="B63" s="102" t="s">
        <v>1327</v>
      </c>
      <c r="C63" s="102">
        <f aca="true" t="shared" si="31" ref="C63:H63">C62-(C62*Loss_Free_Credit_Factor)</f>
        <v>0</v>
      </c>
      <c r="D63" s="102">
        <f t="shared" si="31"/>
        <v>0</v>
      </c>
      <c r="E63" s="102">
        <f t="shared" si="31"/>
        <v>0</v>
      </c>
      <c r="F63" s="102">
        <f t="shared" si="31"/>
        <v>0</v>
      </c>
      <c r="G63" s="102">
        <f t="shared" si="31"/>
        <v>0</v>
      </c>
      <c r="H63" s="102">
        <f t="shared" si="31"/>
        <v>0</v>
      </c>
      <c r="I63" s="1"/>
    </row>
    <row r="64" spans="1:9" s="102" customFormat="1" ht="12.75">
      <c r="A64" s="106"/>
      <c r="B64" s="102" t="s">
        <v>1258</v>
      </c>
      <c r="C64" s="102">
        <f aca="true" t="shared" si="32" ref="C64:H64">C63-(C63*Fampak_Discount_Factor)</f>
        <v>0</v>
      </c>
      <c r="D64" s="102">
        <f t="shared" si="32"/>
        <v>0</v>
      </c>
      <c r="E64" s="102">
        <f t="shared" si="32"/>
        <v>0</v>
      </c>
      <c r="F64" s="102">
        <f t="shared" si="32"/>
        <v>0</v>
      </c>
      <c r="G64" s="102">
        <f t="shared" si="32"/>
        <v>0</v>
      </c>
      <c r="H64" s="102">
        <f t="shared" si="32"/>
        <v>0</v>
      </c>
      <c r="I64" s="1"/>
    </row>
    <row r="65" spans="1:9" s="102" customFormat="1" ht="12.75">
      <c r="A65" s="106"/>
      <c r="B65" s="112" t="s">
        <v>1259</v>
      </c>
      <c r="C65" s="102">
        <f aca="true" t="shared" si="33" ref="C65:H65">C64-(C64*Prime_Life_Discount_Factor)</f>
        <v>0</v>
      </c>
      <c r="D65" s="102">
        <f t="shared" si="33"/>
        <v>0</v>
      </c>
      <c r="E65" s="102">
        <f t="shared" si="33"/>
        <v>0</v>
      </c>
      <c r="F65" s="102">
        <f t="shared" si="33"/>
        <v>0</v>
      </c>
      <c r="G65" s="102">
        <f t="shared" si="33"/>
        <v>0</v>
      </c>
      <c r="H65" s="102">
        <f t="shared" si="33"/>
        <v>0</v>
      </c>
      <c r="I65" s="1"/>
    </row>
    <row r="66" spans="1:9" s="102" customFormat="1" ht="12.75">
      <c r="A66" s="106"/>
      <c r="B66" s="112" t="s">
        <v>1263</v>
      </c>
      <c r="C66" s="102">
        <f>C65-(C65*INDEX(Mass_Merchandise_Factor,,1))</f>
        <v>0</v>
      </c>
      <c r="D66" s="102">
        <f>D65-(D65*INDEX(Mass_Merchandise_Factor,,2))</f>
        <v>0</v>
      </c>
      <c r="E66" s="102">
        <f>E65-(E65*INDEX(Mass_Merchandise_Factor,,3))</f>
        <v>0</v>
      </c>
      <c r="F66" s="102">
        <f>F65-(F65*INDEX(Mass_Merchandise_Factor,,4))</f>
        <v>0</v>
      </c>
      <c r="G66" s="102">
        <f>G65-(G65*INDEX(Mass_Merchandise_Factor,,5))</f>
        <v>0</v>
      </c>
      <c r="H66" s="102">
        <f>H65-(H65*INDEX(Mass_Merchandise_Factor,,6))</f>
        <v>0</v>
      </c>
      <c r="I66" s="1"/>
    </row>
    <row r="67" spans="1:9" s="102" customFormat="1" ht="12.75">
      <c r="A67" s="106"/>
      <c r="B67" s="112" t="s">
        <v>1264</v>
      </c>
      <c r="C67" s="102">
        <f aca="true" t="shared" si="34" ref="C67:H67">C66-(C66*IN_Standard_Agent_Commission_Factor)</f>
        <v>0</v>
      </c>
      <c r="D67" s="102">
        <f t="shared" si="34"/>
        <v>0</v>
      </c>
      <c r="E67" s="102">
        <f t="shared" si="34"/>
        <v>0</v>
      </c>
      <c r="F67" s="102">
        <f t="shared" si="34"/>
        <v>0</v>
      </c>
      <c r="G67" s="102">
        <f t="shared" si="34"/>
        <v>0</v>
      </c>
      <c r="H67" s="102">
        <f t="shared" si="34"/>
        <v>0</v>
      </c>
      <c r="I67" s="1"/>
    </row>
    <row r="68" spans="1:9" s="102" customFormat="1" ht="12.75">
      <c r="A68" s="106"/>
      <c r="B68" s="112"/>
      <c r="I68" s="1"/>
    </row>
    <row r="69" spans="1:9" s="102" customFormat="1" ht="12.75">
      <c r="A69" s="106" t="s">
        <v>1429</v>
      </c>
      <c r="B69" s="112" t="s">
        <v>1266</v>
      </c>
      <c r="C69" s="102">
        <f aca="true" t="shared" si="35" ref="C69:H69">C67</f>
        <v>0</v>
      </c>
      <c r="D69" s="102">
        <f t="shared" si="35"/>
        <v>0</v>
      </c>
      <c r="E69" s="102">
        <f t="shared" si="35"/>
        <v>0</v>
      </c>
      <c r="F69" s="102">
        <f t="shared" si="35"/>
        <v>0</v>
      </c>
      <c r="G69" s="102">
        <f t="shared" si="35"/>
        <v>0</v>
      </c>
      <c r="H69" s="102">
        <f t="shared" si="35"/>
        <v>0</v>
      </c>
      <c r="I69" s="1"/>
    </row>
    <row r="70" spans="1:9" s="102" customFormat="1" ht="12.75">
      <c r="A70" s="106" t="s">
        <v>1243</v>
      </c>
      <c r="B70" s="107" t="s">
        <v>1430</v>
      </c>
      <c r="C70" s="102">
        <f aca="true" t="shared" si="36" ref="C70:H70">C24*C25*C69</f>
        <v>0</v>
      </c>
      <c r="D70" s="102">
        <f t="shared" si="36"/>
        <v>0</v>
      </c>
      <c r="E70" s="102">
        <f t="shared" si="36"/>
        <v>0</v>
      </c>
      <c r="F70" s="102">
        <f t="shared" si="36"/>
        <v>0</v>
      </c>
      <c r="G70" s="102">
        <f t="shared" si="36"/>
        <v>0</v>
      </c>
      <c r="H70" s="102">
        <f t="shared" si="36"/>
        <v>0</v>
      </c>
      <c r="I70" s="1"/>
    </row>
    <row r="71" spans="1:9" s="102" customFormat="1" ht="12.75">
      <c r="A71" s="106"/>
      <c r="B71" s="107"/>
      <c r="I71" s="1"/>
    </row>
    <row r="72" spans="1:9" s="102" customFormat="1" ht="12.75">
      <c r="A72" s="106"/>
      <c r="B72" s="102" t="s">
        <v>1431</v>
      </c>
      <c r="C72" s="102">
        <f>IF(AND(INDEX(Extended_Non_owned_Liability_Coverage,,1)="Y",INDEX(Primary_Liability_for_Furnished_Automobile_for_Vehicle,,1)="Y"),1,0)</f>
        <v>0</v>
      </c>
      <c r="D72" s="102">
        <f>IF(AND(INDEX(Extended_Non_owned_Liability_Coverage,,2)="Y",INDEX(Primary_Liability_for_Furnished_Automobile_for_Vehicle,,2)="Y"),1,0)</f>
        <v>0</v>
      </c>
      <c r="E72" s="102">
        <f>IF(AND(INDEX(Extended_Non_owned_Liability_Coverage,,3)="Y",INDEX(Primary_Liability_for_Furnished_Automobile_for_Vehicle,,3)="Y"),1,0)</f>
        <v>0</v>
      </c>
      <c r="F72" s="102">
        <f>IF(AND(INDEX(Extended_Non_owned_Liability_Coverage,,4)="Y",INDEX(Primary_Liability_for_Furnished_Automobile_for_Vehicle,,4)="Y"),1,0)</f>
        <v>0</v>
      </c>
      <c r="G72" s="102">
        <f>IF(AND(INDEX(Extended_Non_owned_Liability_Coverage,,5)="Y",INDEX(Primary_Liability_for_Furnished_Automobile_for_Vehicle,,5)="Y"),1,0)</f>
        <v>0</v>
      </c>
      <c r="H72" s="102">
        <f>IF(AND(INDEX(Extended_Non_owned_Liability_Coverage,,6)="Y",INDEX(Primary_Liability_for_Furnished_Automobile_for_Vehicle,,6)="Y"),1,0)</f>
        <v>0</v>
      </c>
      <c r="I72" s="1"/>
    </row>
    <row r="73" spans="1:9" s="102" customFormat="1" ht="12.75">
      <c r="A73" s="106"/>
      <c r="B73" s="102" t="s">
        <v>1432</v>
      </c>
      <c r="C73" s="102">
        <f>IF(AND(INDEX(Extended_Non_owned_Property_Damage_Coverage,,1)="Y",INDEX(Primary_Liability_for_Furnished_Automobile_for_Vehicle,,1)="Y"),1,0)</f>
        <v>0</v>
      </c>
      <c r="D73" s="102">
        <f>IF(AND(INDEX(Extended_Non_owned_Property_Damage_Coverage,,2)="Y",INDEX(Primary_Liability_for_Furnished_Automobile_for_Vehicle,,2)="Y"),1,0)</f>
        <v>0</v>
      </c>
      <c r="E73" s="102">
        <f>IF(AND(INDEX(Extended_Non_owned_Property_Damage_Coverage,,3)="Y",INDEX(Primary_Liability_for_Furnished_Automobile_for_Vehicle,,3)="Y"),1,0)</f>
        <v>0</v>
      </c>
      <c r="F73" s="102">
        <f>IF(AND(INDEX(Extended_Non_owned_Property_Damage_Coverage,,4)="Y",INDEX(Primary_Liability_for_Furnished_Automobile_for_Vehicle,,4)="Y"),1,0)</f>
        <v>0</v>
      </c>
      <c r="G73" s="102">
        <f>IF(AND(INDEX(Extended_Non_owned_Property_Damage_Coverage,,5)="Y",INDEX(Primary_Liability_for_Furnished_Automobile_for_Vehicle,,5)="Y"),1,0)</f>
        <v>0</v>
      </c>
      <c r="H73" s="102">
        <f>IF(AND(INDEX(Extended_Non_owned_Property_Damage_Coverage,,6)="Y",INDEX(Primary_Liability_for_Furnished_Automobile_for_Vehicle,,6)="Y"),1,0)</f>
        <v>0</v>
      </c>
      <c r="I73" s="1"/>
    </row>
    <row r="74" spans="1:9" s="102" customFormat="1" ht="12.75">
      <c r="A74" s="106"/>
      <c r="B74" s="102" t="s">
        <v>1433</v>
      </c>
      <c r="C74" s="102">
        <f>IF(INDEX(Extended_Non_owned_Medical_Payments_Coverage,,1)&lt;&gt;"",1,0)</f>
        <v>0</v>
      </c>
      <c r="D74" s="102">
        <f>IF(INDEX(Extended_Non_owned_Medical_Payments_Coverage,,2)&lt;&gt;"",1,0)</f>
        <v>0</v>
      </c>
      <c r="E74" s="102">
        <f>IF(INDEX(Extended_Non_owned_Medical_Payments_Coverage,,3)&lt;&gt;"",1,0)</f>
        <v>0</v>
      </c>
      <c r="F74" s="102">
        <f>IF(INDEX(Extended_Non_owned_Medical_Payments_Coverage,,4)&lt;&gt;"",1,0)</f>
        <v>0</v>
      </c>
      <c r="G74" s="102">
        <f>IF(INDEX(Extended_Non_owned_Medical_Payments_Coverage,,5)&lt;&gt;"",1,0)</f>
        <v>0</v>
      </c>
      <c r="H74" s="102">
        <f>IF(INDEX(Extended_Non_owned_Medical_Payments_Coverage,,6)&lt;&gt;"",1,0)</f>
        <v>0</v>
      </c>
      <c r="I74" s="1"/>
    </row>
    <row r="75" spans="1:9" s="102" customFormat="1" ht="12.75">
      <c r="A75" s="106"/>
      <c r="B75" s="102" t="s">
        <v>1434</v>
      </c>
      <c r="C75" s="102">
        <f>IF(INDEX(Extended_Non_owned_COMP_Coverage,,1)&lt;&gt;"",1,0)</f>
        <v>0</v>
      </c>
      <c r="D75" s="102">
        <f>IF(INDEX(Extended_Non_owned_COMP_Coverage,,2)&lt;&gt;"",1,0)</f>
        <v>0</v>
      </c>
      <c r="E75" s="102">
        <f>IF(INDEX(Extended_Non_owned_COMP_Coverage,,3)&lt;&gt;"",1,0)</f>
        <v>0</v>
      </c>
      <c r="F75" s="102">
        <f>IF(INDEX(Extended_Non_owned_COMP_Coverage,,4)&lt;&gt;"",1,0)</f>
        <v>0</v>
      </c>
      <c r="G75" s="102">
        <f>IF(INDEX(Extended_Non_owned_COMP_Coverage,,5)&lt;&gt;"",1,0)</f>
        <v>0</v>
      </c>
      <c r="H75" s="102">
        <f>IF(INDEX(Extended_Non_owned_COMP_Coverage,,6)&lt;&gt;"",1,0)</f>
        <v>0</v>
      </c>
      <c r="I75" s="1"/>
    </row>
    <row r="76" spans="1:9" s="102" customFormat="1" ht="12.75">
      <c r="A76" s="106"/>
      <c r="B76" s="102" t="s">
        <v>1435</v>
      </c>
      <c r="C76" s="102">
        <f>IF(INDEX(Extended_Non_owned_COLL_Coverage,,1)&lt;&gt;"",1,0)</f>
        <v>0</v>
      </c>
      <c r="D76" s="102">
        <f>IF(INDEX(Extended_Non_owned_COLL_Coverage,,2)&lt;&gt;"",1,0)</f>
        <v>0</v>
      </c>
      <c r="E76" s="102">
        <f>IF(INDEX(Extended_Non_owned_COLL_Coverage,,3)&lt;&gt;"",1,0)</f>
        <v>0</v>
      </c>
      <c r="F76" s="102">
        <f>IF(INDEX(Extended_Non_owned_COLL_Coverage,,4)&lt;&gt;"",1,0)</f>
        <v>0</v>
      </c>
      <c r="G76" s="102">
        <f>IF(INDEX(Extended_Non_owned_COLL_Coverage,,5)&lt;&gt;"",1,0)</f>
        <v>0</v>
      </c>
      <c r="H76" s="102">
        <f>IF(INDEX(Extended_Non_owned_COLL_Coverage,,6)&lt;&gt;"",1,0)</f>
        <v>0</v>
      </c>
      <c r="I76" s="1"/>
    </row>
    <row r="77" spans="1:9" s="102" customFormat="1" ht="12.75">
      <c r="A77" s="106"/>
      <c r="I77" s="1"/>
    </row>
    <row r="78" spans="2:9" ht="12.75">
      <c r="B78" s="102" t="s">
        <v>1436</v>
      </c>
      <c r="C78" s="112">
        <f aca="true" t="shared" si="37" ref="C78:H78">IF(OR(ISERROR(C26),C26&lt;=0,C72=0),0,C26)</f>
        <v>0</v>
      </c>
      <c r="D78" s="112">
        <f t="shared" si="37"/>
        <v>0</v>
      </c>
      <c r="E78" s="112">
        <f t="shared" si="37"/>
        <v>0</v>
      </c>
      <c r="F78" s="112">
        <f t="shared" si="37"/>
        <v>0</v>
      </c>
      <c r="G78" s="112">
        <f t="shared" si="37"/>
        <v>0</v>
      </c>
      <c r="H78" s="112">
        <f t="shared" si="37"/>
        <v>0</v>
      </c>
      <c r="I78" s="1"/>
    </row>
    <row r="79" spans="1:9" ht="12.75">
      <c r="A79" s="106"/>
      <c r="B79" s="102" t="s">
        <v>1437</v>
      </c>
      <c r="C79" s="112">
        <f aca="true" t="shared" si="38" ref="C79:H79">IF(OR(ISERROR(C49),C49&lt;=0,C73=0),0,C49)</f>
        <v>0</v>
      </c>
      <c r="D79" s="112">
        <f t="shared" si="38"/>
        <v>0</v>
      </c>
      <c r="E79" s="112">
        <f t="shared" si="38"/>
        <v>0</v>
      </c>
      <c r="F79" s="112">
        <f t="shared" si="38"/>
        <v>0</v>
      </c>
      <c r="G79" s="112">
        <f t="shared" si="38"/>
        <v>0</v>
      </c>
      <c r="H79" s="112">
        <f t="shared" si="38"/>
        <v>0</v>
      </c>
      <c r="I79" s="1"/>
    </row>
    <row r="80" spans="1:9" ht="12.75">
      <c r="A80" s="106"/>
      <c r="B80" s="102" t="s">
        <v>1438</v>
      </c>
      <c r="C80" s="112">
        <f aca="true" t="shared" si="39" ref="C80:H80">IF(OR(ISERROR(C70),C70&lt;=0,C74=0),0,C70)</f>
        <v>0</v>
      </c>
      <c r="D80" s="112">
        <f t="shared" si="39"/>
        <v>0</v>
      </c>
      <c r="E80" s="112">
        <f t="shared" si="39"/>
        <v>0</v>
      </c>
      <c r="F80" s="112">
        <f t="shared" si="39"/>
        <v>0</v>
      </c>
      <c r="G80" s="112">
        <f t="shared" si="39"/>
        <v>0</v>
      </c>
      <c r="H80" s="112">
        <f t="shared" si="39"/>
        <v>0</v>
      </c>
      <c r="I80" s="1"/>
    </row>
    <row r="81" spans="1:9" ht="12.75">
      <c r="A81" s="106"/>
      <c r="B81" s="102" t="s">
        <v>1439</v>
      </c>
      <c r="C81" s="112" t="e">
        <f>IF(OR(ISERROR(INDEX(Comp_Coverage_before_expense_fees_Premium,,1)),INDEX(Comp_Coverage_before_expense_fees_Premium,,1)&lt;=0,C75=0),0,INDEX(Comp_Coverage_before_expense_fees_Premium,,1))</f>
        <v>#REF!</v>
      </c>
      <c r="D81" s="112" t="e">
        <f>IF(OR(ISERROR(INDEX(Comp_Coverage_before_expense_fees_Premium,,2)),INDEX(Comp_Coverage_before_expense_fees_Premium,,2)&lt;=0,D75=0),0,INDEX(Comp_Coverage_before_expense_fees_Premium,,2))</f>
        <v>#REF!</v>
      </c>
      <c r="E81" s="112" t="e">
        <f>IF(OR(ISERROR(INDEX(Comp_Coverage_before_expense_fees_Premium,,3)),INDEX(Comp_Coverage_before_expense_fees_Premium,,3)&lt;=0,E75=0),0,INDEX(Comp_Coverage_before_expense_fees_Premium,,3))</f>
        <v>#REF!</v>
      </c>
      <c r="F81" s="112" t="e">
        <f>IF(OR(ISERROR(INDEX(Comp_Coverage_before_expense_fees_Premium,,4)),INDEX(Comp_Coverage_before_expense_fees_Premium,,4)&lt;=0,F75=0),0,INDEX(Comp_Coverage_before_expense_fees_Premium,,4))</f>
        <v>#REF!</v>
      </c>
      <c r="G81" s="112" t="e">
        <f>IF(OR(ISERROR(INDEX(Comp_Coverage_before_expense_fees_Premium,,5)),INDEX(Comp_Coverage_before_expense_fees_Premium,,5)&lt;=0,G75=0),0,INDEX(Comp_Coverage_before_expense_fees_Premium,,5))</f>
        <v>#REF!</v>
      </c>
      <c r="H81" s="112" t="e">
        <f>IF(OR(ISERROR(INDEX(Comp_Coverage_before_expense_fees_Premium,,6)),INDEX(Comp_Coverage_before_expense_fees_Premium,,6)&lt;=0,H75=0),0,INDEX(Comp_Coverage_before_expense_fees_Premium,,6))</f>
        <v>#REF!</v>
      </c>
      <c r="I81" s="1"/>
    </row>
    <row r="82" spans="1:9" ht="12.75">
      <c r="A82" s="106"/>
      <c r="B82" s="102" t="s">
        <v>1440</v>
      </c>
      <c r="C82" s="112" t="e">
        <f>IF(OR(ISERROR(INDEX(Collision_Coverage_before_expense_fees_Premium,,1)),INDEX(Collision_Coverage_before_expense_fees_Premium,,1)&lt;=0,C76=0),0,INDEX(Collision_Coverage_before_expense_fees_Premium,,1))</f>
        <v>#REF!</v>
      </c>
      <c r="D82" s="112" t="e">
        <f>IF(OR(ISERROR(INDEX(Collision_Coverage_before_expense_fees_Premium,,2)),INDEX(Collision_Coverage_before_expense_fees_Premium,,2)&lt;=0,D76=0),0,INDEX(Collision_Coverage_before_expense_fees_Premium,,2))</f>
        <v>#REF!</v>
      </c>
      <c r="E82" s="112" t="e">
        <f>IF(OR(ISERROR(INDEX(Collision_Coverage_before_expense_fees_Premium,,3)),INDEX(Collision_Coverage_before_expense_fees_Premium,,3)&lt;=0,E76=0),0,INDEX(Collision_Coverage_before_expense_fees_Premium,,3))</f>
        <v>#REF!</v>
      </c>
      <c r="F82" s="112" t="e">
        <f>IF(OR(ISERROR(INDEX(Collision_Coverage_before_expense_fees_Premium,,4)),INDEX(Collision_Coverage_before_expense_fees_Premium,,4)&lt;=0,F76=0),0,INDEX(Collision_Coverage_before_expense_fees_Premium,,4))</f>
        <v>#REF!</v>
      </c>
      <c r="G82" s="112" t="e">
        <f>IF(OR(ISERROR(INDEX(Collision_Coverage_before_expense_fees_Premium,,5)),INDEX(Collision_Coverage_before_expense_fees_Premium,,5)&lt;=0,G76=0),0,INDEX(Collision_Coverage_before_expense_fees_Premium,,5))</f>
        <v>#REF!</v>
      </c>
      <c r="H82" s="112" t="e">
        <f>IF(OR(ISERROR(INDEX(Collision_Coverage_before_expense_fees_Premium,,6)),INDEX(Collision_Coverage_before_expense_fees_Premium,,6)&lt;=0,H76=0),0,INDEX(Collision_Coverage_before_expense_fees_Premium,,6))</f>
        <v>#REF!</v>
      </c>
      <c r="I82" s="1"/>
    </row>
    <row r="83" spans="1:9" s="102" customFormat="1" ht="12.75">
      <c r="A83" s="106"/>
      <c r="B83" s="102" t="s">
        <v>1441</v>
      </c>
      <c r="C83" s="102">
        <f aca="true" t="shared" si="40" ref="C83:H83">IF(OR(ISERROR(C78),C78&lt;=0),0,IF(CSL,Expense_Fees_ExtNO_CSL,Expense_Fees_ExtNO_BI))</f>
        <v>0</v>
      </c>
      <c r="D83" s="102">
        <f t="shared" si="40"/>
        <v>0</v>
      </c>
      <c r="E83" s="102">
        <f t="shared" si="40"/>
        <v>0</v>
      </c>
      <c r="F83" s="102">
        <f t="shared" si="40"/>
        <v>0</v>
      </c>
      <c r="G83" s="102">
        <f t="shared" si="40"/>
        <v>0</v>
      </c>
      <c r="H83" s="102">
        <f t="shared" si="40"/>
        <v>0</v>
      </c>
      <c r="I83" s="1"/>
    </row>
    <row r="84" spans="2:8" ht="12.75">
      <c r="B84" s="102" t="s">
        <v>1442</v>
      </c>
      <c r="C84" s="102">
        <f aca="true" t="shared" si="41" ref="C84:H84">IF(OR(ISERROR(C79),C79&lt;=0),0,IF(CSL,0,Expense_Fees_ExtNO_PD))</f>
        <v>0</v>
      </c>
      <c r="D84" s="102">
        <f t="shared" si="41"/>
        <v>0</v>
      </c>
      <c r="E84" s="102">
        <f t="shared" si="41"/>
        <v>0</v>
      </c>
      <c r="F84" s="102">
        <f t="shared" si="41"/>
        <v>0</v>
      </c>
      <c r="G84" s="102">
        <f t="shared" si="41"/>
        <v>0</v>
      </c>
      <c r="H84" s="102">
        <f t="shared" si="41"/>
        <v>0</v>
      </c>
    </row>
    <row r="85" spans="2:8" ht="12.75">
      <c r="B85" s="102" t="s">
        <v>1443</v>
      </c>
      <c r="C85" s="102">
        <f aca="true" t="shared" si="42" ref="C85:H85">IF(OR(ISERROR(C80),C80&lt;=0),0,IF(PIP,0,Expense_Fees_ExtNO_Medical))</f>
        <v>0</v>
      </c>
      <c r="D85" s="102">
        <f t="shared" si="42"/>
        <v>0</v>
      </c>
      <c r="E85" s="102">
        <f t="shared" si="42"/>
        <v>0</v>
      </c>
      <c r="F85" s="102">
        <f t="shared" si="42"/>
        <v>0</v>
      </c>
      <c r="G85" s="102">
        <f t="shared" si="42"/>
        <v>0</v>
      </c>
      <c r="H85" s="102">
        <f t="shared" si="42"/>
        <v>0</v>
      </c>
    </row>
    <row r="86" spans="2:8" ht="12.75">
      <c r="B86" s="102" t="s">
        <v>1444</v>
      </c>
      <c r="C86" s="102" t="e">
        <f aca="true" t="shared" si="43" ref="C86:H86">IF(OR(ISERROR(C81),C81&lt;=0),0,IF(PIP,0,Expense_Fees_ExtNO_COMP))</f>
        <v>#REF!</v>
      </c>
      <c r="D86" s="102" t="e">
        <f t="shared" si="43"/>
        <v>#REF!</v>
      </c>
      <c r="E86" s="102" t="e">
        <f t="shared" si="43"/>
        <v>#REF!</v>
      </c>
      <c r="F86" s="102" t="e">
        <f t="shared" si="43"/>
        <v>#REF!</v>
      </c>
      <c r="G86" s="102" t="e">
        <f t="shared" si="43"/>
        <v>#REF!</v>
      </c>
      <c r="H86" s="102" t="e">
        <f t="shared" si="43"/>
        <v>#REF!</v>
      </c>
    </row>
    <row r="87" spans="2:8" ht="12.75">
      <c r="B87" s="102" t="s">
        <v>1445</v>
      </c>
      <c r="C87" s="102" t="e">
        <f aca="true" t="shared" si="44" ref="C87:H87">IF(OR(ISERROR(C82),C82&lt;=0),0,IF(PIP,0,Expense_Fees_ExtNO_COLL))</f>
        <v>#REF!</v>
      </c>
      <c r="D87" s="102" t="e">
        <f t="shared" si="44"/>
        <v>#REF!</v>
      </c>
      <c r="E87" s="102" t="e">
        <f t="shared" si="44"/>
        <v>#REF!</v>
      </c>
      <c r="F87" s="102" t="e">
        <f t="shared" si="44"/>
        <v>#REF!</v>
      </c>
      <c r="G87" s="102" t="e">
        <f t="shared" si="44"/>
        <v>#REF!</v>
      </c>
      <c r="H87" s="102" t="e">
        <f t="shared" si="44"/>
        <v>#REF!</v>
      </c>
    </row>
    <row r="88" spans="1:8" ht="12.75">
      <c r="A88" s="106" t="s">
        <v>1270</v>
      </c>
      <c r="B88" s="119" t="s">
        <v>1436</v>
      </c>
      <c r="C88" s="118">
        <f aca="true" t="shared" si="45" ref="C88:H92">IF(ISERROR(C78+C83),0,C78+C83)</f>
        <v>0</v>
      </c>
      <c r="D88" s="118">
        <f t="shared" si="45"/>
        <v>0</v>
      </c>
      <c r="E88" s="118">
        <f t="shared" si="45"/>
        <v>0</v>
      </c>
      <c r="F88" s="118">
        <f t="shared" si="45"/>
        <v>0</v>
      </c>
      <c r="G88" s="118">
        <f t="shared" si="45"/>
        <v>0</v>
      </c>
      <c r="H88" s="118">
        <f t="shared" si="45"/>
        <v>0</v>
      </c>
    </row>
    <row r="89" spans="1:8" ht="12.75">
      <c r="A89" s="106" t="s">
        <v>1270</v>
      </c>
      <c r="B89" s="119" t="s">
        <v>1437</v>
      </c>
      <c r="C89" s="118">
        <f t="shared" si="45"/>
        <v>0</v>
      </c>
      <c r="D89" s="118">
        <f t="shared" si="45"/>
        <v>0</v>
      </c>
      <c r="E89" s="118">
        <f t="shared" si="45"/>
        <v>0</v>
      </c>
      <c r="F89" s="118">
        <f t="shared" si="45"/>
        <v>0</v>
      </c>
      <c r="G89" s="118">
        <f t="shared" si="45"/>
        <v>0</v>
      </c>
      <c r="H89" s="118">
        <f t="shared" si="45"/>
        <v>0</v>
      </c>
    </row>
    <row r="90" spans="1:8" ht="12.75">
      <c r="A90" s="106" t="s">
        <v>1270</v>
      </c>
      <c r="B90" s="119" t="s">
        <v>1438</v>
      </c>
      <c r="C90" s="118">
        <f t="shared" si="45"/>
        <v>0</v>
      </c>
      <c r="D90" s="118">
        <f t="shared" si="45"/>
        <v>0</v>
      </c>
      <c r="E90" s="118">
        <f t="shared" si="45"/>
        <v>0</v>
      </c>
      <c r="F90" s="118">
        <f t="shared" si="45"/>
        <v>0</v>
      </c>
      <c r="G90" s="118">
        <f t="shared" si="45"/>
        <v>0</v>
      </c>
      <c r="H90" s="118">
        <f t="shared" si="45"/>
        <v>0</v>
      </c>
    </row>
    <row r="91" spans="1:8" ht="12.75">
      <c r="A91" s="106" t="s">
        <v>1270</v>
      </c>
      <c r="B91" s="119" t="s">
        <v>1439</v>
      </c>
      <c r="C91" s="118">
        <f t="shared" si="45"/>
        <v>0</v>
      </c>
      <c r="D91" s="118">
        <f t="shared" si="45"/>
        <v>0</v>
      </c>
      <c r="E91" s="118">
        <f t="shared" si="45"/>
        <v>0</v>
      </c>
      <c r="F91" s="118">
        <f t="shared" si="45"/>
        <v>0</v>
      </c>
      <c r="G91" s="118">
        <f t="shared" si="45"/>
        <v>0</v>
      </c>
      <c r="H91" s="118">
        <f t="shared" si="45"/>
        <v>0</v>
      </c>
    </row>
    <row r="92" spans="1:8" ht="12.75">
      <c r="A92" s="106" t="s">
        <v>1270</v>
      </c>
      <c r="B92" s="119" t="s">
        <v>1440</v>
      </c>
      <c r="C92" s="118">
        <f t="shared" si="45"/>
        <v>0</v>
      </c>
      <c r="D92" s="118">
        <f t="shared" si="45"/>
        <v>0</v>
      </c>
      <c r="E92" s="118">
        <f t="shared" si="45"/>
        <v>0</v>
      </c>
      <c r="F92" s="118">
        <f t="shared" si="45"/>
        <v>0</v>
      </c>
      <c r="G92" s="118">
        <f t="shared" si="45"/>
        <v>0</v>
      </c>
      <c r="H92" s="118">
        <f t="shared" si="45"/>
        <v>0</v>
      </c>
    </row>
  </sheetData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V215"/>
  <sheetViews>
    <sheetView zoomScale="75" zoomScaleNormal="75" workbookViewId="0" topLeftCell="A188">
      <selection activeCell="C213" sqref="C213"/>
    </sheetView>
  </sheetViews>
  <sheetFormatPr defaultColWidth="9.140625" defaultRowHeight="12.75"/>
  <cols>
    <col min="2" max="2" width="16.7109375" style="0" customWidth="1"/>
    <col min="9" max="9" width="27.7109375" style="0" customWidth="1"/>
  </cols>
  <sheetData>
    <row r="1" spans="1:9" s="102" customFormat="1" ht="20.25" customHeight="1">
      <c r="A1" s="130"/>
      <c r="B1" s="129" t="s">
        <v>1446</v>
      </c>
      <c r="C1" s="103"/>
      <c r="D1" s="103"/>
      <c r="E1" s="103"/>
      <c r="I1" s="1"/>
    </row>
    <row r="2" spans="1:9" s="102" customFormat="1" ht="20.25" customHeight="1">
      <c r="A2" s="130"/>
      <c r="B2" s="129"/>
      <c r="C2" s="103"/>
      <c r="D2" s="103"/>
      <c r="E2" s="103"/>
      <c r="I2" s="1"/>
    </row>
    <row r="3" spans="1:8" ht="20.25" customHeight="1">
      <c r="A3" s="103"/>
      <c r="B3" s="129" t="s">
        <v>1447</v>
      </c>
      <c r="C3" s="103"/>
      <c r="D3" s="103"/>
      <c r="E3" s="103"/>
      <c r="F3" s="102"/>
      <c r="G3" s="102"/>
      <c r="H3" s="102"/>
    </row>
    <row r="4" spans="1:9" s="106" customFormat="1" ht="12.75">
      <c r="A4" s="106" t="s">
        <v>1206</v>
      </c>
      <c r="B4" s="106" t="s">
        <v>1207</v>
      </c>
      <c r="C4" s="106" t="s">
        <v>428</v>
      </c>
      <c r="D4" s="106" t="s">
        <v>429</v>
      </c>
      <c r="E4" s="106" t="s">
        <v>430</v>
      </c>
      <c r="F4" s="106" t="s">
        <v>431</v>
      </c>
      <c r="G4" s="106" t="s">
        <v>432</v>
      </c>
      <c r="H4" s="106" t="s">
        <v>433</v>
      </c>
      <c r="I4" s="6" t="s">
        <v>229</v>
      </c>
    </row>
    <row r="5" spans="1:9" s="102" customFormat="1" ht="12.75">
      <c r="A5" s="106" t="s">
        <v>1208</v>
      </c>
      <c r="B5" s="102" t="s">
        <v>1209</v>
      </c>
      <c r="C5" s="102">
        <f>INDEX(IF(CSL,CSL_Base_rate,BI_Base_rate),1,1)</f>
        <v>0</v>
      </c>
      <c r="D5" s="102">
        <f>INDEX(IF(CSL,CSL_Base_rate,BI_Base_rate),1,2)</f>
        <v>0</v>
      </c>
      <c r="E5" s="102">
        <f>INDEX(IF(CSL,CSL_Base_rate,BI_Base_rate),1,3)</f>
        <v>0</v>
      </c>
      <c r="F5" s="102">
        <f>INDEX(IF(CSL,CSL_Base_rate,BI_Base_rate),1,4)</f>
        <v>0</v>
      </c>
      <c r="G5" s="102">
        <f>INDEX(IF(CSL,CSL_Base_rate,BI_Base_rate),1,5)</f>
        <v>0</v>
      </c>
      <c r="H5" s="102">
        <f>INDEX(IF(CSL,CSL_Base_rate,BI_Base_rate),1,6)</f>
        <v>0</v>
      </c>
      <c r="I5" s="1"/>
    </row>
    <row r="6" spans="1:9" s="102" customFormat="1" ht="12.75">
      <c r="A6" s="106" t="s">
        <v>1214</v>
      </c>
      <c r="B6" s="102" t="s">
        <v>1333</v>
      </c>
      <c r="C6" s="102">
        <f>INDEX(BI_Base_Premium,1,1)</f>
        <v>0</v>
      </c>
      <c r="D6" s="102">
        <f>INDEX(BI_Base_Premium,1,2)</f>
        <v>0</v>
      </c>
      <c r="E6" s="102">
        <f>INDEX(BI_Base_Premium,1,3)</f>
        <v>0</v>
      </c>
      <c r="F6" s="102">
        <f>INDEX(BI_Base_Premium,1,4)</f>
        <v>0</v>
      </c>
      <c r="G6" s="102">
        <f>INDEX(BI_Base_Premium,1,5)</f>
        <v>0</v>
      </c>
      <c r="H6" s="102">
        <f>INDEX(BI_Base_Premium,1,6)</f>
        <v>0</v>
      </c>
      <c r="I6" s="1"/>
    </row>
    <row r="7" spans="2:9" s="102" customFormat="1" ht="12.75">
      <c r="B7" s="109"/>
      <c r="I7" s="1"/>
    </row>
    <row r="8" spans="2:9" s="102" customFormat="1" ht="12.75">
      <c r="B8" s="108" t="s">
        <v>995</v>
      </c>
      <c r="C8" s="102">
        <f aca="true" t="shared" si="0" ref="C8:H8">Named_Non_owner_BI_factor</f>
        <v>1</v>
      </c>
      <c r="D8" s="102">
        <f t="shared" si="0"/>
        <v>1</v>
      </c>
      <c r="E8" s="102">
        <f t="shared" si="0"/>
        <v>1</v>
      </c>
      <c r="F8" s="102">
        <f t="shared" si="0"/>
        <v>1</v>
      </c>
      <c r="G8" s="102">
        <f t="shared" si="0"/>
        <v>1</v>
      </c>
      <c r="H8" s="102">
        <f t="shared" si="0"/>
        <v>1</v>
      </c>
      <c r="I8" s="1"/>
    </row>
    <row r="9" spans="1:9" ht="12.75">
      <c r="A9" s="106"/>
      <c r="B9" s="102" t="s">
        <v>1219</v>
      </c>
      <c r="C9" s="102">
        <f aca="true" t="shared" si="1" ref="C9:H9">IF(Tier_Rating_Factor&lt;&gt;0,C6*C8/Tier_Rating_Factor,0)</f>
        <v>0</v>
      </c>
      <c r="D9" s="102">
        <f t="shared" si="1"/>
        <v>0</v>
      </c>
      <c r="E9" s="102">
        <f t="shared" si="1"/>
        <v>0</v>
      </c>
      <c r="F9" s="102">
        <f t="shared" si="1"/>
        <v>0</v>
      </c>
      <c r="G9" s="102">
        <f t="shared" si="1"/>
        <v>0</v>
      </c>
      <c r="H9" s="102">
        <f t="shared" si="1"/>
        <v>0</v>
      </c>
      <c r="I9" s="1"/>
    </row>
    <row r="10" spans="1:9" s="102" customFormat="1" ht="12.75">
      <c r="A10" s="106"/>
      <c r="I10" s="1"/>
    </row>
    <row r="11" spans="1:256" s="102" customFormat="1" ht="12.75">
      <c r="A11" s="106" t="s">
        <v>1334</v>
      </c>
      <c r="B11" s="108" t="s">
        <v>830</v>
      </c>
      <c r="C11" s="102">
        <f>INDEX(ABS_Discount_Factor,1,1)</f>
        <v>0</v>
      </c>
      <c r="D11" s="102">
        <f>INDEX(ABS_Discount_Factor,1,2)</f>
        <v>0</v>
      </c>
      <c r="E11" s="102">
        <f>INDEX(ABS_Discount_Factor,1,3)</f>
        <v>0</v>
      </c>
      <c r="F11" s="102">
        <f>INDEX(ABS_Discount_Factor,1,4)</f>
        <v>0</v>
      </c>
      <c r="G11" s="102">
        <f>INDEX(ABS_Discount_Factor,1,5)</f>
        <v>0</v>
      </c>
      <c r="H11" s="102">
        <f>INDEX(ABS_Discount_Factor,1,6)</f>
        <v>0</v>
      </c>
      <c r="I11" s="1"/>
      <c r="J11" s="109"/>
      <c r="L11" s="109"/>
      <c r="N11" s="109"/>
      <c r="P11" s="109"/>
      <c r="R11" s="109"/>
      <c r="T11" s="109"/>
      <c r="V11" s="109"/>
      <c r="X11" s="109"/>
      <c r="Z11" s="109"/>
      <c r="AB11" s="109"/>
      <c r="AD11" s="109"/>
      <c r="AF11" s="109"/>
      <c r="AH11" s="109"/>
      <c r="AJ11" s="109"/>
      <c r="AL11" s="109"/>
      <c r="AN11" s="109"/>
      <c r="AP11" s="109"/>
      <c r="AR11" s="109"/>
      <c r="AT11" s="109"/>
      <c r="AV11" s="109"/>
      <c r="AX11" s="109"/>
      <c r="AZ11" s="109"/>
      <c r="BB11" s="109"/>
      <c r="BD11" s="109"/>
      <c r="BF11" s="109"/>
      <c r="BH11" s="109"/>
      <c r="BJ11" s="109"/>
      <c r="BL11" s="109"/>
      <c r="BN11" s="109"/>
      <c r="BP11" s="109"/>
      <c r="BR11" s="109"/>
      <c r="BT11" s="109"/>
      <c r="BV11" s="109"/>
      <c r="BX11" s="109"/>
      <c r="BZ11" s="109"/>
      <c r="CB11" s="109"/>
      <c r="CD11" s="109"/>
      <c r="CF11" s="109"/>
      <c r="CH11" s="109"/>
      <c r="CJ11" s="109"/>
      <c r="CL11" s="109"/>
      <c r="CN11" s="109"/>
      <c r="CP11" s="109"/>
      <c r="CR11" s="109"/>
      <c r="CT11" s="109"/>
      <c r="CV11" s="109"/>
      <c r="CX11" s="109"/>
      <c r="CZ11" s="109"/>
      <c r="DB11" s="109"/>
      <c r="DD11" s="109"/>
      <c r="DF11" s="109"/>
      <c r="DH11" s="109"/>
      <c r="DJ11" s="109"/>
      <c r="DL11" s="109"/>
      <c r="DN11" s="109"/>
      <c r="DP11" s="109"/>
      <c r="DR11" s="109"/>
      <c r="DT11" s="109"/>
      <c r="DV11" s="109"/>
      <c r="DX11" s="109"/>
      <c r="DZ11" s="109"/>
      <c r="EB11" s="109"/>
      <c r="ED11" s="109"/>
      <c r="EF11" s="109"/>
      <c r="EH11" s="109"/>
      <c r="EJ11" s="109"/>
      <c r="EL11" s="109"/>
      <c r="EN11" s="109"/>
      <c r="EP11" s="109"/>
      <c r="ER11" s="109"/>
      <c r="ET11" s="109"/>
      <c r="EV11" s="109"/>
      <c r="EX11" s="109"/>
      <c r="EZ11" s="109"/>
      <c r="FB11" s="109"/>
      <c r="FD11" s="109"/>
      <c r="FF11" s="109"/>
      <c r="FH11" s="109"/>
      <c r="FJ11" s="109"/>
      <c r="FL11" s="109"/>
      <c r="FN11" s="109"/>
      <c r="FP11" s="109"/>
      <c r="FR11" s="109"/>
      <c r="FT11" s="109"/>
      <c r="FV11" s="109"/>
      <c r="FX11" s="109"/>
      <c r="FZ11" s="109"/>
      <c r="GB11" s="109"/>
      <c r="GD11" s="109"/>
      <c r="GF11" s="109"/>
      <c r="GH11" s="109"/>
      <c r="GJ11" s="109"/>
      <c r="GL11" s="109"/>
      <c r="GN11" s="109"/>
      <c r="GP11" s="109"/>
      <c r="GR11" s="109"/>
      <c r="GT11" s="109"/>
      <c r="GV11" s="109"/>
      <c r="GX11" s="109"/>
      <c r="GZ11" s="109"/>
      <c r="HB11" s="109"/>
      <c r="HD11" s="109"/>
      <c r="HF11" s="109"/>
      <c r="HH11" s="109"/>
      <c r="HJ11" s="109"/>
      <c r="HL11" s="109"/>
      <c r="HN11" s="109"/>
      <c r="HP11" s="109"/>
      <c r="HR11" s="109"/>
      <c r="HT11" s="109"/>
      <c r="HV11" s="109"/>
      <c r="HX11" s="109"/>
      <c r="HZ11" s="109"/>
      <c r="IB11" s="109"/>
      <c r="ID11" s="109"/>
      <c r="IF11" s="109"/>
      <c r="IH11" s="109"/>
      <c r="IJ11" s="109"/>
      <c r="IL11" s="109"/>
      <c r="IN11" s="109"/>
      <c r="IP11" s="109"/>
      <c r="IR11" s="109"/>
      <c r="IT11" s="109"/>
      <c r="IV11" s="109"/>
    </row>
    <row r="12" spans="2:9" s="102" customFormat="1" ht="12.75">
      <c r="B12" s="108" t="s">
        <v>1234</v>
      </c>
      <c r="C12" s="110">
        <f aca="true" t="shared" si="2" ref="C12:H12">C9*C11</f>
        <v>0</v>
      </c>
      <c r="D12" s="110">
        <f t="shared" si="2"/>
        <v>0</v>
      </c>
      <c r="E12" s="110">
        <f t="shared" si="2"/>
        <v>0</v>
      </c>
      <c r="F12" s="110">
        <f t="shared" si="2"/>
        <v>0</v>
      </c>
      <c r="G12" s="110">
        <f t="shared" si="2"/>
        <v>0</v>
      </c>
      <c r="H12" s="110">
        <f t="shared" si="2"/>
        <v>0</v>
      </c>
      <c r="I12" s="1"/>
    </row>
    <row r="13" spans="2:9" s="102" customFormat="1" ht="12.75">
      <c r="B13" s="108" t="s">
        <v>1235</v>
      </c>
      <c r="C13" s="110">
        <f aca="true" t="shared" si="3" ref="C13:H13">C9-C12</f>
        <v>0</v>
      </c>
      <c r="D13" s="110">
        <f t="shared" si="3"/>
        <v>0</v>
      </c>
      <c r="E13" s="110">
        <f t="shared" si="3"/>
        <v>0</v>
      </c>
      <c r="F13" s="110">
        <f t="shared" si="3"/>
        <v>0</v>
      </c>
      <c r="G13" s="110">
        <f t="shared" si="3"/>
        <v>0</v>
      </c>
      <c r="H13" s="110">
        <f t="shared" si="3"/>
        <v>0</v>
      </c>
      <c r="I13" s="1"/>
    </row>
    <row r="14" spans="2:9" s="102" customFormat="1" ht="12.75">
      <c r="B14" s="108"/>
      <c r="C14" s="111"/>
      <c r="D14" s="111"/>
      <c r="E14" s="111"/>
      <c r="F14" s="111"/>
      <c r="G14" s="111"/>
      <c r="H14" s="111"/>
      <c r="I14" s="1"/>
    </row>
    <row r="15" spans="1:9" s="102" customFormat="1" ht="12.75" customHeight="1">
      <c r="A15" s="106" t="s">
        <v>1229</v>
      </c>
      <c r="B15" s="108" t="s">
        <v>816</v>
      </c>
      <c r="C15" s="102">
        <f>INDEX(SDIP_Factor,,1)</f>
        <v>0</v>
      </c>
      <c r="D15" s="102">
        <f>INDEX(SDIP_Factor,,2)</f>
        <v>0</v>
      </c>
      <c r="E15" s="102">
        <f>INDEX(SDIP_Factor,,3)</f>
        <v>0</v>
      </c>
      <c r="F15" s="102">
        <f>INDEX(SDIP_Factor,,4)</f>
        <v>0</v>
      </c>
      <c r="G15" s="102">
        <f>INDEX(SDIP_Factor,,5)</f>
        <v>0</v>
      </c>
      <c r="H15" s="102">
        <f>INDEX(SDIP_Factor,,6)</f>
        <v>0</v>
      </c>
      <c r="I15" s="1"/>
    </row>
    <row r="16" spans="1:9" ht="12.75">
      <c r="A16" s="106"/>
      <c r="B16" s="108" t="s">
        <v>1237</v>
      </c>
      <c r="C16" s="111">
        <f>INDEX(Accident_Prevention_Discount_Factor,,1)</f>
        <v>0</v>
      </c>
      <c r="D16" s="111">
        <f>INDEX(Accident_Prevention_Discount_Factor,,2)</f>
        <v>0</v>
      </c>
      <c r="E16" s="111">
        <f>INDEX(Accident_Prevention_Discount_Factor,,3)</f>
        <v>0</v>
      </c>
      <c r="F16" s="111">
        <f>INDEX(Accident_Prevention_Discount_Factor,,4)</f>
        <v>0</v>
      </c>
      <c r="G16" s="111">
        <f>INDEX(Accident_Prevention_Discount_Factor,,5)</f>
        <v>0</v>
      </c>
      <c r="H16" s="111">
        <f>INDEX(Accident_Prevention_Discount_Factor,,6)</f>
        <v>0</v>
      </c>
      <c r="I16" s="1"/>
    </row>
    <row r="17" spans="1:9" ht="12.75">
      <c r="A17" s="106"/>
      <c r="B17" s="108" t="s">
        <v>837</v>
      </c>
      <c r="C17" s="111">
        <f>INDEX(Minivan_Discount_Factor,,1)</f>
        <v>0</v>
      </c>
      <c r="D17" s="111">
        <f>INDEX(Minivan_Discount_Factor,,2)</f>
        <v>0</v>
      </c>
      <c r="E17" s="111">
        <f>INDEX(Minivan_Discount_Factor,,3)</f>
        <v>0</v>
      </c>
      <c r="F17" s="111">
        <f>INDEX(Minivan_Discount_Factor,,4)</f>
        <v>0</v>
      </c>
      <c r="G17" s="111">
        <f>INDEX(Minivan_Discount_Factor,,5)</f>
        <v>0</v>
      </c>
      <c r="H17" s="111">
        <f>INDEX(Minivan_Discount_Factor,,6)</f>
        <v>0</v>
      </c>
      <c r="I17" s="1"/>
    </row>
    <row r="18" spans="3:9" s="112" customFormat="1" ht="12.75">
      <c r="C18" s="102"/>
      <c r="D18" s="102"/>
      <c r="E18" s="102"/>
      <c r="F18" s="102"/>
      <c r="G18" s="102"/>
      <c r="H18" s="102"/>
      <c r="I18" s="15"/>
    </row>
    <row r="19" spans="1:9" s="102" customFormat="1" ht="12.75">
      <c r="A19" s="106" t="s">
        <v>1231</v>
      </c>
      <c r="B19" s="108" t="s">
        <v>1239</v>
      </c>
      <c r="C19" s="102">
        <f aca="true" t="shared" si="4" ref="C19:H19">C15*C5</f>
        <v>0</v>
      </c>
      <c r="D19" s="102">
        <f t="shared" si="4"/>
        <v>0</v>
      </c>
      <c r="E19" s="102">
        <f t="shared" si="4"/>
        <v>0</v>
      </c>
      <c r="F19" s="102">
        <f t="shared" si="4"/>
        <v>0</v>
      </c>
      <c r="G19" s="102">
        <f t="shared" si="4"/>
        <v>0</v>
      </c>
      <c r="H19" s="102">
        <f t="shared" si="4"/>
        <v>0</v>
      </c>
      <c r="I19" s="1"/>
    </row>
    <row r="20" spans="1:9" ht="12.75">
      <c r="A20" s="102"/>
      <c r="B20" s="108" t="s">
        <v>1240</v>
      </c>
      <c r="C20" s="110">
        <f aca="true" t="shared" si="5" ref="C20:H20">IF(AND(Insured_State&lt;&gt;"MI",Insured_State&lt;&gt;"PA"),C13*C16,0)</f>
        <v>0</v>
      </c>
      <c r="D20" s="110">
        <f t="shared" si="5"/>
        <v>0</v>
      </c>
      <c r="E20" s="110">
        <f t="shared" si="5"/>
        <v>0</v>
      </c>
      <c r="F20" s="110">
        <f t="shared" si="5"/>
        <v>0</v>
      </c>
      <c r="G20" s="110">
        <f t="shared" si="5"/>
        <v>0</v>
      </c>
      <c r="H20" s="110">
        <f t="shared" si="5"/>
        <v>0</v>
      </c>
      <c r="I20" s="1"/>
    </row>
    <row r="21" spans="1:9" s="102" customFormat="1" ht="12.75">
      <c r="A21" s="106"/>
      <c r="B21" s="102" t="s">
        <v>1241</v>
      </c>
      <c r="C21" s="102">
        <f aca="true" t="shared" si="6" ref="C21:H21">((C13-C20)*Loss_Free_Credit_Factor)</f>
        <v>0</v>
      </c>
      <c r="D21" s="102">
        <f t="shared" si="6"/>
        <v>0</v>
      </c>
      <c r="E21" s="102">
        <f t="shared" si="6"/>
        <v>0</v>
      </c>
      <c r="F21" s="102">
        <f t="shared" si="6"/>
        <v>0</v>
      </c>
      <c r="G21" s="102">
        <f t="shared" si="6"/>
        <v>0</v>
      </c>
      <c r="H21" s="102">
        <f t="shared" si="6"/>
        <v>0</v>
      </c>
      <c r="I21" s="1"/>
    </row>
    <row r="22" spans="1:9" ht="12.75">
      <c r="A22" s="102"/>
      <c r="B22" s="108" t="s">
        <v>1242</v>
      </c>
      <c r="C22" s="110">
        <f aca="true" t="shared" si="7" ref="C22:H22">(C13-C20-C21)*C17</f>
        <v>0</v>
      </c>
      <c r="D22" s="110">
        <f t="shared" si="7"/>
        <v>0</v>
      </c>
      <c r="E22" s="110">
        <f t="shared" si="7"/>
        <v>0</v>
      </c>
      <c r="F22" s="110">
        <f t="shared" si="7"/>
        <v>0</v>
      </c>
      <c r="G22" s="110">
        <f t="shared" si="7"/>
        <v>0</v>
      </c>
      <c r="H22" s="110">
        <f t="shared" si="7"/>
        <v>0</v>
      </c>
      <c r="I22" s="1"/>
    </row>
    <row r="23" spans="1:9" s="102" customFormat="1" ht="12.75">
      <c r="A23" s="106"/>
      <c r="B23" s="108"/>
      <c r="I23" s="1"/>
    </row>
    <row r="24" spans="1:9" s="102" customFormat="1" ht="12.75">
      <c r="A24" s="106" t="s">
        <v>1233</v>
      </c>
      <c r="B24" s="102" t="s">
        <v>1244</v>
      </c>
      <c r="C24" s="110">
        <f aca="true" t="shared" si="8" ref="C24:H24">(C13+C19-C20--C21-C22)</f>
        <v>0</v>
      </c>
      <c r="D24" s="110">
        <f t="shared" si="8"/>
        <v>0</v>
      </c>
      <c r="E24" s="110">
        <f t="shared" si="8"/>
        <v>0</v>
      </c>
      <c r="F24" s="110">
        <f t="shared" si="8"/>
        <v>0</v>
      </c>
      <c r="G24" s="110">
        <f t="shared" si="8"/>
        <v>0</v>
      </c>
      <c r="H24" s="110">
        <f t="shared" si="8"/>
        <v>0</v>
      </c>
      <c r="I24" s="1"/>
    </row>
    <row r="25" spans="1:9" ht="12.75">
      <c r="A25" s="102"/>
      <c r="B25" s="108" t="s">
        <v>1245</v>
      </c>
      <c r="C25" s="110">
        <f>C24*INDEX(MI_High_Performance_Factor,,1)</f>
        <v>0</v>
      </c>
      <c r="D25" s="110">
        <f>D24*INDEX(MI_High_Performance_Factor,,2)</f>
        <v>0</v>
      </c>
      <c r="E25" s="110">
        <f>E24*INDEX(MI_High_Performance_Factor,,3)</f>
        <v>0</v>
      </c>
      <c r="F25" s="110">
        <f>F24*INDEX(MI_High_Performance_Factor,,4)</f>
        <v>0</v>
      </c>
      <c r="G25" s="110">
        <f>G24*INDEX(MI_High_Performance_Factor,,5)</f>
        <v>0</v>
      </c>
      <c r="H25" s="110">
        <f>H24*INDEX(MI_High_Performance_Factor,,6)</f>
        <v>0</v>
      </c>
      <c r="I25" s="1"/>
    </row>
    <row r="26" s="102" customFormat="1" ht="12.75">
      <c r="I26" s="1"/>
    </row>
    <row r="27" spans="2:9" s="112" customFormat="1" ht="12.75">
      <c r="B27" s="112" t="s">
        <v>939</v>
      </c>
      <c r="C27" s="102">
        <f aca="true" t="shared" si="9" ref="C27:H27">IF(OR(ISERROR(C25),C25&lt;=0),0,IF(CSL,Expense_Fees_CSL,Expense_Fees_Split_BI))</f>
        <v>0</v>
      </c>
      <c r="D27" s="102">
        <f t="shared" si="9"/>
        <v>0</v>
      </c>
      <c r="E27" s="102">
        <f t="shared" si="9"/>
        <v>0</v>
      </c>
      <c r="F27" s="102">
        <f t="shared" si="9"/>
        <v>0</v>
      </c>
      <c r="G27" s="102">
        <f t="shared" si="9"/>
        <v>0</v>
      </c>
      <c r="H27" s="102">
        <f t="shared" si="9"/>
        <v>0</v>
      </c>
      <c r="I27" s="15"/>
    </row>
    <row r="28" spans="2:9" s="112" customFormat="1" ht="12.75">
      <c r="B28" s="112" t="s">
        <v>1246</v>
      </c>
      <c r="C28" s="102">
        <f aca="true" t="shared" si="10" ref="C28:H28">IF(Insured_State&lt;&gt;"AZ",C25+C27,C25)</f>
        <v>0</v>
      </c>
      <c r="D28" s="102">
        <f t="shared" si="10"/>
        <v>0</v>
      </c>
      <c r="E28" s="102">
        <f t="shared" si="10"/>
        <v>0</v>
      </c>
      <c r="F28" s="102">
        <f t="shared" si="10"/>
        <v>0</v>
      </c>
      <c r="G28" s="102">
        <f t="shared" si="10"/>
        <v>0</v>
      </c>
      <c r="H28" s="102">
        <f t="shared" si="10"/>
        <v>0</v>
      </c>
      <c r="I28" s="15"/>
    </row>
    <row r="29" spans="3:9" s="112" customFormat="1" ht="12.75">
      <c r="C29" s="102"/>
      <c r="D29" s="102"/>
      <c r="E29" s="102"/>
      <c r="F29" s="102"/>
      <c r="G29" s="102"/>
      <c r="H29" s="102"/>
      <c r="I29" s="15"/>
    </row>
    <row r="30" spans="1:9" s="102" customFormat="1" ht="12.75">
      <c r="A30" s="106" t="s">
        <v>1236</v>
      </c>
      <c r="B30" s="102" t="s">
        <v>1248</v>
      </c>
      <c r="C30" s="102">
        <f>INDEX(IF(CSL,CSL_Minimum_Premium,BI_Minimum_Premium),1,1)</f>
        <v>0</v>
      </c>
      <c r="D30" s="102">
        <f>INDEX(IF(CSL,CSL_Minimum_Premium,BI_Minimum_Premium),1,2)</f>
        <v>0</v>
      </c>
      <c r="E30" s="102">
        <f>INDEX(IF(CSL,CSL_Minimum_Premium,BI_Minimum_Premium),1,3)</f>
        <v>0</v>
      </c>
      <c r="F30" s="102">
        <f>INDEX(IF(CSL,CSL_Minimum_Premium,BI_Minimum_Premium),1,4)</f>
        <v>0</v>
      </c>
      <c r="G30" s="102">
        <f>INDEX(IF(CSL,CSL_Minimum_Premium,BI_Minimum_Premium),1,5)</f>
        <v>0</v>
      </c>
      <c r="H30" s="102">
        <f>INDEX(IF(CSL,CSL_Minimum_Premium,BI_Minimum_Premium),1,6)</f>
        <v>0</v>
      </c>
      <c r="I30" s="1"/>
    </row>
    <row r="31" spans="1:9" s="102" customFormat="1" ht="12.75">
      <c r="A31" s="106"/>
      <c r="B31" s="102" t="s">
        <v>1249</v>
      </c>
      <c r="C31" s="102">
        <f aca="true" t="shared" si="11" ref="C31:H31">IF(C28&lt;C30,C30,C28)</f>
        <v>0</v>
      </c>
      <c r="D31" s="102">
        <f t="shared" si="11"/>
        <v>0</v>
      </c>
      <c r="E31" s="102">
        <f t="shared" si="11"/>
        <v>0</v>
      </c>
      <c r="F31" s="102">
        <f t="shared" si="11"/>
        <v>0</v>
      </c>
      <c r="G31" s="102">
        <f t="shared" si="11"/>
        <v>0</v>
      </c>
      <c r="H31" s="102">
        <f t="shared" si="11"/>
        <v>0</v>
      </c>
      <c r="I31" s="1"/>
    </row>
    <row r="32" spans="2:9" s="102" customFormat="1" ht="12.75">
      <c r="B32" s="109"/>
      <c r="I32" s="1"/>
    </row>
    <row r="33" spans="1:9" s="102" customFormat="1" ht="12.75">
      <c r="A33" s="106" t="s">
        <v>1238</v>
      </c>
      <c r="B33" s="102" t="s">
        <v>1251</v>
      </c>
      <c r="C33" s="102">
        <f aca="true" t="shared" si="12" ref="C33:H33">C31</f>
        <v>0</v>
      </c>
      <c r="D33" s="102">
        <f t="shared" si="12"/>
        <v>0</v>
      </c>
      <c r="E33" s="102">
        <f t="shared" si="12"/>
        <v>0</v>
      </c>
      <c r="F33" s="102">
        <f t="shared" si="12"/>
        <v>0</v>
      </c>
      <c r="G33" s="102">
        <f t="shared" si="12"/>
        <v>0</v>
      </c>
      <c r="H33" s="102">
        <f t="shared" si="12"/>
        <v>0</v>
      </c>
      <c r="I33" s="1"/>
    </row>
    <row r="34" spans="2:9" s="102" customFormat="1" ht="12.75">
      <c r="B34" s="109"/>
      <c r="I34" s="1"/>
    </row>
    <row r="35" spans="1:9" s="102" customFormat="1" ht="12.75">
      <c r="A35" s="106" t="s">
        <v>1243</v>
      </c>
      <c r="B35" s="102" t="s">
        <v>1255</v>
      </c>
      <c r="C35" s="102">
        <f aca="true" t="shared" si="13" ref="C35:H35">C33-(C33*Valued_Customer_Discount_Factor)</f>
        <v>0</v>
      </c>
      <c r="D35" s="102">
        <f t="shared" si="13"/>
        <v>0</v>
      </c>
      <c r="E35" s="102">
        <f t="shared" si="13"/>
        <v>0</v>
      </c>
      <c r="F35" s="102">
        <f t="shared" si="13"/>
        <v>0</v>
      </c>
      <c r="G35" s="102">
        <f t="shared" si="13"/>
        <v>0</v>
      </c>
      <c r="H35" s="102">
        <f t="shared" si="13"/>
        <v>0</v>
      </c>
      <c r="I35" s="1"/>
    </row>
    <row r="36" spans="1:9" s="102" customFormat="1" ht="12.75">
      <c r="A36" s="106"/>
      <c r="B36" s="102" t="s">
        <v>1256</v>
      </c>
      <c r="C36" s="102">
        <f aca="true" t="shared" si="14" ref="C36:H36">IF(Insured_State="MI",C35-(C35*C16),C35)</f>
        <v>0</v>
      </c>
      <c r="D36" s="102">
        <f t="shared" si="14"/>
        <v>0</v>
      </c>
      <c r="E36" s="102">
        <f t="shared" si="14"/>
        <v>0</v>
      </c>
      <c r="F36" s="102">
        <f t="shared" si="14"/>
        <v>0</v>
      </c>
      <c r="G36" s="102">
        <f t="shared" si="14"/>
        <v>0</v>
      </c>
      <c r="H36" s="102">
        <f t="shared" si="14"/>
        <v>0</v>
      </c>
      <c r="I36" s="1"/>
    </row>
    <row r="37" spans="1:9" s="102" customFormat="1" ht="12.75">
      <c r="A37" s="106"/>
      <c r="B37" s="102" t="s">
        <v>1257</v>
      </c>
      <c r="C37" s="102">
        <f aca="true" t="shared" si="15" ref="C37:H37">C36*Policy_Period_Factor</f>
        <v>0</v>
      </c>
      <c r="D37" s="102">
        <f t="shared" si="15"/>
        <v>0</v>
      </c>
      <c r="E37" s="102">
        <f t="shared" si="15"/>
        <v>0</v>
      </c>
      <c r="F37" s="102">
        <f t="shared" si="15"/>
        <v>0</v>
      </c>
      <c r="G37" s="102">
        <f t="shared" si="15"/>
        <v>0</v>
      </c>
      <c r="H37" s="102">
        <f t="shared" si="15"/>
        <v>0</v>
      </c>
      <c r="I37" s="1"/>
    </row>
    <row r="38" spans="1:9" s="102" customFormat="1" ht="12.75">
      <c r="A38" s="106"/>
      <c r="B38" s="102" t="s">
        <v>1258</v>
      </c>
      <c r="C38" s="102">
        <f aca="true" t="shared" si="16" ref="C38:H38">C37-(C37*Fampak_Discount_Factor)</f>
        <v>0</v>
      </c>
      <c r="D38" s="102">
        <f t="shared" si="16"/>
        <v>0</v>
      </c>
      <c r="E38" s="102">
        <f t="shared" si="16"/>
        <v>0</v>
      </c>
      <c r="F38" s="102">
        <f t="shared" si="16"/>
        <v>0</v>
      </c>
      <c r="G38" s="102">
        <f t="shared" si="16"/>
        <v>0</v>
      </c>
      <c r="H38" s="102">
        <f t="shared" si="16"/>
        <v>0</v>
      </c>
      <c r="I38" s="1"/>
    </row>
    <row r="39" spans="1:9" s="102" customFormat="1" ht="12.75">
      <c r="A39" s="106"/>
      <c r="B39" s="112" t="s">
        <v>1259</v>
      </c>
      <c r="C39" s="102">
        <f aca="true" t="shared" si="17" ref="C39:H39">C38-(C38*Prime_Life_Discount_Factor)</f>
        <v>0</v>
      </c>
      <c r="D39" s="102">
        <f t="shared" si="17"/>
        <v>0</v>
      </c>
      <c r="E39" s="102">
        <f t="shared" si="17"/>
        <v>0</v>
      </c>
      <c r="F39" s="102">
        <f t="shared" si="17"/>
        <v>0</v>
      </c>
      <c r="G39" s="102">
        <f t="shared" si="17"/>
        <v>0</v>
      </c>
      <c r="H39" s="102">
        <f t="shared" si="17"/>
        <v>0</v>
      </c>
      <c r="I39" s="1"/>
    </row>
    <row r="40" spans="1:9" s="102" customFormat="1" ht="12.75">
      <c r="A40" s="106"/>
      <c r="B40" s="102" t="s">
        <v>1260</v>
      </c>
      <c r="C40" s="102">
        <f aca="true" t="shared" si="18" ref="C40:H40">IF(Insured_State="PA",C39-(C39*C16),C39)</f>
        <v>0</v>
      </c>
      <c r="D40" s="102">
        <f t="shared" si="18"/>
        <v>0</v>
      </c>
      <c r="E40" s="102">
        <f t="shared" si="18"/>
        <v>0</v>
      </c>
      <c r="F40" s="102">
        <f t="shared" si="18"/>
        <v>0</v>
      </c>
      <c r="G40" s="102">
        <f t="shared" si="18"/>
        <v>0</v>
      </c>
      <c r="H40" s="102">
        <f t="shared" si="18"/>
        <v>0</v>
      </c>
      <c r="I40" s="1"/>
    </row>
    <row r="41" spans="1:9" s="102" customFormat="1" ht="12.75">
      <c r="A41" s="106"/>
      <c r="B41" s="102" t="s">
        <v>1261</v>
      </c>
      <c r="C41" s="102">
        <f aca="true" t="shared" si="19" ref="C41:H41">IF(Insured_State="PA",IF(CSL,Tort_Factor_CSL,Tort_Factor_BI),1)</f>
        <v>1</v>
      </c>
      <c r="D41" s="102">
        <f t="shared" si="19"/>
        <v>1</v>
      </c>
      <c r="E41" s="102">
        <f t="shared" si="19"/>
        <v>1</v>
      </c>
      <c r="F41" s="102">
        <f t="shared" si="19"/>
        <v>1</v>
      </c>
      <c r="G41" s="102">
        <f t="shared" si="19"/>
        <v>1</v>
      </c>
      <c r="H41" s="102">
        <f t="shared" si="19"/>
        <v>1</v>
      </c>
      <c r="I41" s="1"/>
    </row>
    <row r="42" spans="1:9" s="102" customFormat="1" ht="12.75">
      <c r="A42" s="106"/>
      <c r="B42" s="102" t="s">
        <v>1262</v>
      </c>
      <c r="C42" s="102">
        <f aca="true" t="shared" si="20" ref="C42:H42">C40*C41</f>
        <v>0</v>
      </c>
      <c r="D42" s="102">
        <f t="shared" si="20"/>
        <v>0</v>
      </c>
      <c r="E42" s="102">
        <f t="shared" si="20"/>
        <v>0</v>
      </c>
      <c r="F42" s="102">
        <f t="shared" si="20"/>
        <v>0</v>
      </c>
      <c r="G42" s="102">
        <f t="shared" si="20"/>
        <v>0</v>
      </c>
      <c r="H42" s="102">
        <f t="shared" si="20"/>
        <v>0</v>
      </c>
      <c r="I42" s="1"/>
    </row>
    <row r="43" spans="1:9" s="102" customFormat="1" ht="12.75">
      <c r="A43" s="106"/>
      <c r="B43" s="112" t="s">
        <v>1263</v>
      </c>
      <c r="C43" s="102">
        <f>C42-(C42*INDEX(Mass_Merchandise_Factor,,1))</f>
        <v>0</v>
      </c>
      <c r="D43" s="102">
        <f>D42-(D42*INDEX(Mass_Merchandise_Factor,,2))</f>
        <v>0</v>
      </c>
      <c r="E43" s="102">
        <f>E42-(E42*INDEX(Mass_Merchandise_Factor,,3))</f>
        <v>0</v>
      </c>
      <c r="F43" s="102">
        <f>F42-(F42*INDEX(Mass_Merchandise_Factor,,4))</f>
        <v>0</v>
      </c>
      <c r="G43" s="102">
        <f>G42-(G42*INDEX(Mass_Merchandise_Factor,,5))</f>
        <v>0</v>
      </c>
      <c r="H43" s="102">
        <f>H42-(H42*INDEX(Mass_Merchandise_Factor,,6))</f>
        <v>0</v>
      </c>
      <c r="I43" s="1"/>
    </row>
    <row r="44" spans="1:9" s="102" customFormat="1" ht="12.75">
      <c r="A44" s="106"/>
      <c r="B44" s="112" t="s">
        <v>1264</v>
      </c>
      <c r="C44" s="102">
        <f aca="true" t="shared" si="21" ref="C44:H44">C43-(C43*IN_Standard_Agent_Commission_Factor)</f>
        <v>0</v>
      </c>
      <c r="D44" s="102">
        <f t="shared" si="21"/>
        <v>0</v>
      </c>
      <c r="E44" s="102">
        <f t="shared" si="21"/>
        <v>0</v>
      </c>
      <c r="F44" s="102">
        <f t="shared" si="21"/>
        <v>0</v>
      </c>
      <c r="G44" s="102">
        <f t="shared" si="21"/>
        <v>0</v>
      </c>
      <c r="H44" s="102">
        <f t="shared" si="21"/>
        <v>0</v>
      </c>
      <c r="I44" s="1"/>
    </row>
    <row r="45" spans="1:9" s="102" customFormat="1" ht="12.75">
      <c r="A45" s="106" t="s">
        <v>1247</v>
      </c>
      <c r="B45" s="112" t="s">
        <v>1266</v>
      </c>
      <c r="C45" s="102">
        <f aca="true" t="shared" si="22" ref="C45:H45">C44</f>
        <v>0</v>
      </c>
      <c r="D45" s="102">
        <f t="shared" si="22"/>
        <v>0</v>
      </c>
      <c r="E45" s="102">
        <f t="shared" si="22"/>
        <v>0</v>
      </c>
      <c r="F45" s="102">
        <f t="shared" si="22"/>
        <v>0</v>
      </c>
      <c r="G45" s="102">
        <f t="shared" si="22"/>
        <v>0</v>
      </c>
      <c r="H45" s="102">
        <f t="shared" si="22"/>
        <v>0</v>
      </c>
      <c r="I45" s="1"/>
    </row>
    <row r="46" spans="2:9" s="102" customFormat="1" ht="12.75">
      <c r="B46" s="109"/>
      <c r="I46" s="1"/>
    </row>
    <row r="47" spans="1:9" s="102" customFormat="1" ht="12.75">
      <c r="A47" s="106"/>
      <c r="B47" s="102" t="s">
        <v>1431</v>
      </c>
      <c r="C47" s="102">
        <f>IF(AND(Insured_State&lt;&gt;"MI",INDEX(Named_Non_owner_liability_indicator_for_Vehicle,,1)="Y"),1,0)</f>
        <v>0</v>
      </c>
      <c r="D47" s="102">
        <f>IF(AND(Insured_State&lt;&gt;"MI",INDEX(Named_Non_owner_liability_indicator_for_Vehicle,,2)="Y"),1,0)</f>
        <v>0</v>
      </c>
      <c r="E47" s="102">
        <f>IF(AND(Insured_State&lt;&gt;"MI",INDEX(Named_Non_owner_liability_indicator_for_Vehicle,,3)="Y"),1,0)</f>
        <v>0</v>
      </c>
      <c r="F47" s="102">
        <f>IF(AND(Insured_State&lt;&gt;"MI",INDEX(Named_Non_owner_liability_indicator_for_Vehicle,,4)="Y"),1,0)</f>
        <v>0</v>
      </c>
      <c r="G47" s="102">
        <f>IF(AND(Insured_State&lt;&gt;"MI",INDEX(Named_Non_owner_liability_indicator_for_Vehicle,,5)="Y"),1,0)</f>
        <v>0</v>
      </c>
      <c r="H47" s="102">
        <f>IF(AND(Insured_State&lt;&gt;"MI",INDEX(Named_Non_owner_liability_indicator_for_Vehicle,,6)="Y"),1,0)</f>
        <v>0</v>
      </c>
      <c r="I47" s="1"/>
    </row>
    <row r="48" spans="1:9" s="102" customFormat="1" ht="12.75">
      <c r="A48" s="106"/>
      <c r="I48" s="1"/>
    </row>
    <row r="49" spans="1:9" s="106" customFormat="1" ht="12.75">
      <c r="A49" s="112"/>
      <c r="B49" s="112" t="s">
        <v>1268</v>
      </c>
      <c r="C49" s="112">
        <f aca="true" t="shared" si="23" ref="C49:H49">IF(OR(ISERROR(C45),C45&lt;=0,C47=0),0,C45)</f>
        <v>0</v>
      </c>
      <c r="D49" s="112">
        <f t="shared" si="23"/>
        <v>0</v>
      </c>
      <c r="E49" s="112">
        <f t="shared" si="23"/>
        <v>0</v>
      </c>
      <c r="F49" s="112">
        <f t="shared" si="23"/>
        <v>0</v>
      </c>
      <c r="G49" s="112">
        <f t="shared" si="23"/>
        <v>0</v>
      </c>
      <c r="H49" s="112">
        <f t="shared" si="23"/>
        <v>0</v>
      </c>
      <c r="I49" s="6"/>
    </row>
    <row r="50" spans="2:9" s="112" customFormat="1" ht="12.75">
      <c r="B50" s="112" t="s">
        <v>1269</v>
      </c>
      <c r="C50" s="102">
        <f aca="true" t="shared" si="24" ref="C50:H50">IF(AND(Insured_State="AZ",C47&lt;&gt;0),C27,0)</f>
        <v>0</v>
      </c>
      <c r="D50" s="102">
        <f t="shared" si="24"/>
        <v>0</v>
      </c>
      <c r="E50" s="102">
        <f t="shared" si="24"/>
        <v>0</v>
      </c>
      <c r="F50" s="102">
        <f t="shared" si="24"/>
        <v>0</v>
      </c>
      <c r="G50" s="102">
        <f t="shared" si="24"/>
        <v>0</v>
      </c>
      <c r="H50" s="102">
        <f t="shared" si="24"/>
        <v>0</v>
      </c>
      <c r="I50" s="15"/>
    </row>
    <row r="51" spans="1:9" s="106" customFormat="1" ht="12.75">
      <c r="A51" s="106" t="s">
        <v>1270</v>
      </c>
      <c r="B51" s="106" t="s">
        <v>1448</v>
      </c>
      <c r="C51" s="106">
        <f aca="true" t="shared" si="25" ref="C51:H51">IF(ISERROR(C49+C50),0,ROUND(C49+C50,2))</f>
        <v>0</v>
      </c>
      <c r="D51" s="106">
        <f t="shared" si="25"/>
        <v>0</v>
      </c>
      <c r="E51" s="106">
        <f t="shared" si="25"/>
        <v>0</v>
      </c>
      <c r="F51" s="106">
        <f t="shared" si="25"/>
        <v>0</v>
      </c>
      <c r="G51" s="106">
        <f t="shared" si="25"/>
        <v>0</v>
      </c>
      <c r="H51" s="106">
        <f t="shared" si="25"/>
        <v>0</v>
      </c>
      <c r="I51" s="6"/>
    </row>
    <row r="54" spans="1:8" ht="20.25" customHeight="1">
      <c r="A54" s="103"/>
      <c r="B54" s="129" t="s">
        <v>1272</v>
      </c>
      <c r="C54" s="103"/>
      <c r="D54" s="103"/>
      <c r="E54" s="103"/>
      <c r="F54" s="102"/>
      <c r="G54" s="102"/>
      <c r="H54" s="102"/>
    </row>
    <row r="55" spans="1:9" s="106" customFormat="1" ht="12.75">
      <c r="A55" s="106" t="s">
        <v>1206</v>
      </c>
      <c r="B55" s="106" t="s">
        <v>1207</v>
      </c>
      <c r="C55" s="106" t="s">
        <v>428</v>
      </c>
      <c r="D55" s="106" t="s">
        <v>429</v>
      </c>
      <c r="E55" s="106" t="s">
        <v>430</v>
      </c>
      <c r="F55" s="106" t="s">
        <v>431</v>
      </c>
      <c r="G55" s="106" t="s">
        <v>432</v>
      </c>
      <c r="H55" s="106" t="s">
        <v>433</v>
      </c>
      <c r="I55" s="6" t="s">
        <v>229</v>
      </c>
    </row>
    <row r="56" spans="1:9" ht="12.75">
      <c r="A56" s="106" t="s">
        <v>1208</v>
      </c>
      <c r="B56" s="102" t="s">
        <v>1209</v>
      </c>
      <c r="C56" s="102">
        <f>IF(CSL,0,INDEX(PD_Base_rate,1,1))</f>
        <v>0</v>
      </c>
      <c r="D56" s="102">
        <f>IF(CSL,0,INDEX(PD_Base_rate,1,2))</f>
        <v>0</v>
      </c>
      <c r="E56" s="102">
        <f>IF(CSL,0,INDEX(PD_Base_rate,1,3))</f>
        <v>0</v>
      </c>
      <c r="F56" s="102">
        <f>IF(CSL,0,INDEX(PD_Base_rate,1,4))</f>
        <v>0</v>
      </c>
      <c r="G56" s="102">
        <f>IF(CSL,0,INDEX(PD_Base_rate,1,5))</f>
        <v>0</v>
      </c>
      <c r="H56" s="102">
        <f>IF(CSL,0,INDEX(PD_Base_rate,1,6))</f>
        <v>0</v>
      </c>
      <c r="I56" s="1"/>
    </row>
    <row r="57" spans="1:9" ht="12.75">
      <c r="A57" s="106" t="s">
        <v>1214</v>
      </c>
      <c r="B57" s="102" t="s">
        <v>1337</v>
      </c>
      <c r="C57" s="102">
        <f>INDEX(PD_Base_Premium,1,1)</f>
        <v>0</v>
      </c>
      <c r="D57" s="102">
        <f>INDEX(PD_Base_Premium,1,2)</f>
        <v>0</v>
      </c>
      <c r="E57" s="102">
        <f>INDEX(PD_Base_Premium,1,3)</f>
        <v>0</v>
      </c>
      <c r="F57" s="102">
        <f>INDEX(PD_Base_Premium,1,4)</f>
        <v>0</v>
      </c>
      <c r="G57" s="102">
        <f>INDEX(PD_Base_Premium,1,5)</f>
        <v>0</v>
      </c>
      <c r="H57" s="102">
        <f>INDEX(PD_Base_Premium,1,6)</f>
        <v>0</v>
      </c>
      <c r="I57" s="1"/>
    </row>
    <row r="58" spans="2:9" s="102" customFormat="1" ht="12.75">
      <c r="B58" s="108" t="s">
        <v>997</v>
      </c>
      <c r="C58" s="102">
        <f aca="true" t="shared" si="26" ref="C58:H58">Named_Non_owner_PD_factor</f>
        <v>1</v>
      </c>
      <c r="D58" s="102">
        <f t="shared" si="26"/>
        <v>1</v>
      </c>
      <c r="E58" s="102">
        <f t="shared" si="26"/>
        <v>1</v>
      </c>
      <c r="F58" s="102">
        <f t="shared" si="26"/>
        <v>1</v>
      </c>
      <c r="G58" s="102">
        <f t="shared" si="26"/>
        <v>1</v>
      </c>
      <c r="H58" s="102">
        <f t="shared" si="26"/>
        <v>1</v>
      </c>
      <c r="I58" s="1"/>
    </row>
    <row r="59" spans="1:9" ht="12.75">
      <c r="A59" s="106"/>
      <c r="B59" s="102" t="s">
        <v>1219</v>
      </c>
      <c r="C59" s="102">
        <f aca="true" t="shared" si="27" ref="C59:H59">IF(Tier_Rating_Factor&lt;&gt;0,C57*C58/Tier_Rating_Factor,0)</f>
        <v>0</v>
      </c>
      <c r="D59" s="102">
        <f t="shared" si="27"/>
        <v>0</v>
      </c>
      <c r="E59" s="102">
        <f t="shared" si="27"/>
        <v>0</v>
      </c>
      <c r="F59" s="102">
        <f t="shared" si="27"/>
        <v>0</v>
      </c>
      <c r="G59" s="102">
        <f t="shared" si="27"/>
        <v>0</v>
      </c>
      <c r="H59" s="102">
        <f t="shared" si="27"/>
        <v>0</v>
      </c>
      <c r="I59" s="1"/>
    </row>
    <row r="60" spans="1:9" s="102" customFormat="1" ht="12.75">
      <c r="A60" s="106"/>
      <c r="I60" s="1"/>
    </row>
    <row r="61" spans="1:9" ht="12.75">
      <c r="A61" s="106" t="s">
        <v>1334</v>
      </c>
      <c r="B61" s="108" t="s">
        <v>830</v>
      </c>
      <c r="C61" s="102">
        <f>INDEX(ABS_Discount_Factor,1,1)</f>
        <v>0</v>
      </c>
      <c r="D61" s="102">
        <f>INDEX(ABS_Discount_Factor,1,2)</f>
        <v>0</v>
      </c>
      <c r="E61" s="102">
        <f>INDEX(ABS_Discount_Factor,1,3)</f>
        <v>0</v>
      </c>
      <c r="F61" s="102">
        <f>INDEX(ABS_Discount_Factor,1,4)</f>
        <v>0</v>
      </c>
      <c r="G61" s="102">
        <f>INDEX(ABS_Discount_Factor,1,5)</f>
        <v>0</v>
      </c>
      <c r="H61" s="102">
        <f>INDEX(ABS_Discount_Factor,1,6)</f>
        <v>0</v>
      </c>
      <c r="I61" s="1"/>
    </row>
    <row r="62" spans="1:9" ht="12.75">
      <c r="A62" s="102"/>
      <c r="B62" s="108" t="s">
        <v>1234</v>
      </c>
      <c r="C62" s="110">
        <f aca="true" t="shared" si="28" ref="C62:H62">C59*C61</f>
        <v>0</v>
      </c>
      <c r="D62" s="110">
        <f t="shared" si="28"/>
        <v>0</v>
      </c>
      <c r="E62" s="110">
        <f t="shared" si="28"/>
        <v>0</v>
      </c>
      <c r="F62" s="110">
        <f t="shared" si="28"/>
        <v>0</v>
      </c>
      <c r="G62" s="110">
        <f t="shared" si="28"/>
        <v>0</v>
      </c>
      <c r="H62" s="110">
        <f t="shared" si="28"/>
        <v>0</v>
      </c>
      <c r="I62" s="1"/>
    </row>
    <row r="63" spans="1:9" ht="12.75">
      <c r="A63" s="102"/>
      <c r="B63" s="108" t="s">
        <v>1235</v>
      </c>
      <c r="C63" s="110">
        <f aca="true" t="shared" si="29" ref="C63:H63">C59-C62</f>
        <v>0</v>
      </c>
      <c r="D63" s="110">
        <f t="shared" si="29"/>
        <v>0</v>
      </c>
      <c r="E63" s="110">
        <f t="shared" si="29"/>
        <v>0</v>
      </c>
      <c r="F63" s="110">
        <f t="shared" si="29"/>
        <v>0</v>
      </c>
      <c r="G63" s="110">
        <f t="shared" si="29"/>
        <v>0</v>
      </c>
      <c r="H63" s="110">
        <f t="shared" si="29"/>
        <v>0</v>
      </c>
      <c r="I63" s="1"/>
    </row>
    <row r="64" spans="1:9" ht="12.75">
      <c r="A64" s="102"/>
      <c r="B64" s="108"/>
      <c r="C64" s="111"/>
      <c r="D64" s="111"/>
      <c r="E64" s="111"/>
      <c r="F64" s="111"/>
      <c r="G64" s="111"/>
      <c r="H64" s="111"/>
      <c r="I64" s="1"/>
    </row>
    <row r="65" spans="1:9" ht="12.75" customHeight="1">
      <c r="A65" s="106" t="s">
        <v>1229</v>
      </c>
      <c r="B65" s="108" t="s">
        <v>816</v>
      </c>
      <c r="C65" s="102">
        <f>INDEX(SDIP_Factor,,1)</f>
        <v>0</v>
      </c>
      <c r="D65" s="102">
        <f>INDEX(SDIP_Factor,,2)</f>
        <v>0</v>
      </c>
      <c r="E65" s="102">
        <f>INDEX(SDIP_Factor,,3)</f>
        <v>0</v>
      </c>
      <c r="F65" s="102">
        <f>INDEX(SDIP_Factor,,4)</f>
        <v>0</v>
      </c>
      <c r="G65" s="102">
        <f>INDEX(SDIP_Factor,,5)</f>
        <v>0</v>
      </c>
      <c r="H65" s="102">
        <f>INDEX(SDIP_Factor,,6)</f>
        <v>0</v>
      </c>
      <c r="I65" s="1"/>
    </row>
    <row r="66" spans="1:9" ht="12.75">
      <c r="A66" s="106"/>
      <c r="B66" s="108" t="s">
        <v>1237</v>
      </c>
      <c r="C66" s="111">
        <f>INDEX(Accident_Prevention_Discount_Factor,,1)</f>
        <v>0</v>
      </c>
      <c r="D66" s="111">
        <f>INDEX(Accident_Prevention_Discount_Factor,,2)</f>
        <v>0</v>
      </c>
      <c r="E66" s="111">
        <f>INDEX(Accident_Prevention_Discount_Factor,,3)</f>
        <v>0</v>
      </c>
      <c r="F66" s="111">
        <f>INDEX(Accident_Prevention_Discount_Factor,,4)</f>
        <v>0</v>
      </c>
      <c r="G66" s="111">
        <f>INDEX(Accident_Prevention_Discount_Factor,,5)</f>
        <v>0</v>
      </c>
      <c r="H66" s="111">
        <f>INDEX(Accident_Prevention_Discount_Factor,,6)</f>
        <v>0</v>
      </c>
      <c r="I66" s="1"/>
    </row>
    <row r="67" spans="1:9" ht="12.75">
      <c r="A67" s="106"/>
      <c r="B67" s="108" t="s">
        <v>837</v>
      </c>
      <c r="C67" s="111">
        <f>INDEX(Minivan_Discount_Factor,,1)</f>
        <v>0</v>
      </c>
      <c r="D67" s="111">
        <f>INDEX(Minivan_Discount_Factor,,2)</f>
        <v>0</v>
      </c>
      <c r="E67" s="111">
        <f>INDEX(Minivan_Discount_Factor,,3)</f>
        <v>0</v>
      </c>
      <c r="F67" s="111">
        <f>INDEX(Minivan_Discount_Factor,,4)</f>
        <v>0</v>
      </c>
      <c r="G67" s="111">
        <f>INDEX(Minivan_Discount_Factor,,5)</f>
        <v>0</v>
      </c>
      <c r="H67" s="111">
        <f>INDEX(Minivan_Discount_Factor,,6)</f>
        <v>0</v>
      </c>
      <c r="I67" s="1"/>
    </row>
    <row r="68" spans="1:9" ht="12.75">
      <c r="A68" s="102"/>
      <c r="B68" s="108"/>
      <c r="C68" s="102"/>
      <c r="D68" s="102"/>
      <c r="E68" s="102"/>
      <c r="F68" s="102"/>
      <c r="G68" s="102"/>
      <c r="H68" s="102"/>
      <c r="I68" s="1"/>
    </row>
    <row r="69" spans="1:9" ht="12.75">
      <c r="A69" s="106" t="s">
        <v>1231</v>
      </c>
      <c r="B69" s="108" t="s">
        <v>1239</v>
      </c>
      <c r="C69" s="102">
        <f aca="true" t="shared" si="30" ref="C69:H69">C65*C56</f>
        <v>0</v>
      </c>
      <c r="D69" s="102">
        <f t="shared" si="30"/>
        <v>0</v>
      </c>
      <c r="E69" s="102">
        <f t="shared" si="30"/>
        <v>0</v>
      </c>
      <c r="F69" s="102">
        <f t="shared" si="30"/>
        <v>0</v>
      </c>
      <c r="G69" s="102">
        <f t="shared" si="30"/>
        <v>0</v>
      </c>
      <c r="H69" s="102">
        <f t="shared" si="30"/>
        <v>0</v>
      </c>
      <c r="I69" s="1"/>
    </row>
    <row r="70" spans="1:9" ht="12.75">
      <c r="A70" s="102"/>
      <c r="B70" s="108" t="s">
        <v>1240</v>
      </c>
      <c r="C70" s="110">
        <f aca="true" t="shared" si="31" ref="C70:H70">IF(AND(Insured_State&lt;&gt;"MI",Insured_State&lt;&gt;"PA"),C63*C66,0)</f>
        <v>0</v>
      </c>
      <c r="D70" s="110">
        <f t="shared" si="31"/>
        <v>0</v>
      </c>
      <c r="E70" s="110">
        <f t="shared" si="31"/>
        <v>0</v>
      </c>
      <c r="F70" s="110">
        <f t="shared" si="31"/>
        <v>0</v>
      </c>
      <c r="G70" s="110">
        <f t="shared" si="31"/>
        <v>0</v>
      </c>
      <c r="H70" s="110">
        <f t="shared" si="31"/>
        <v>0</v>
      </c>
      <c r="I70" s="1"/>
    </row>
    <row r="71" spans="1:9" s="102" customFormat="1" ht="12.75">
      <c r="A71" s="106"/>
      <c r="B71" s="102" t="s">
        <v>1241</v>
      </c>
      <c r="C71" s="102">
        <f aca="true" t="shared" si="32" ref="C71:H71">((C63-C70)*Loss_Free_Credit_Factor)</f>
        <v>0</v>
      </c>
      <c r="D71" s="102">
        <f t="shared" si="32"/>
        <v>0</v>
      </c>
      <c r="E71" s="102">
        <f t="shared" si="32"/>
        <v>0</v>
      </c>
      <c r="F71" s="102">
        <f t="shared" si="32"/>
        <v>0</v>
      </c>
      <c r="G71" s="102">
        <f t="shared" si="32"/>
        <v>0</v>
      </c>
      <c r="H71" s="102">
        <f t="shared" si="32"/>
        <v>0</v>
      </c>
      <c r="I71" s="1"/>
    </row>
    <row r="72" spans="1:9" ht="12.75">
      <c r="A72" s="102"/>
      <c r="B72" s="108" t="s">
        <v>1242</v>
      </c>
      <c r="C72" s="110">
        <f aca="true" t="shared" si="33" ref="C72:H72">(C63-C70-C71)*C67</f>
        <v>0</v>
      </c>
      <c r="D72" s="110">
        <f t="shared" si="33"/>
        <v>0</v>
      </c>
      <c r="E72" s="110">
        <f t="shared" si="33"/>
        <v>0</v>
      </c>
      <c r="F72" s="110">
        <f t="shared" si="33"/>
        <v>0</v>
      </c>
      <c r="G72" s="110">
        <f t="shared" si="33"/>
        <v>0</v>
      </c>
      <c r="H72" s="110">
        <f t="shared" si="33"/>
        <v>0</v>
      </c>
      <c r="I72" s="1"/>
    </row>
    <row r="73" spans="1:9" ht="12.75">
      <c r="A73" s="106"/>
      <c r="B73" s="108"/>
      <c r="C73" s="102"/>
      <c r="D73" s="102"/>
      <c r="E73" s="102"/>
      <c r="F73" s="102"/>
      <c r="G73" s="102"/>
      <c r="H73" s="102"/>
      <c r="I73" s="1"/>
    </row>
    <row r="74" spans="1:9" ht="12.75">
      <c r="A74" s="106" t="s">
        <v>1233</v>
      </c>
      <c r="B74" s="102" t="s">
        <v>1244</v>
      </c>
      <c r="C74" s="110">
        <f aca="true" t="shared" si="34" ref="C74:H74">(C63+C69-C70--C71-C72)</f>
        <v>0</v>
      </c>
      <c r="D74" s="110">
        <f t="shared" si="34"/>
        <v>0</v>
      </c>
      <c r="E74" s="110">
        <f t="shared" si="34"/>
        <v>0</v>
      </c>
      <c r="F74" s="110">
        <f t="shared" si="34"/>
        <v>0</v>
      </c>
      <c r="G74" s="110">
        <f t="shared" si="34"/>
        <v>0</v>
      </c>
      <c r="H74" s="110">
        <f t="shared" si="34"/>
        <v>0</v>
      </c>
      <c r="I74" s="1"/>
    </row>
    <row r="75" spans="1:9" ht="12.75">
      <c r="A75" s="102"/>
      <c r="B75" s="108" t="s">
        <v>1245</v>
      </c>
      <c r="C75" s="110">
        <f>C74*INDEX(MI_High_Performance_Factor,,1)</f>
        <v>0</v>
      </c>
      <c r="D75" s="110">
        <f>D74*INDEX(MI_High_Performance_Factor,,2)</f>
        <v>0</v>
      </c>
      <c r="E75" s="110">
        <f>E74*INDEX(MI_High_Performance_Factor,,3)</f>
        <v>0</v>
      </c>
      <c r="F75" s="110">
        <f>F74*INDEX(MI_High_Performance_Factor,,4)</f>
        <v>0</v>
      </c>
      <c r="G75" s="110">
        <f>G74*INDEX(MI_High_Performance_Factor,,5)</f>
        <v>0</v>
      </c>
      <c r="H75" s="110">
        <f>H74*INDEX(MI_High_Performance_Factor,,6)</f>
        <v>0</v>
      </c>
      <c r="I75" s="1"/>
    </row>
    <row r="76" spans="1:9" ht="12.75">
      <c r="A76" s="102"/>
      <c r="B76" s="102"/>
      <c r="C76" s="102"/>
      <c r="D76" s="102"/>
      <c r="E76" s="102"/>
      <c r="F76" s="102"/>
      <c r="G76" s="102"/>
      <c r="H76" s="102"/>
      <c r="I76" s="1"/>
    </row>
    <row r="77" spans="2:9" s="112" customFormat="1" ht="12.75">
      <c r="B77" s="112" t="s">
        <v>939</v>
      </c>
      <c r="C77" s="102">
        <f aca="true" t="shared" si="35" ref="C77:H77">IF(OR(ISERROR(C75),C75&lt;=0),0,IF(CSL,0,Expense_Fees_Split_PD))</f>
        <v>0</v>
      </c>
      <c r="D77" s="102">
        <f t="shared" si="35"/>
        <v>0</v>
      </c>
      <c r="E77" s="102">
        <f t="shared" si="35"/>
        <v>0</v>
      </c>
      <c r="F77" s="102">
        <f t="shared" si="35"/>
        <v>0</v>
      </c>
      <c r="G77" s="102">
        <f t="shared" si="35"/>
        <v>0</v>
      </c>
      <c r="H77" s="102">
        <f t="shared" si="35"/>
        <v>0</v>
      </c>
      <c r="I77" s="15"/>
    </row>
    <row r="78" spans="2:9" s="112" customFormat="1" ht="12.75">
      <c r="B78" s="112" t="s">
        <v>1246</v>
      </c>
      <c r="C78" s="102">
        <f aca="true" t="shared" si="36" ref="C78:H78">IF(Insured_State&lt;&gt;"AZ",C75+C77,C75)</f>
        <v>0</v>
      </c>
      <c r="D78" s="102">
        <f t="shared" si="36"/>
        <v>0</v>
      </c>
      <c r="E78" s="102">
        <f t="shared" si="36"/>
        <v>0</v>
      </c>
      <c r="F78" s="102">
        <f t="shared" si="36"/>
        <v>0</v>
      </c>
      <c r="G78" s="102">
        <f t="shared" si="36"/>
        <v>0</v>
      </c>
      <c r="H78" s="102">
        <f t="shared" si="36"/>
        <v>0</v>
      </c>
      <c r="I78" s="15"/>
    </row>
    <row r="79" spans="3:9" s="112" customFormat="1" ht="12.75">
      <c r="C79" s="102"/>
      <c r="D79" s="102"/>
      <c r="E79" s="102"/>
      <c r="F79" s="102"/>
      <c r="G79" s="102"/>
      <c r="H79" s="102"/>
      <c r="I79" s="15"/>
    </row>
    <row r="80" spans="1:9" ht="12.75">
      <c r="A80" s="106" t="s">
        <v>1236</v>
      </c>
      <c r="B80" s="102" t="s">
        <v>1248</v>
      </c>
      <c r="C80" s="102">
        <f>IF(CSL,0,INDEX(PD_Minimum_Premium,1,1))</f>
        <v>0</v>
      </c>
      <c r="D80" s="102">
        <f>IF(CSL,0,INDEX(PD_Minimum_Premium,1,2))</f>
        <v>0</v>
      </c>
      <c r="E80" s="102">
        <f>IF(CSL,0,INDEX(PD_Minimum_Premium,1,3))</f>
        <v>0</v>
      </c>
      <c r="F80" s="102">
        <f>IF(CSL,0,INDEX(PD_Minimum_Premium,1,4))</f>
        <v>0</v>
      </c>
      <c r="G80" s="102">
        <f>IF(CSL,0,INDEX(PD_Minimum_Premium,1,5))</f>
        <v>0</v>
      </c>
      <c r="H80" s="102">
        <f>IF(CSL,0,INDEX(PD_Minimum_Premium,1,6))</f>
        <v>0</v>
      </c>
      <c r="I80" s="1"/>
    </row>
    <row r="81" spans="1:9" ht="12.75">
      <c r="A81" s="106"/>
      <c r="B81" s="102" t="s">
        <v>1249</v>
      </c>
      <c r="C81" s="102">
        <f aca="true" t="shared" si="37" ref="C81:H81">IF(C78&lt;C80,C80,C78)</f>
        <v>0</v>
      </c>
      <c r="D81" s="102">
        <f t="shared" si="37"/>
        <v>0</v>
      </c>
      <c r="E81" s="102">
        <f t="shared" si="37"/>
        <v>0</v>
      </c>
      <c r="F81" s="102">
        <f t="shared" si="37"/>
        <v>0</v>
      </c>
      <c r="G81" s="102">
        <f t="shared" si="37"/>
        <v>0</v>
      </c>
      <c r="H81" s="102">
        <f t="shared" si="37"/>
        <v>0</v>
      </c>
      <c r="I81" s="1"/>
    </row>
    <row r="82" spans="1:9" ht="12.75">
      <c r="A82" s="102"/>
      <c r="B82" s="109"/>
      <c r="C82" s="102"/>
      <c r="D82" s="102"/>
      <c r="E82" s="102"/>
      <c r="F82" s="102"/>
      <c r="G82" s="102"/>
      <c r="H82" s="102"/>
      <c r="I82" s="1"/>
    </row>
    <row r="83" spans="1:9" ht="12.75">
      <c r="A83" s="106" t="s">
        <v>1238</v>
      </c>
      <c r="B83" s="102" t="s">
        <v>1251</v>
      </c>
      <c r="C83" s="102">
        <f aca="true" t="shared" si="38" ref="C83:H83">C81</f>
        <v>0</v>
      </c>
      <c r="D83" s="102">
        <f t="shared" si="38"/>
        <v>0</v>
      </c>
      <c r="E83" s="102">
        <f t="shared" si="38"/>
        <v>0</v>
      </c>
      <c r="F83" s="102">
        <f t="shared" si="38"/>
        <v>0</v>
      </c>
      <c r="G83" s="102">
        <f t="shared" si="38"/>
        <v>0</v>
      </c>
      <c r="H83" s="102">
        <f t="shared" si="38"/>
        <v>0</v>
      </c>
      <c r="I83" s="1"/>
    </row>
    <row r="84" spans="1:9" ht="12.75">
      <c r="A84" s="102"/>
      <c r="B84" s="109"/>
      <c r="C84" s="102"/>
      <c r="D84" s="102"/>
      <c r="E84" s="102"/>
      <c r="F84" s="102"/>
      <c r="G84" s="102"/>
      <c r="H84" s="102"/>
      <c r="I84" s="1"/>
    </row>
    <row r="85" spans="1:9" s="102" customFormat="1" ht="12.75">
      <c r="A85" s="106" t="s">
        <v>1243</v>
      </c>
      <c r="B85" s="102" t="s">
        <v>1255</v>
      </c>
      <c r="C85" s="102">
        <f aca="true" t="shared" si="39" ref="C85:H85">C83-(C83*Valued_Customer_Discount_Factor)</f>
        <v>0</v>
      </c>
      <c r="D85" s="102">
        <f t="shared" si="39"/>
        <v>0</v>
      </c>
      <c r="E85" s="102">
        <f t="shared" si="39"/>
        <v>0</v>
      </c>
      <c r="F85" s="102">
        <f t="shared" si="39"/>
        <v>0</v>
      </c>
      <c r="G85" s="102">
        <f t="shared" si="39"/>
        <v>0</v>
      </c>
      <c r="H85" s="102">
        <f t="shared" si="39"/>
        <v>0</v>
      </c>
      <c r="I85" s="1"/>
    </row>
    <row r="86" spans="1:9" s="102" customFormat="1" ht="12.75">
      <c r="A86" s="106"/>
      <c r="B86" s="102" t="s">
        <v>1256</v>
      </c>
      <c r="C86" s="102">
        <f aca="true" t="shared" si="40" ref="C86:H86">IF(Insured_State="MI",C85-(C85*C66),C85)</f>
        <v>0</v>
      </c>
      <c r="D86" s="102">
        <f t="shared" si="40"/>
        <v>0</v>
      </c>
      <c r="E86" s="102">
        <f t="shared" si="40"/>
        <v>0</v>
      </c>
      <c r="F86" s="102">
        <f t="shared" si="40"/>
        <v>0</v>
      </c>
      <c r="G86" s="102">
        <f t="shared" si="40"/>
        <v>0</v>
      </c>
      <c r="H86" s="102">
        <f t="shared" si="40"/>
        <v>0</v>
      </c>
      <c r="I86" s="1"/>
    </row>
    <row r="87" spans="1:9" s="102" customFormat="1" ht="12.75">
      <c r="A87" s="106"/>
      <c r="B87" s="102" t="s">
        <v>1257</v>
      </c>
      <c r="C87" s="102">
        <f aca="true" t="shared" si="41" ref="C87:H87">C86*Policy_Period_Factor</f>
        <v>0</v>
      </c>
      <c r="D87" s="102">
        <f t="shared" si="41"/>
        <v>0</v>
      </c>
      <c r="E87" s="102">
        <f t="shared" si="41"/>
        <v>0</v>
      </c>
      <c r="F87" s="102">
        <f t="shared" si="41"/>
        <v>0</v>
      </c>
      <c r="G87" s="102">
        <f t="shared" si="41"/>
        <v>0</v>
      </c>
      <c r="H87" s="102">
        <f t="shared" si="41"/>
        <v>0</v>
      </c>
      <c r="I87" s="1"/>
    </row>
    <row r="88" spans="1:9" s="102" customFormat="1" ht="12.75">
      <c r="A88" s="106"/>
      <c r="B88" s="102" t="s">
        <v>1258</v>
      </c>
      <c r="C88" s="102">
        <f aca="true" t="shared" si="42" ref="C88:H88">C87-(C87*Fampak_Discount_Factor)</f>
        <v>0</v>
      </c>
      <c r="D88" s="102">
        <f t="shared" si="42"/>
        <v>0</v>
      </c>
      <c r="E88" s="102">
        <f t="shared" si="42"/>
        <v>0</v>
      </c>
      <c r="F88" s="102">
        <f t="shared" si="42"/>
        <v>0</v>
      </c>
      <c r="G88" s="102">
        <f t="shared" si="42"/>
        <v>0</v>
      </c>
      <c r="H88" s="102">
        <f t="shared" si="42"/>
        <v>0</v>
      </c>
      <c r="I88" s="1"/>
    </row>
    <row r="89" spans="1:9" s="102" customFormat="1" ht="12.75">
      <c r="A89" s="106"/>
      <c r="B89" s="112" t="s">
        <v>1259</v>
      </c>
      <c r="C89" s="102">
        <f aca="true" t="shared" si="43" ref="C89:H89">C88-(C88*Prime_Life_Discount_Factor)</f>
        <v>0</v>
      </c>
      <c r="D89" s="102">
        <f t="shared" si="43"/>
        <v>0</v>
      </c>
      <c r="E89" s="102">
        <f t="shared" si="43"/>
        <v>0</v>
      </c>
      <c r="F89" s="102">
        <f t="shared" si="43"/>
        <v>0</v>
      </c>
      <c r="G89" s="102">
        <f t="shared" si="43"/>
        <v>0</v>
      </c>
      <c r="H89" s="102">
        <f t="shared" si="43"/>
        <v>0</v>
      </c>
      <c r="I89" s="1"/>
    </row>
    <row r="90" spans="1:9" s="102" customFormat="1" ht="12.75">
      <c r="A90" s="106"/>
      <c r="B90" s="102" t="s">
        <v>1260</v>
      </c>
      <c r="C90" s="102">
        <f aca="true" t="shared" si="44" ref="C90:H90">IF(Insured_State="PA",C89-(C89*C66),C89)</f>
        <v>0</v>
      </c>
      <c r="D90" s="102">
        <f t="shared" si="44"/>
        <v>0</v>
      </c>
      <c r="E90" s="102">
        <f t="shared" si="44"/>
        <v>0</v>
      </c>
      <c r="F90" s="102">
        <f t="shared" si="44"/>
        <v>0</v>
      </c>
      <c r="G90" s="102">
        <f t="shared" si="44"/>
        <v>0</v>
      </c>
      <c r="H90" s="102">
        <f t="shared" si="44"/>
        <v>0</v>
      </c>
      <c r="I90" s="1"/>
    </row>
    <row r="91" spans="1:9" s="102" customFormat="1" ht="12.75">
      <c r="A91" s="106"/>
      <c r="B91" s="102" t="s">
        <v>1261</v>
      </c>
      <c r="C91" s="102">
        <f aca="true" t="shared" si="45" ref="C91:H91">IF(Insured_State="PA",IF(CSL,1,Tort_Factor_PD),1)</f>
        <v>1</v>
      </c>
      <c r="D91" s="102">
        <f t="shared" si="45"/>
        <v>1</v>
      </c>
      <c r="E91" s="102">
        <f t="shared" si="45"/>
        <v>1</v>
      </c>
      <c r="F91" s="102">
        <f t="shared" si="45"/>
        <v>1</v>
      </c>
      <c r="G91" s="102">
        <f t="shared" si="45"/>
        <v>1</v>
      </c>
      <c r="H91" s="102">
        <f t="shared" si="45"/>
        <v>1</v>
      </c>
      <c r="I91" s="1"/>
    </row>
    <row r="92" spans="1:9" s="102" customFormat="1" ht="12.75">
      <c r="A92" s="106"/>
      <c r="B92" s="102" t="s">
        <v>1262</v>
      </c>
      <c r="C92" s="102">
        <f aca="true" t="shared" si="46" ref="C92:H92">C90*C91</f>
        <v>0</v>
      </c>
      <c r="D92" s="102">
        <f t="shared" si="46"/>
        <v>0</v>
      </c>
      <c r="E92" s="102">
        <f t="shared" si="46"/>
        <v>0</v>
      </c>
      <c r="F92" s="102">
        <f t="shared" si="46"/>
        <v>0</v>
      </c>
      <c r="G92" s="102">
        <f t="shared" si="46"/>
        <v>0</v>
      </c>
      <c r="H92" s="102">
        <f t="shared" si="46"/>
        <v>0</v>
      </c>
      <c r="I92" s="1"/>
    </row>
    <row r="93" spans="1:9" s="102" customFormat="1" ht="12.75">
      <c r="A93" s="106"/>
      <c r="B93" s="112" t="s">
        <v>1263</v>
      </c>
      <c r="C93" s="102">
        <f aca="true" t="shared" si="47" ref="C93:H93">C92-(C92*INDEX(Mass_Merchandise_Factor,,1))</f>
        <v>0</v>
      </c>
      <c r="D93" s="102">
        <f t="shared" si="47"/>
        <v>0</v>
      </c>
      <c r="E93" s="102">
        <f t="shared" si="47"/>
        <v>0</v>
      </c>
      <c r="F93" s="102">
        <f t="shared" si="47"/>
        <v>0</v>
      </c>
      <c r="G93" s="102">
        <f t="shared" si="47"/>
        <v>0</v>
      </c>
      <c r="H93" s="102">
        <f t="shared" si="47"/>
        <v>0</v>
      </c>
      <c r="I93" s="1"/>
    </row>
    <row r="94" spans="1:9" ht="12.75">
      <c r="A94" s="106"/>
      <c r="B94" s="102" t="s">
        <v>1275</v>
      </c>
      <c r="C94" s="102">
        <f aca="true" t="shared" si="48" ref="C94:H94">C93+IF(Michigan_PD_Liability_Buyback="Y",MI_PD_Buyback_Premium,0)</f>
        <v>0</v>
      </c>
      <c r="D94" s="102">
        <f t="shared" si="48"/>
        <v>0</v>
      </c>
      <c r="E94" s="102">
        <f t="shared" si="48"/>
        <v>0</v>
      </c>
      <c r="F94" s="102">
        <f t="shared" si="48"/>
        <v>0</v>
      </c>
      <c r="G94" s="102">
        <f t="shared" si="48"/>
        <v>0</v>
      </c>
      <c r="H94" s="102">
        <f t="shared" si="48"/>
        <v>0</v>
      </c>
      <c r="I94" s="1"/>
    </row>
    <row r="95" spans="1:9" s="102" customFormat="1" ht="12.75">
      <c r="A95" s="106"/>
      <c r="B95" s="112" t="s">
        <v>1264</v>
      </c>
      <c r="C95" s="102">
        <f aca="true" t="shared" si="49" ref="C95:H95">C94-(C94*IN_Standard_Agent_Commission_Factor)</f>
        <v>0</v>
      </c>
      <c r="D95" s="102">
        <f t="shared" si="49"/>
        <v>0</v>
      </c>
      <c r="E95" s="102">
        <f t="shared" si="49"/>
        <v>0</v>
      </c>
      <c r="F95" s="102">
        <f t="shared" si="49"/>
        <v>0</v>
      </c>
      <c r="G95" s="102">
        <f t="shared" si="49"/>
        <v>0</v>
      </c>
      <c r="H95" s="102">
        <f t="shared" si="49"/>
        <v>0</v>
      </c>
      <c r="I95" s="1"/>
    </row>
    <row r="96" spans="1:9" s="102" customFormat="1" ht="12.75">
      <c r="A96" s="106" t="s">
        <v>1247</v>
      </c>
      <c r="B96" s="112" t="s">
        <v>1266</v>
      </c>
      <c r="C96" s="102">
        <f aca="true" t="shared" si="50" ref="C96:H96">C95</f>
        <v>0</v>
      </c>
      <c r="D96" s="102">
        <f t="shared" si="50"/>
        <v>0</v>
      </c>
      <c r="E96" s="102">
        <f t="shared" si="50"/>
        <v>0</v>
      </c>
      <c r="F96" s="102">
        <f t="shared" si="50"/>
        <v>0</v>
      </c>
      <c r="G96" s="102">
        <f t="shared" si="50"/>
        <v>0</v>
      </c>
      <c r="H96" s="102">
        <f t="shared" si="50"/>
        <v>0</v>
      </c>
      <c r="I96" s="1"/>
    </row>
    <row r="97" spans="2:9" s="102" customFormat="1" ht="12.75">
      <c r="B97" s="109"/>
      <c r="I97" s="1"/>
    </row>
    <row r="98" spans="1:9" s="102" customFormat="1" ht="12.75">
      <c r="A98" s="106"/>
      <c r="B98" s="102" t="s">
        <v>1432</v>
      </c>
      <c r="C98" s="102">
        <f>IF(AND(Insured_State&lt;&gt;"MI",INDEX(Named_Non_owner_Property_Damage_indicator_for_Vehicle,,1)="Y"),1,0)</f>
        <v>0</v>
      </c>
      <c r="D98" s="102">
        <f>IF(AND(Insured_State&lt;&gt;"MI",INDEX(Named_Non_owner_Property_Damage_indicator_for_Vehicle,,2)="Y"),1,0)</f>
        <v>0</v>
      </c>
      <c r="E98" s="102">
        <f>IF(AND(Insured_State&lt;&gt;"MI",INDEX(Named_Non_owner_Property_Damage_indicator_for_Vehicle,,3)="Y"),1,0)</f>
        <v>0</v>
      </c>
      <c r="F98" s="102">
        <f>IF(AND(Insured_State&lt;&gt;"MI",INDEX(Named_Non_owner_Property_Damage_indicator_for_Vehicle,,4)="Y"),1,0)</f>
        <v>0</v>
      </c>
      <c r="G98" s="102">
        <f>IF(AND(Insured_State&lt;&gt;"MI",INDEX(Named_Non_owner_Property_Damage_indicator_for_Vehicle,,5)="Y"),1,0)</f>
        <v>0</v>
      </c>
      <c r="H98" s="102">
        <f>IF(AND(Insured_State&lt;&gt;"MI",INDEX(Named_Non_owner_Property_Damage_indicator_for_Vehicle,,6)="Y"),1,0)</f>
        <v>0</v>
      </c>
      <c r="I98" s="1"/>
    </row>
    <row r="99" spans="1:9" s="102" customFormat="1" ht="12.75">
      <c r="A99" s="106"/>
      <c r="I99" s="1"/>
    </row>
    <row r="100" spans="2:9" ht="12.75">
      <c r="B100" s="112" t="s">
        <v>1276</v>
      </c>
      <c r="C100" s="112">
        <f aca="true" t="shared" si="51" ref="C100:H100">IF(OR(CSL,ISERROR(C96),C96&lt;=0,C98=0),0,C96)</f>
        <v>0</v>
      </c>
      <c r="D100" s="112">
        <f t="shared" si="51"/>
        <v>0</v>
      </c>
      <c r="E100" s="112">
        <f t="shared" si="51"/>
        <v>0</v>
      </c>
      <c r="F100" s="112">
        <f t="shared" si="51"/>
        <v>0</v>
      </c>
      <c r="G100" s="112">
        <f t="shared" si="51"/>
        <v>0</v>
      </c>
      <c r="H100" s="112">
        <f t="shared" si="51"/>
        <v>0</v>
      </c>
      <c r="I100" t="s">
        <v>1277</v>
      </c>
    </row>
    <row r="101" spans="2:9" s="112" customFormat="1" ht="12.75">
      <c r="B101" s="112" t="s">
        <v>1269</v>
      </c>
      <c r="C101" s="102">
        <f aca="true" t="shared" si="52" ref="C101:H101">IF(AND(Insured_State="AZ",C98&lt;&gt;0),C77,0)</f>
        <v>0</v>
      </c>
      <c r="D101" s="102">
        <f t="shared" si="52"/>
        <v>0</v>
      </c>
      <c r="E101" s="102">
        <f t="shared" si="52"/>
        <v>0</v>
      </c>
      <c r="F101" s="102">
        <f t="shared" si="52"/>
        <v>0</v>
      </c>
      <c r="G101" s="102">
        <f t="shared" si="52"/>
        <v>0</v>
      </c>
      <c r="H101" s="102">
        <f t="shared" si="52"/>
        <v>0</v>
      </c>
      <c r="I101" s="15"/>
    </row>
    <row r="102" spans="1:9" s="106" customFormat="1" ht="12.75">
      <c r="A102" s="106" t="s">
        <v>1270</v>
      </c>
      <c r="B102" s="106" t="s">
        <v>1449</v>
      </c>
      <c r="C102" s="110">
        <f aca="true" t="shared" si="53" ref="C102:H102">IF(ISERROR(C100+C101),0,ROUND(C100+C101,2))</f>
        <v>0</v>
      </c>
      <c r="D102" s="110">
        <f t="shared" si="53"/>
        <v>0</v>
      </c>
      <c r="E102" s="110">
        <f t="shared" si="53"/>
        <v>0</v>
      </c>
      <c r="F102" s="110">
        <f t="shared" si="53"/>
        <v>0</v>
      </c>
      <c r="G102" s="110">
        <f t="shared" si="53"/>
        <v>0</v>
      </c>
      <c r="H102" s="110">
        <f t="shared" si="53"/>
        <v>0</v>
      </c>
      <c r="I102" s="6"/>
    </row>
    <row r="105" spans="2:5" ht="20.25" customHeight="1">
      <c r="B105" s="114" t="s">
        <v>1326</v>
      </c>
      <c r="C105" s="116"/>
      <c r="D105" s="116"/>
      <c r="E105" s="116"/>
    </row>
    <row r="106" spans="1:9" ht="12.75">
      <c r="A106" s="106" t="s">
        <v>1208</v>
      </c>
      <c r="B106" s="102" t="s">
        <v>1209</v>
      </c>
      <c r="C106" s="102">
        <f>INDEX(Medical_Base_Rate,1,1)</f>
        <v>0</v>
      </c>
      <c r="D106" s="102">
        <f>INDEX(Medical_Base_Rate,1,2)</f>
        <v>0</v>
      </c>
      <c r="E106" s="102">
        <f>INDEX(Medical_Base_Rate,1,3)</f>
        <v>0</v>
      </c>
      <c r="F106" s="102">
        <f>INDEX(Medical_Base_Rate,1,4)</f>
        <v>0</v>
      </c>
      <c r="G106" s="102">
        <f>INDEX(Medical_Base_Rate,1,5)</f>
        <v>0</v>
      </c>
      <c r="H106" s="102">
        <f>INDEX(Medical_Base_Rate,1,6)</f>
        <v>0</v>
      </c>
      <c r="I106" s="1"/>
    </row>
    <row r="107" spans="1:9" ht="12.75">
      <c r="A107" s="106" t="s">
        <v>1214</v>
      </c>
      <c r="B107" s="102" t="s">
        <v>1424</v>
      </c>
      <c r="C107" s="102">
        <f>INDEX(Medical_Base_premium,1,1)</f>
        <v>0</v>
      </c>
      <c r="D107" s="102">
        <f>INDEX(Medical_Base_premium,1,2)</f>
        <v>0</v>
      </c>
      <c r="E107" s="102">
        <f>INDEX(Medical_Base_premium,1,3)</f>
        <v>0</v>
      </c>
      <c r="F107" s="102">
        <f>INDEX(Medical_Base_premium,1,4)</f>
        <v>0</v>
      </c>
      <c r="G107" s="102">
        <f>INDEX(Medical_Base_premium,1,5)</f>
        <v>0</v>
      </c>
      <c r="H107" s="102">
        <f>INDEX(Medical_Base_premium,1,6)</f>
        <v>0</v>
      </c>
      <c r="I107" s="1"/>
    </row>
    <row r="108" spans="1:9" ht="12.75">
      <c r="A108" s="106" t="s">
        <v>1334</v>
      </c>
      <c r="B108" s="102" t="s">
        <v>1450</v>
      </c>
      <c r="C108" s="102">
        <f aca="true" t="shared" si="54" ref="C108:H108">Named_Non_owner_Medical_factor</f>
        <v>1</v>
      </c>
      <c r="D108" s="102">
        <f t="shared" si="54"/>
        <v>1</v>
      </c>
      <c r="E108" s="102">
        <f t="shared" si="54"/>
        <v>1</v>
      </c>
      <c r="F108" s="102">
        <f t="shared" si="54"/>
        <v>1</v>
      </c>
      <c r="G108" s="102">
        <f t="shared" si="54"/>
        <v>1</v>
      </c>
      <c r="H108" s="102">
        <f t="shared" si="54"/>
        <v>1</v>
      </c>
      <c r="I108" s="1"/>
    </row>
    <row r="109" spans="1:9" s="102" customFormat="1" ht="12.75">
      <c r="A109" s="106" t="s">
        <v>1451</v>
      </c>
      <c r="B109" s="107" t="s">
        <v>1219</v>
      </c>
      <c r="C109" s="102">
        <f aca="true" t="shared" si="55" ref="C109:H109">IF(Tier_Rating_Factor&lt;&gt;0,C107*C108/Tier_Rating_Factor,0)</f>
        <v>0</v>
      </c>
      <c r="D109" s="102">
        <f t="shared" si="55"/>
        <v>0</v>
      </c>
      <c r="E109" s="102">
        <f t="shared" si="55"/>
        <v>0</v>
      </c>
      <c r="F109" s="102">
        <f t="shared" si="55"/>
        <v>0</v>
      </c>
      <c r="G109" s="102">
        <f t="shared" si="55"/>
        <v>0</v>
      </c>
      <c r="H109" s="102">
        <f t="shared" si="55"/>
        <v>0</v>
      </c>
      <c r="I109" s="1"/>
    </row>
    <row r="110" spans="1:9" s="102" customFormat="1" ht="12.75">
      <c r="A110" s="106"/>
      <c r="B110" s="107"/>
      <c r="I110" s="1"/>
    </row>
    <row r="111" spans="1:12" ht="12.75">
      <c r="A111" s="106" t="s">
        <v>1229</v>
      </c>
      <c r="B111" s="108" t="s">
        <v>1302</v>
      </c>
      <c r="C111" s="102">
        <f>INDEX(Air_bag_Discount_Factor,1,1)</f>
        <v>0</v>
      </c>
      <c r="D111" s="102">
        <f>INDEX(Air_bag_Discount_Factor,1,2)</f>
        <v>0</v>
      </c>
      <c r="E111" s="102">
        <f>INDEX(Air_bag_Discount_Factor,1,3)</f>
        <v>0</v>
      </c>
      <c r="F111" s="102">
        <f>INDEX(Air_bag_Discount_Factor,1,4)</f>
        <v>0</v>
      </c>
      <c r="G111" s="102">
        <f>INDEX(Air_bag_Discount_Factor,1,5)</f>
        <v>0</v>
      </c>
      <c r="H111" s="102">
        <f>INDEX(Air_bag_Discount_Factor,1,6)</f>
        <v>0</v>
      </c>
      <c r="I111" s="1"/>
      <c r="J111" s="47"/>
      <c r="K111" s="47"/>
      <c r="L111" s="47"/>
    </row>
    <row r="112" spans="1:12" ht="12.75">
      <c r="A112" s="102"/>
      <c r="B112" s="108" t="s">
        <v>1303</v>
      </c>
      <c r="C112" s="110">
        <f aca="true" t="shared" si="56" ref="C112:H112">C109*C111</f>
        <v>0</v>
      </c>
      <c r="D112" s="110">
        <f t="shared" si="56"/>
        <v>0</v>
      </c>
      <c r="E112" s="110">
        <f t="shared" si="56"/>
        <v>0</v>
      </c>
      <c r="F112" s="110">
        <f t="shared" si="56"/>
        <v>0</v>
      </c>
      <c r="G112" s="110">
        <f t="shared" si="56"/>
        <v>0</v>
      </c>
      <c r="H112" s="110">
        <f t="shared" si="56"/>
        <v>0</v>
      </c>
      <c r="I112" s="1"/>
      <c r="J112" s="47"/>
      <c r="K112" s="47"/>
      <c r="L112" s="47"/>
    </row>
    <row r="113" spans="1:9" ht="12.75">
      <c r="A113" s="102"/>
      <c r="B113" s="108" t="s">
        <v>1304</v>
      </c>
      <c r="C113" s="110">
        <f aca="true" t="shared" si="57" ref="C113:H113">C109-C112</f>
        <v>0</v>
      </c>
      <c r="D113" s="110">
        <f t="shared" si="57"/>
        <v>0</v>
      </c>
      <c r="E113" s="110">
        <f t="shared" si="57"/>
        <v>0</v>
      </c>
      <c r="F113" s="110">
        <f t="shared" si="57"/>
        <v>0</v>
      </c>
      <c r="G113" s="110">
        <f t="shared" si="57"/>
        <v>0</v>
      </c>
      <c r="H113" s="110">
        <f t="shared" si="57"/>
        <v>0</v>
      </c>
      <c r="I113" s="1"/>
    </row>
    <row r="114" spans="1:9" ht="12.75">
      <c r="A114" s="102"/>
      <c r="B114" s="108"/>
      <c r="C114" s="111"/>
      <c r="D114" s="111"/>
      <c r="E114" s="111"/>
      <c r="F114" s="111"/>
      <c r="G114" s="111"/>
      <c r="H114" s="111"/>
      <c r="I114" s="1"/>
    </row>
    <row r="115" spans="1:12" s="117" customFormat="1" ht="12.75" customHeight="1">
      <c r="A115" s="106" t="s">
        <v>1231</v>
      </c>
      <c r="B115" s="108" t="s">
        <v>816</v>
      </c>
      <c r="C115" s="102">
        <f>INDEX(SDIP_Factor,,1)</f>
        <v>0</v>
      </c>
      <c r="D115" s="102">
        <f>INDEX(SDIP_Factor,,2)</f>
        <v>0</v>
      </c>
      <c r="E115" s="102">
        <f>INDEX(SDIP_Factor,,3)</f>
        <v>0</v>
      </c>
      <c r="F115" s="102">
        <f>INDEX(SDIP_Factor,,4)</f>
        <v>0</v>
      </c>
      <c r="G115" s="102">
        <f>INDEX(SDIP_Factor,,5)</f>
        <v>0</v>
      </c>
      <c r="H115" s="102">
        <f>INDEX(SDIP_Factor,,6)</f>
        <v>0</v>
      </c>
      <c r="I115" s="1"/>
      <c r="J115" s="47"/>
      <c r="K115" s="47"/>
      <c r="L115" s="47"/>
    </row>
    <row r="116" spans="1:9" ht="12.75">
      <c r="A116" s="106"/>
      <c r="B116" s="108" t="s">
        <v>1237</v>
      </c>
      <c r="C116" s="111">
        <f>INDEX(Accident_Prevention_Discount_Factor,,1)</f>
        <v>0</v>
      </c>
      <c r="D116" s="111">
        <f>INDEX(Accident_Prevention_Discount_Factor,,2)</f>
        <v>0</v>
      </c>
      <c r="E116" s="111">
        <f>INDEX(Accident_Prevention_Discount_Factor,,3)</f>
        <v>0</v>
      </c>
      <c r="F116" s="111">
        <f>INDEX(Accident_Prevention_Discount_Factor,,4)</f>
        <v>0</v>
      </c>
      <c r="G116" s="111">
        <f>INDEX(Accident_Prevention_Discount_Factor,,5)</f>
        <v>0</v>
      </c>
      <c r="H116" s="111">
        <f>INDEX(Accident_Prevention_Discount_Factor,,6)</f>
        <v>0</v>
      </c>
      <c r="I116" s="1"/>
    </row>
    <row r="117" spans="1:9" ht="12.75">
      <c r="A117" s="106"/>
      <c r="B117" s="108" t="s">
        <v>837</v>
      </c>
      <c r="C117" s="111">
        <f>INDEX(Minivan_Discount_Factor,,1)</f>
        <v>0</v>
      </c>
      <c r="D117" s="111">
        <f>INDEX(Minivan_Discount_Factor,,2)</f>
        <v>0</v>
      </c>
      <c r="E117" s="111">
        <f>INDEX(Minivan_Discount_Factor,,3)</f>
        <v>0</v>
      </c>
      <c r="F117" s="111">
        <f>INDEX(Minivan_Discount_Factor,,4)</f>
        <v>0</v>
      </c>
      <c r="G117" s="111">
        <f>INDEX(Minivan_Discount_Factor,,5)</f>
        <v>0</v>
      </c>
      <c r="H117" s="111">
        <f>INDEX(Minivan_Discount_Factor,,6)</f>
        <v>0</v>
      </c>
      <c r="I117" s="1"/>
    </row>
    <row r="118" spans="1:12" s="117" customFormat="1" ht="12.75">
      <c r="A118" s="102"/>
      <c r="B118" s="108"/>
      <c r="C118" s="102"/>
      <c r="D118" s="102"/>
      <c r="E118" s="102"/>
      <c r="F118" s="102"/>
      <c r="G118" s="102"/>
      <c r="H118" s="102"/>
      <c r="I118" s="1"/>
      <c r="J118" s="47"/>
      <c r="K118" s="47"/>
      <c r="L118" s="47"/>
    </row>
    <row r="119" spans="1:12" ht="12.75">
      <c r="A119" s="106" t="s">
        <v>1233</v>
      </c>
      <c r="B119" s="108" t="s">
        <v>1239</v>
      </c>
      <c r="C119" s="102">
        <f aca="true" t="shared" si="58" ref="C119:H119">C115*C106</f>
        <v>0</v>
      </c>
      <c r="D119" s="102">
        <f t="shared" si="58"/>
        <v>0</v>
      </c>
      <c r="E119" s="102">
        <f t="shared" si="58"/>
        <v>0</v>
      </c>
      <c r="F119" s="102">
        <f t="shared" si="58"/>
        <v>0</v>
      </c>
      <c r="G119" s="102">
        <f t="shared" si="58"/>
        <v>0</v>
      </c>
      <c r="H119" s="102">
        <f t="shared" si="58"/>
        <v>0</v>
      </c>
      <c r="I119" s="1"/>
      <c r="J119" s="47"/>
      <c r="K119" s="47"/>
      <c r="L119" s="47"/>
    </row>
    <row r="120" spans="1:9" ht="12.75">
      <c r="A120" s="102"/>
      <c r="B120" s="108" t="s">
        <v>1240</v>
      </c>
      <c r="C120" s="110">
        <f aca="true" t="shared" si="59" ref="C120:H120">IF(OR(Insured_State="AR",Insured_State="ID",Insured_State="NM",Insured_State="OH",Insured_State="TN"),C113*C116,0)</f>
        <v>0</v>
      </c>
      <c r="D120" s="110">
        <f t="shared" si="59"/>
        <v>0</v>
      </c>
      <c r="E120" s="110">
        <f t="shared" si="59"/>
        <v>0</v>
      </c>
      <c r="F120" s="110">
        <f t="shared" si="59"/>
        <v>0</v>
      </c>
      <c r="G120" s="110">
        <f t="shared" si="59"/>
        <v>0</v>
      </c>
      <c r="H120" s="110">
        <f t="shared" si="59"/>
        <v>0</v>
      </c>
      <c r="I120" s="1"/>
    </row>
    <row r="121" spans="1:9" ht="12.75">
      <c r="A121" s="102"/>
      <c r="B121" s="108" t="s">
        <v>1242</v>
      </c>
      <c r="C121" s="110">
        <f aca="true" t="shared" si="60" ref="C121:H121">(C113-C120)*C117</f>
        <v>0</v>
      </c>
      <c r="D121" s="110">
        <f t="shared" si="60"/>
        <v>0</v>
      </c>
      <c r="E121" s="110">
        <f t="shared" si="60"/>
        <v>0</v>
      </c>
      <c r="F121" s="110">
        <f t="shared" si="60"/>
        <v>0</v>
      </c>
      <c r="G121" s="110">
        <f t="shared" si="60"/>
        <v>0</v>
      </c>
      <c r="H121" s="110">
        <f t="shared" si="60"/>
        <v>0</v>
      </c>
      <c r="I121" s="1"/>
    </row>
    <row r="122" spans="1:9" ht="12.75">
      <c r="A122" s="106"/>
      <c r="B122" s="108"/>
      <c r="C122" s="102"/>
      <c r="D122" s="102"/>
      <c r="E122" s="102"/>
      <c r="F122" s="102"/>
      <c r="G122" s="102"/>
      <c r="H122" s="102"/>
      <c r="I122" s="1"/>
    </row>
    <row r="123" spans="1:9" ht="12.75">
      <c r="A123" s="106" t="s">
        <v>1236</v>
      </c>
      <c r="B123" s="102" t="s">
        <v>1244</v>
      </c>
      <c r="C123" s="110">
        <f aca="true" t="shared" si="61" ref="C123:H123">(C113+C119-C120-C121)</f>
        <v>0</v>
      </c>
      <c r="D123" s="110">
        <f t="shared" si="61"/>
        <v>0</v>
      </c>
      <c r="E123" s="110">
        <f t="shared" si="61"/>
        <v>0</v>
      </c>
      <c r="F123" s="110">
        <f t="shared" si="61"/>
        <v>0</v>
      </c>
      <c r="G123" s="110">
        <f t="shared" si="61"/>
        <v>0</v>
      </c>
      <c r="H123" s="110">
        <f t="shared" si="61"/>
        <v>0</v>
      </c>
      <c r="I123" s="1"/>
    </row>
    <row r="124" spans="1:9" ht="12.75">
      <c r="A124" s="102"/>
      <c r="B124" s="102"/>
      <c r="C124" s="102"/>
      <c r="D124" s="102"/>
      <c r="E124" s="102"/>
      <c r="F124" s="102"/>
      <c r="G124" s="102"/>
      <c r="H124" s="102"/>
      <c r="I124" s="1"/>
    </row>
    <row r="125" spans="1:9" ht="12.75">
      <c r="A125" s="106" t="s">
        <v>1238</v>
      </c>
      <c r="B125" s="102" t="s">
        <v>1248</v>
      </c>
      <c r="C125" s="102">
        <f>INDEX(Medical_Minium_Premium,1,1)</f>
        <v>0</v>
      </c>
      <c r="D125" s="102">
        <f>INDEX(Medical_Minium_Premium,1,2)</f>
        <v>0</v>
      </c>
      <c r="E125" s="102">
        <f>INDEX(Medical_Minium_Premium,1,3)</f>
        <v>0</v>
      </c>
      <c r="F125" s="102">
        <f>INDEX(Medical_Minium_Premium,1,4)</f>
        <v>0</v>
      </c>
      <c r="G125" s="102">
        <f>INDEX(Medical_Minium_Premium,1,5)</f>
        <v>0</v>
      </c>
      <c r="H125" s="102">
        <f>INDEX(Medical_Minium_Premium,1,6)</f>
        <v>0</v>
      </c>
      <c r="I125" s="1"/>
    </row>
    <row r="126" spans="1:9" ht="12.75">
      <c r="A126" s="106"/>
      <c r="B126" s="102" t="s">
        <v>1249</v>
      </c>
      <c r="C126" s="102">
        <f aca="true" t="shared" si="62" ref="C126:H126">IF(C123&lt;C125,C125,C123)</f>
        <v>0</v>
      </c>
      <c r="D126" s="102">
        <f t="shared" si="62"/>
        <v>0</v>
      </c>
      <c r="E126" s="102">
        <f t="shared" si="62"/>
        <v>0</v>
      </c>
      <c r="F126" s="102">
        <f t="shared" si="62"/>
        <v>0</v>
      </c>
      <c r="G126" s="102">
        <f t="shared" si="62"/>
        <v>0</v>
      </c>
      <c r="H126" s="102">
        <f t="shared" si="62"/>
        <v>0</v>
      </c>
      <c r="I126" s="1"/>
    </row>
    <row r="127" spans="1:9" ht="12.75">
      <c r="A127" s="102"/>
      <c r="B127" s="109"/>
      <c r="C127" s="102"/>
      <c r="D127" s="102"/>
      <c r="E127" s="102"/>
      <c r="F127" s="102"/>
      <c r="G127" s="102"/>
      <c r="H127" s="102"/>
      <c r="I127" s="1"/>
    </row>
    <row r="128" spans="1:9" ht="12.75">
      <c r="A128" s="106" t="s">
        <v>1243</v>
      </c>
      <c r="B128" s="102" t="s">
        <v>1251</v>
      </c>
      <c r="C128" s="102">
        <f aca="true" t="shared" si="63" ref="C128:H128">C126</f>
        <v>0</v>
      </c>
      <c r="D128" s="102">
        <f t="shared" si="63"/>
        <v>0</v>
      </c>
      <c r="E128" s="102">
        <f t="shared" si="63"/>
        <v>0</v>
      </c>
      <c r="F128" s="102">
        <f t="shared" si="63"/>
        <v>0</v>
      </c>
      <c r="G128" s="102">
        <f t="shared" si="63"/>
        <v>0</v>
      </c>
      <c r="H128" s="102">
        <f t="shared" si="63"/>
        <v>0</v>
      </c>
      <c r="I128" s="1"/>
    </row>
    <row r="129" spans="1:9" s="102" customFormat="1" ht="12.75">
      <c r="A129" s="106"/>
      <c r="I129" s="1"/>
    </row>
    <row r="130" spans="1:9" s="102" customFormat="1" ht="12.75">
      <c r="A130" s="106" t="s">
        <v>1247</v>
      </c>
      <c r="B130" s="102" t="s">
        <v>1327</v>
      </c>
      <c r="C130" s="102">
        <f aca="true" t="shared" si="64" ref="C130:H130">C128-(C128*Loss_Free_Credit_Factor)</f>
        <v>0</v>
      </c>
      <c r="D130" s="102">
        <f t="shared" si="64"/>
        <v>0</v>
      </c>
      <c r="E130" s="102">
        <f t="shared" si="64"/>
        <v>0</v>
      </c>
      <c r="F130" s="102">
        <f t="shared" si="64"/>
        <v>0</v>
      </c>
      <c r="G130" s="102">
        <f t="shared" si="64"/>
        <v>0</v>
      </c>
      <c r="H130" s="102">
        <f t="shared" si="64"/>
        <v>0</v>
      </c>
      <c r="I130" s="1"/>
    </row>
    <row r="131" spans="1:9" s="102" customFormat="1" ht="12.75">
      <c r="A131" s="106"/>
      <c r="B131" s="102" t="s">
        <v>1255</v>
      </c>
      <c r="C131" s="102">
        <f aca="true" t="shared" si="65" ref="C131:H131">C130-(C130*Valued_Customer_Discount_Factor)</f>
        <v>0</v>
      </c>
      <c r="D131" s="102">
        <f t="shared" si="65"/>
        <v>0</v>
      </c>
      <c r="E131" s="102">
        <f t="shared" si="65"/>
        <v>0</v>
      </c>
      <c r="F131" s="102">
        <f t="shared" si="65"/>
        <v>0</v>
      </c>
      <c r="G131" s="102">
        <f t="shared" si="65"/>
        <v>0</v>
      </c>
      <c r="H131" s="102">
        <f t="shared" si="65"/>
        <v>0</v>
      </c>
      <c r="I131" s="1"/>
    </row>
    <row r="132" spans="1:9" s="102" customFormat="1" ht="12.75">
      <c r="A132" s="106"/>
      <c r="B132" s="102" t="s">
        <v>1257</v>
      </c>
      <c r="C132" s="102">
        <f aca="true" t="shared" si="66" ref="C132:H132">C131*Policy_Period_Factor</f>
        <v>0</v>
      </c>
      <c r="D132" s="102">
        <f t="shared" si="66"/>
        <v>0</v>
      </c>
      <c r="E132" s="102">
        <f t="shared" si="66"/>
        <v>0</v>
      </c>
      <c r="F132" s="102">
        <f t="shared" si="66"/>
        <v>0</v>
      </c>
      <c r="G132" s="102">
        <f t="shared" si="66"/>
        <v>0</v>
      </c>
      <c r="H132" s="102">
        <f t="shared" si="66"/>
        <v>0</v>
      </c>
      <c r="I132" s="1"/>
    </row>
    <row r="133" spans="1:9" s="102" customFormat="1" ht="12.75">
      <c r="A133" s="106"/>
      <c r="B133" s="102" t="s">
        <v>1258</v>
      </c>
      <c r="C133" s="102">
        <f aca="true" t="shared" si="67" ref="C133:H133">C132-(C132*Fampak_Discount_Factor)</f>
        <v>0</v>
      </c>
      <c r="D133" s="102">
        <f t="shared" si="67"/>
        <v>0</v>
      </c>
      <c r="E133" s="102">
        <f t="shared" si="67"/>
        <v>0</v>
      </c>
      <c r="F133" s="102">
        <f t="shared" si="67"/>
        <v>0</v>
      </c>
      <c r="G133" s="102">
        <f t="shared" si="67"/>
        <v>0</v>
      </c>
      <c r="H133" s="102">
        <f t="shared" si="67"/>
        <v>0</v>
      </c>
      <c r="I133" s="1"/>
    </row>
    <row r="134" spans="1:9" s="102" customFormat="1" ht="12.75">
      <c r="A134" s="106"/>
      <c r="B134" s="112" t="s">
        <v>1259</v>
      </c>
      <c r="C134" s="102">
        <f aca="true" t="shared" si="68" ref="C134:H134">C133-(C133*Prime_Life_Discount_Factor)</f>
        <v>0</v>
      </c>
      <c r="D134" s="102">
        <f t="shared" si="68"/>
        <v>0</v>
      </c>
      <c r="E134" s="102">
        <f t="shared" si="68"/>
        <v>0</v>
      </c>
      <c r="F134" s="102">
        <f t="shared" si="68"/>
        <v>0</v>
      </c>
      <c r="G134" s="102">
        <f t="shared" si="68"/>
        <v>0</v>
      </c>
      <c r="H134" s="102">
        <f t="shared" si="68"/>
        <v>0</v>
      </c>
      <c r="I134" s="1"/>
    </row>
    <row r="135" spans="1:9" s="102" customFormat="1" ht="12.75">
      <c r="A135" s="106"/>
      <c r="B135" s="102" t="s">
        <v>1260</v>
      </c>
      <c r="C135" s="102">
        <f aca="true" t="shared" si="69" ref="C135:H135">IF(Insured_State="PA",C134-(C134*C116),C134)</f>
        <v>0</v>
      </c>
      <c r="D135" s="102">
        <f t="shared" si="69"/>
        <v>0</v>
      </c>
      <c r="E135" s="102">
        <f t="shared" si="69"/>
        <v>0</v>
      </c>
      <c r="F135" s="102">
        <f t="shared" si="69"/>
        <v>0</v>
      </c>
      <c r="G135" s="102">
        <f t="shared" si="69"/>
        <v>0</v>
      </c>
      <c r="H135" s="102">
        <f t="shared" si="69"/>
        <v>0</v>
      </c>
      <c r="I135" s="1"/>
    </row>
    <row r="136" spans="1:9" s="102" customFormat="1" ht="12.75">
      <c r="A136" s="106"/>
      <c r="B136" s="112" t="s">
        <v>1263</v>
      </c>
      <c r="C136" s="102">
        <f>C134-(C134*INDEX(Mass_Merchandise_Factor,,1))</f>
        <v>0</v>
      </c>
      <c r="D136" s="102">
        <f>D134-(D134*INDEX(Mass_Merchandise_Factor,,2))</f>
        <v>0</v>
      </c>
      <c r="E136" s="102">
        <f>E134-(E134*INDEX(Mass_Merchandise_Factor,,3))</f>
        <v>0</v>
      </c>
      <c r="F136" s="102">
        <f>F134-(F134*INDEX(Mass_Merchandise_Factor,,4))</f>
        <v>0</v>
      </c>
      <c r="G136" s="102">
        <f>G134-(G134*INDEX(Mass_Merchandise_Factor,,5))</f>
        <v>0</v>
      </c>
      <c r="H136" s="102">
        <f>H134-(H134*INDEX(Mass_Merchandise_Factor,,6))</f>
        <v>0</v>
      </c>
      <c r="I136" s="1"/>
    </row>
    <row r="137" spans="1:9" s="102" customFormat="1" ht="12.75">
      <c r="A137" s="106"/>
      <c r="B137" s="112" t="s">
        <v>1264</v>
      </c>
      <c r="C137" s="102">
        <f aca="true" t="shared" si="70" ref="C137:H137">C136-(C136*IN_Standard_Agent_Commission_Factor)</f>
        <v>0</v>
      </c>
      <c r="D137" s="102">
        <f t="shared" si="70"/>
        <v>0</v>
      </c>
      <c r="E137" s="102">
        <f t="shared" si="70"/>
        <v>0</v>
      </c>
      <c r="F137" s="102">
        <f t="shared" si="70"/>
        <v>0</v>
      </c>
      <c r="G137" s="102">
        <f t="shared" si="70"/>
        <v>0</v>
      </c>
      <c r="H137" s="102">
        <f t="shared" si="70"/>
        <v>0</v>
      </c>
      <c r="I137" s="1"/>
    </row>
    <row r="138" spans="1:9" s="102" customFormat="1" ht="12.75">
      <c r="A138" s="106" t="s">
        <v>1370</v>
      </c>
      <c r="B138" s="112" t="s">
        <v>1266</v>
      </c>
      <c r="C138" s="102">
        <f aca="true" t="shared" si="71" ref="C138:H138">C137</f>
        <v>0</v>
      </c>
      <c r="D138" s="102">
        <f t="shared" si="71"/>
        <v>0</v>
      </c>
      <c r="E138" s="102">
        <f t="shared" si="71"/>
        <v>0</v>
      </c>
      <c r="F138" s="102">
        <f t="shared" si="71"/>
        <v>0</v>
      </c>
      <c r="G138" s="102">
        <f t="shared" si="71"/>
        <v>0</v>
      </c>
      <c r="H138" s="102">
        <f t="shared" si="71"/>
        <v>0</v>
      </c>
      <c r="I138" s="1"/>
    </row>
    <row r="140" spans="1:8" ht="12.75">
      <c r="A140" s="106"/>
      <c r="B140" s="102" t="s">
        <v>1433</v>
      </c>
      <c r="C140" s="102">
        <f>IF(AND(Insured_State&lt;&gt;"MI",INDEX(Named_Non_owner_Medical_indicator_for_Vehicle,,1)="Y"),1,0)</f>
        <v>0</v>
      </c>
      <c r="D140" s="102">
        <f>IF(AND(Insured_State&lt;&gt;"MI",INDEX(Named_Non_owner_Medical_indicator_for_Vehicle,,2)="Y"),1,0)</f>
        <v>0</v>
      </c>
      <c r="E140" s="102">
        <f>IF(AND(Insured_State&lt;&gt;"MI",INDEX(Named_Non_owner_Medical_indicator_for_Vehicle,,3)="Y"),1,0)</f>
        <v>0</v>
      </c>
      <c r="F140" s="102">
        <f>IF(AND(Insured_State&lt;&gt;"MI",INDEX(Named_Non_owner_Medical_indicator_for_Vehicle,,4)="Y"),1,0)</f>
        <v>0</v>
      </c>
      <c r="G140" s="102">
        <f>IF(AND(Insured_State&lt;&gt;"MI",INDEX(Named_Non_owner_Medical_indicator_for_Vehicle,,5)="Y"),1,0)</f>
        <v>0</v>
      </c>
      <c r="H140" s="102">
        <f>IF(AND(Insured_State&lt;&gt;"MI",INDEX(Named_Non_owner_Medical_indicator_for_Vehicle,,6)="Y"),1,0)</f>
        <v>0</v>
      </c>
    </row>
    <row r="142" spans="2:9" ht="12.75">
      <c r="B142" s="112" t="s">
        <v>1328</v>
      </c>
      <c r="C142" s="112">
        <f aca="true" t="shared" si="72" ref="C142:H142">IF(OR(ISERROR(C138),C138&lt;=0,C140=0),0,ROUND(C138,2))</f>
        <v>0</v>
      </c>
      <c r="D142" s="112">
        <f t="shared" si="72"/>
        <v>0</v>
      </c>
      <c r="E142" s="112">
        <f t="shared" si="72"/>
        <v>0</v>
      </c>
      <c r="F142" s="112">
        <f t="shared" si="72"/>
        <v>0</v>
      </c>
      <c r="G142" s="112">
        <f t="shared" si="72"/>
        <v>0</v>
      </c>
      <c r="H142" s="112">
        <f t="shared" si="72"/>
        <v>0</v>
      </c>
      <c r="I142" s="6"/>
    </row>
    <row r="143" spans="1:9" s="106" customFormat="1" ht="12.75">
      <c r="A143" s="106" t="s">
        <v>1270</v>
      </c>
      <c r="B143" s="106" t="s">
        <v>1452</v>
      </c>
      <c r="C143" s="106">
        <f aca="true" t="shared" si="73" ref="C143:H143">C142</f>
        <v>0</v>
      </c>
      <c r="D143" s="106">
        <f t="shared" si="73"/>
        <v>0</v>
      </c>
      <c r="E143" s="106">
        <f t="shared" si="73"/>
        <v>0</v>
      </c>
      <c r="F143" s="106">
        <f t="shared" si="73"/>
        <v>0</v>
      </c>
      <c r="G143" s="106">
        <f t="shared" si="73"/>
        <v>0</v>
      </c>
      <c r="H143" s="106">
        <f t="shared" si="73"/>
        <v>0</v>
      </c>
      <c r="I143" s="6"/>
    </row>
    <row r="145" spans="1:8" ht="20.25" customHeight="1">
      <c r="A145" s="103"/>
      <c r="B145" s="104" t="s">
        <v>1330</v>
      </c>
      <c r="C145" s="103"/>
      <c r="D145" s="103"/>
      <c r="E145" s="103"/>
      <c r="F145" s="102"/>
      <c r="G145" s="102"/>
      <c r="H145" s="102"/>
    </row>
    <row r="146" spans="1:8" ht="20.25" customHeight="1">
      <c r="A146" s="103"/>
      <c r="B146" s="105"/>
      <c r="C146" s="103"/>
      <c r="D146" s="103"/>
      <c r="E146" s="103"/>
      <c r="F146" s="102"/>
      <c r="G146" s="102"/>
      <c r="H146" s="102"/>
    </row>
    <row r="147" spans="1:8" ht="12.75">
      <c r="A147" s="106" t="s">
        <v>1208</v>
      </c>
      <c r="B147" s="102" t="s">
        <v>1453</v>
      </c>
      <c r="C147" s="102">
        <f>INDEX(UM_BI_Base_Premium,,1)</f>
        <v>0</v>
      </c>
      <c r="D147" s="102">
        <f>INDEX(UM_BI_Base_Premium,,2)</f>
        <v>0</v>
      </c>
      <c r="E147" s="102">
        <f>INDEX(UM_BI_Base_Premium,,3)</f>
        <v>0</v>
      </c>
      <c r="F147" s="102">
        <f>INDEX(UM_BI_Base_Premium,,4)</f>
        <v>0</v>
      </c>
      <c r="G147" s="102">
        <f>INDEX(UM_BI_Base_Premium,,5)</f>
        <v>0</v>
      </c>
      <c r="H147" s="102">
        <f>INDEX(UM_BI_Base_Premium,,6)</f>
        <v>0</v>
      </c>
    </row>
    <row r="148" spans="1:9" s="102" customFormat="1" ht="12.75">
      <c r="A148" s="106"/>
      <c r="B148" s="102" t="s">
        <v>1454</v>
      </c>
      <c r="C148" s="102">
        <f aca="true" t="shared" si="74" ref="C148:H148">Named_Non_owner_UM_BI_factor</f>
        <v>1</v>
      </c>
      <c r="D148" s="102">
        <f t="shared" si="74"/>
        <v>1</v>
      </c>
      <c r="E148" s="102">
        <f t="shared" si="74"/>
        <v>1</v>
      </c>
      <c r="F148" s="102">
        <f t="shared" si="74"/>
        <v>1</v>
      </c>
      <c r="G148" s="102">
        <f t="shared" si="74"/>
        <v>1</v>
      </c>
      <c r="H148" s="102">
        <f t="shared" si="74"/>
        <v>1</v>
      </c>
      <c r="I148" s="1"/>
    </row>
    <row r="149" spans="1:8" ht="12.75">
      <c r="A149" s="106"/>
      <c r="B149" s="102"/>
      <c r="C149" s="102"/>
      <c r="D149" s="102"/>
      <c r="E149" s="102"/>
      <c r="F149" s="102"/>
      <c r="G149" s="102"/>
      <c r="H149" s="102"/>
    </row>
    <row r="150" spans="1:9" s="102" customFormat="1" ht="12.75">
      <c r="A150" s="106" t="s">
        <v>1214</v>
      </c>
      <c r="B150" s="108" t="s">
        <v>1219</v>
      </c>
      <c r="C150" s="102">
        <f aca="true" t="shared" si="75" ref="C150:H150">C147*C148</f>
        <v>0</v>
      </c>
      <c r="D150" s="102">
        <f t="shared" si="75"/>
        <v>0</v>
      </c>
      <c r="E150" s="102">
        <f t="shared" si="75"/>
        <v>0</v>
      </c>
      <c r="F150" s="102">
        <f t="shared" si="75"/>
        <v>0</v>
      </c>
      <c r="G150" s="102">
        <f t="shared" si="75"/>
        <v>0</v>
      </c>
      <c r="H150" s="102">
        <f t="shared" si="75"/>
        <v>0</v>
      </c>
      <c r="I150" s="1"/>
    </row>
    <row r="151" spans="1:8" ht="12.75">
      <c r="A151" s="106"/>
      <c r="B151" s="102"/>
      <c r="C151" s="102"/>
      <c r="D151" s="102"/>
      <c r="E151" s="102"/>
      <c r="F151" s="102"/>
      <c r="G151" s="102"/>
      <c r="H151" s="102"/>
    </row>
    <row r="152" spans="1:9" ht="12.75">
      <c r="A152" s="106"/>
      <c r="B152" s="108" t="s">
        <v>1237</v>
      </c>
      <c r="C152" s="111">
        <f>INDEX(Accident_Prevention_Discount_Factor,,1)</f>
        <v>0</v>
      </c>
      <c r="D152" s="111">
        <f>INDEX(Accident_Prevention_Discount_Factor,,2)</f>
        <v>0</v>
      </c>
      <c r="E152" s="111">
        <f>INDEX(Accident_Prevention_Discount_Factor,,3)</f>
        <v>0</v>
      </c>
      <c r="F152" s="111">
        <f>INDEX(Accident_Prevention_Discount_Factor,,4)</f>
        <v>0</v>
      </c>
      <c r="G152" s="111">
        <f>INDEX(Accident_Prevention_Discount_Factor,,5)</f>
        <v>0</v>
      </c>
      <c r="H152" s="111">
        <f>INDEX(Accident_Prevention_Discount_Factor,,6)</f>
        <v>0</v>
      </c>
      <c r="I152" s="1"/>
    </row>
    <row r="153" spans="1:8" ht="12.75">
      <c r="A153" s="102"/>
      <c r="B153" s="109"/>
      <c r="C153" s="102"/>
      <c r="D153" s="102"/>
      <c r="E153" s="102"/>
      <c r="F153" s="102"/>
      <c r="G153" s="102"/>
      <c r="H153" s="102"/>
    </row>
    <row r="154" spans="1:9" s="102" customFormat="1" ht="12.75">
      <c r="A154" s="106" t="s">
        <v>1222</v>
      </c>
      <c r="B154" s="102" t="s">
        <v>1255</v>
      </c>
      <c r="C154" s="102">
        <f aca="true" t="shared" si="76" ref="C154:H154">C150-(C150*Valued_Customer_Discount_Factor)</f>
        <v>0</v>
      </c>
      <c r="D154" s="102">
        <f t="shared" si="76"/>
        <v>0</v>
      </c>
      <c r="E154" s="102">
        <f t="shared" si="76"/>
        <v>0</v>
      </c>
      <c r="F154" s="102">
        <f t="shared" si="76"/>
        <v>0</v>
      </c>
      <c r="G154" s="102">
        <f t="shared" si="76"/>
        <v>0</v>
      </c>
      <c r="H154" s="102">
        <f t="shared" si="76"/>
        <v>0</v>
      </c>
      <c r="I154" s="1"/>
    </row>
    <row r="155" spans="1:9" s="102" customFormat="1" ht="12.75">
      <c r="A155" s="106"/>
      <c r="B155" s="102" t="s">
        <v>1256</v>
      </c>
      <c r="C155" s="102">
        <f aca="true" t="shared" si="77" ref="C155:H155">IF(Insured_State="MI",C154-(C154*C152),C154)</f>
        <v>0</v>
      </c>
      <c r="D155" s="102">
        <f t="shared" si="77"/>
        <v>0</v>
      </c>
      <c r="E155" s="102">
        <f t="shared" si="77"/>
        <v>0</v>
      </c>
      <c r="F155" s="102">
        <f t="shared" si="77"/>
        <v>0</v>
      </c>
      <c r="G155" s="102">
        <f t="shared" si="77"/>
        <v>0</v>
      </c>
      <c r="H155" s="102">
        <f t="shared" si="77"/>
        <v>0</v>
      </c>
      <c r="I155" s="1"/>
    </row>
    <row r="156" spans="1:9" s="102" customFormat="1" ht="12.75">
      <c r="A156" s="106"/>
      <c r="B156" s="102" t="s">
        <v>1257</v>
      </c>
      <c r="C156" s="102">
        <f aca="true" t="shared" si="78" ref="C156:H156">C155*Policy_Period_Factor</f>
        <v>0</v>
      </c>
      <c r="D156" s="102">
        <f t="shared" si="78"/>
        <v>0</v>
      </c>
      <c r="E156" s="102">
        <f t="shared" si="78"/>
        <v>0</v>
      </c>
      <c r="F156" s="102">
        <f t="shared" si="78"/>
        <v>0</v>
      </c>
      <c r="G156" s="102">
        <f t="shared" si="78"/>
        <v>0</v>
      </c>
      <c r="H156" s="102">
        <f t="shared" si="78"/>
        <v>0</v>
      </c>
      <c r="I156" s="1"/>
    </row>
    <row r="157" spans="1:9" s="102" customFormat="1" ht="12.75">
      <c r="A157" s="106"/>
      <c r="B157" s="102" t="s">
        <v>1258</v>
      </c>
      <c r="C157" s="102">
        <f aca="true" t="shared" si="79" ref="C157:H157">C156-(C156*Fampak_Discount_Factor)</f>
        <v>0</v>
      </c>
      <c r="D157" s="102">
        <f t="shared" si="79"/>
        <v>0</v>
      </c>
      <c r="E157" s="102">
        <f t="shared" si="79"/>
        <v>0</v>
      </c>
      <c r="F157" s="102">
        <f t="shared" si="79"/>
        <v>0</v>
      </c>
      <c r="G157" s="102">
        <f t="shared" si="79"/>
        <v>0</v>
      </c>
      <c r="H157" s="102">
        <f t="shared" si="79"/>
        <v>0</v>
      </c>
      <c r="I157" s="1"/>
    </row>
    <row r="158" spans="1:9" s="102" customFormat="1" ht="12.75">
      <c r="A158" s="106"/>
      <c r="B158" s="112" t="s">
        <v>1259</v>
      </c>
      <c r="C158" s="102">
        <f aca="true" t="shared" si="80" ref="C158:H158">C157-(C157*Prime_Life_Discount_Factor)</f>
        <v>0</v>
      </c>
      <c r="D158" s="102">
        <f t="shared" si="80"/>
        <v>0</v>
      </c>
      <c r="E158" s="102">
        <f t="shared" si="80"/>
        <v>0</v>
      </c>
      <c r="F158" s="102">
        <f t="shared" si="80"/>
        <v>0</v>
      </c>
      <c r="G158" s="102">
        <f t="shared" si="80"/>
        <v>0</v>
      </c>
      <c r="H158" s="102">
        <f t="shared" si="80"/>
        <v>0</v>
      </c>
      <c r="I158" s="1"/>
    </row>
    <row r="159" spans="1:9" s="102" customFormat="1" ht="12.75">
      <c r="A159" s="106"/>
      <c r="B159" s="102" t="s">
        <v>1260</v>
      </c>
      <c r="C159" s="102">
        <f aca="true" t="shared" si="81" ref="C159:H159">IF(Insured_State="PA",C158-(C158*C152),C158)</f>
        <v>0</v>
      </c>
      <c r="D159" s="102">
        <f t="shared" si="81"/>
        <v>0</v>
      </c>
      <c r="E159" s="102">
        <f t="shared" si="81"/>
        <v>0</v>
      </c>
      <c r="F159" s="102">
        <f t="shared" si="81"/>
        <v>0</v>
      </c>
      <c r="G159" s="102">
        <f t="shared" si="81"/>
        <v>0</v>
      </c>
      <c r="H159" s="102">
        <f t="shared" si="81"/>
        <v>0</v>
      </c>
      <c r="I159" s="1"/>
    </row>
    <row r="160" spans="1:9" s="102" customFormat="1" ht="12.75">
      <c r="A160" s="106"/>
      <c r="B160" s="102" t="s">
        <v>1261</v>
      </c>
      <c r="C160" s="102">
        <f aca="true" t="shared" si="82" ref="C160:H160">IF(Insured_State="PA",Tort_Factor_UMUIM,1)</f>
        <v>1</v>
      </c>
      <c r="D160" s="102">
        <f t="shared" si="82"/>
        <v>1</v>
      </c>
      <c r="E160" s="102">
        <f t="shared" si="82"/>
        <v>1</v>
      </c>
      <c r="F160" s="102">
        <f t="shared" si="82"/>
        <v>1</v>
      </c>
      <c r="G160" s="102">
        <f t="shared" si="82"/>
        <v>1</v>
      </c>
      <c r="H160" s="102">
        <f t="shared" si="82"/>
        <v>1</v>
      </c>
      <c r="I160" s="1"/>
    </row>
    <row r="161" spans="1:9" s="102" customFormat="1" ht="12.75">
      <c r="A161" s="106"/>
      <c r="B161" s="102" t="s">
        <v>1262</v>
      </c>
      <c r="C161" s="102">
        <f aca="true" t="shared" si="83" ref="C161:H161">C159*C160</f>
        <v>0</v>
      </c>
      <c r="D161" s="102">
        <f t="shared" si="83"/>
        <v>0</v>
      </c>
      <c r="E161" s="102">
        <f t="shared" si="83"/>
        <v>0</v>
      </c>
      <c r="F161" s="102">
        <f t="shared" si="83"/>
        <v>0</v>
      </c>
      <c r="G161" s="102">
        <f t="shared" si="83"/>
        <v>0</v>
      </c>
      <c r="H161" s="102">
        <f t="shared" si="83"/>
        <v>0</v>
      </c>
      <c r="I161" s="1"/>
    </row>
    <row r="162" spans="1:9" s="102" customFormat="1" ht="12.75">
      <c r="A162" s="106"/>
      <c r="B162" s="112" t="s">
        <v>1263</v>
      </c>
      <c r="C162" s="102">
        <f>C161-(C161*INDEX(Mass_Merchandise_Factor,,1))</f>
        <v>0</v>
      </c>
      <c r="D162" s="102">
        <f>D161-(D161*INDEX(Mass_Merchandise_Factor,,2))</f>
        <v>0</v>
      </c>
      <c r="E162" s="102">
        <f>E161-(E161*INDEX(Mass_Merchandise_Factor,,3))</f>
        <v>0</v>
      </c>
      <c r="F162" s="102">
        <f>F161-(F161*INDEX(Mass_Merchandise_Factor,,4))</f>
        <v>0</v>
      </c>
      <c r="G162" s="102">
        <f>G161-(G161*INDEX(Mass_Merchandise_Factor,,5))</f>
        <v>0</v>
      </c>
      <c r="H162" s="102">
        <f>H161-(H161*INDEX(Mass_Merchandise_Factor,,6))</f>
        <v>0</v>
      </c>
      <c r="I162" s="1"/>
    </row>
    <row r="163" spans="1:9" s="102" customFormat="1" ht="12.75">
      <c r="A163" s="106"/>
      <c r="B163" s="112" t="s">
        <v>1264</v>
      </c>
      <c r="C163" s="102">
        <f aca="true" t="shared" si="84" ref="C163:H163">C162-(C162*IN_Standard_Agent_Commission_Factor)</f>
        <v>0</v>
      </c>
      <c r="D163" s="102">
        <f t="shared" si="84"/>
        <v>0</v>
      </c>
      <c r="E163" s="102">
        <f t="shared" si="84"/>
        <v>0</v>
      </c>
      <c r="F163" s="102">
        <f t="shared" si="84"/>
        <v>0</v>
      </c>
      <c r="G163" s="102">
        <f t="shared" si="84"/>
        <v>0</v>
      </c>
      <c r="H163" s="102">
        <f t="shared" si="84"/>
        <v>0</v>
      </c>
      <c r="I163" s="1"/>
    </row>
    <row r="164" spans="1:9" s="102" customFormat="1" ht="12.75">
      <c r="A164" s="106"/>
      <c r="B164" s="112" t="s">
        <v>1266</v>
      </c>
      <c r="C164" s="102">
        <f aca="true" t="shared" si="85" ref="C164:H164">C163</f>
        <v>0</v>
      </c>
      <c r="D164" s="102">
        <f t="shared" si="85"/>
        <v>0</v>
      </c>
      <c r="E164" s="102">
        <f t="shared" si="85"/>
        <v>0</v>
      </c>
      <c r="F164" s="102">
        <f t="shared" si="85"/>
        <v>0</v>
      </c>
      <c r="G164" s="102">
        <f t="shared" si="85"/>
        <v>0</v>
      </c>
      <c r="H164" s="102">
        <f t="shared" si="85"/>
        <v>0</v>
      </c>
      <c r="I164" s="1"/>
    </row>
    <row r="165" spans="1:8" ht="12.75">
      <c r="A165" s="102"/>
      <c r="B165" s="109"/>
      <c r="C165" s="102"/>
      <c r="D165" s="102"/>
      <c r="E165" s="102"/>
      <c r="F165" s="102"/>
      <c r="G165" s="102"/>
      <c r="H165" s="102"/>
    </row>
    <row r="166" spans="1:8" ht="12.75">
      <c r="A166" s="106" t="s">
        <v>1229</v>
      </c>
      <c r="B166" s="102" t="s">
        <v>1337</v>
      </c>
      <c r="C166" s="102">
        <f>INDEX(UM_PD_Base_Premium,,1)</f>
        <v>0</v>
      </c>
      <c r="D166" s="102">
        <f>INDEX(UM_PD_Base_Premium,,2)</f>
        <v>0</v>
      </c>
      <c r="E166" s="102">
        <f>INDEX(UM_PD_Base_Premium,,3)</f>
        <v>0</v>
      </c>
      <c r="F166" s="102">
        <f>INDEX(UM_PD_Base_Premium,,4)</f>
        <v>0</v>
      </c>
      <c r="G166" s="102">
        <f>INDEX(UM_PD_Base_Premium,,5)</f>
        <v>0</v>
      </c>
      <c r="H166" s="102">
        <f>INDEX(UM_PD_Base_Premium,,6)</f>
        <v>0</v>
      </c>
    </row>
    <row r="167" spans="1:9" s="102" customFormat="1" ht="12.75">
      <c r="A167" s="106"/>
      <c r="B167" s="102" t="s">
        <v>1455</v>
      </c>
      <c r="C167" s="102">
        <f aca="true" t="shared" si="86" ref="C167:H167">Named_Non_owner_UM_PD_factor</f>
        <v>1</v>
      </c>
      <c r="D167" s="102">
        <f t="shared" si="86"/>
        <v>1</v>
      </c>
      <c r="E167" s="102">
        <f t="shared" si="86"/>
        <v>1</v>
      </c>
      <c r="F167" s="102">
        <f t="shared" si="86"/>
        <v>1</v>
      </c>
      <c r="G167" s="102">
        <f t="shared" si="86"/>
        <v>1</v>
      </c>
      <c r="H167" s="102">
        <f t="shared" si="86"/>
        <v>1</v>
      </c>
      <c r="I167" s="1"/>
    </row>
    <row r="168" spans="1:8" ht="12.75">
      <c r="A168" s="106"/>
      <c r="B168" s="102"/>
      <c r="C168" s="102"/>
      <c r="D168" s="102"/>
      <c r="E168" s="102"/>
      <c r="F168" s="102"/>
      <c r="G168" s="102"/>
      <c r="H168" s="102"/>
    </row>
    <row r="169" spans="1:9" s="102" customFormat="1" ht="12.75">
      <c r="A169" s="106" t="s">
        <v>1231</v>
      </c>
      <c r="B169" s="108" t="s">
        <v>1219</v>
      </c>
      <c r="C169" s="102">
        <f aca="true" t="shared" si="87" ref="C169:H169">C166*C167</f>
        <v>0</v>
      </c>
      <c r="D169" s="102">
        <f t="shared" si="87"/>
        <v>0</v>
      </c>
      <c r="E169" s="102">
        <f t="shared" si="87"/>
        <v>0</v>
      </c>
      <c r="F169" s="102">
        <f t="shared" si="87"/>
        <v>0</v>
      </c>
      <c r="G169" s="102">
        <f t="shared" si="87"/>
        <v>0</v>
      </c>
      <c r="H169" s="102">
        <f t="shared" si="87"/>
        <v>0</v>
      </c>
      <c r="I169" s="1"/>
    </row>
    <row r="170" spans="1:8" ht="12.75">
      <c r="A170" s="106"/>
      <c r="B170" s="102"/>
      <c r="C170" s="102"/>
      <c r="D170" s="102"/>
      <c r="E170" s="102"/>
      <c r="F170" s="102"/>
      <c r="G170" s="102"/>
      <c r="H170" s="102"/>
    </row>
    <row r="171" spans="1:9" s="102" customFormat="1" ht="12.75">
      <c r="A171" s="106" t="s">
        <v>1343</v>
      </c>
      <c r="B171" s="102" t="s">
        <v>1255</v>
      </c>
      <c r="C171" s="102">
        <f aca="true" t="shared" si="88" ref="C171:H171">C169-(C169*Valued_Customer_Discount_Factor)</f>
        <v>0</v>
      </c>
      <c r="D171" s="102">
        <f t="shared" si="88"/>
        <v>0</v>
      </c>
      <c r="E171" s="102">
        <f t="shared" si="88"/>
        <v>0</v>
      </c>
      <c r="F171" s="102">
        <f t="shared" si="88"/>
        <v>0</v>
      </c>
      <c r="G171" s="102">
        <f t="shared" si="88"/>
        <v>0</v>
      </c>
      <c r="H171" s="102">
        <f t="shared" si="88"/>
        <v>0</v>
      </c>
      <c r="I171" s="1"/>
    </row>
    <row r="172" spans="1:9" s="102" customFormat="1" ht="12.75">
      <c r="A172" s="106"/>
      <c r="B172" s="102" t="s">
        <v>1256</v>
      </c>
      <c r="C172" s="102">
        <f aca="true" t="shared" si="89" ref="C172:H172">IF(Insured_State="MI",C171-(C171*C152),C171)</f>
        <v>0</v>
      </c>
      <c r="D172" s="102">
        <f t="shared" si="89"/>
        <v>0</v>
      </c>
      <c r="E172" s="102">
        <f t="shared" si="89"/>
        <v>0</v>
      </c>
      <c r="F172" s="102">
        <f t="shared" si="89"/>
        <v>0</v>
      </c>
      <c r="G172" s="102">
        <f t="shared" si="89"/>
        <v>0</v>
      </c>
      <c r="H172" s="102">
        <f t="shared" si="89"/>
        <v>0</v>
      </c>
      <c r="I172" s="1"/>
    </row>
    <row r="173" spans="1:9" s="102" customFormat="1" ht="12.75">
      <c r="A173" s="106"/>
      <c r="B173" s="102" t="s">
        <v>1257</v>
      </c>
      <c r="C173" s="102">
        <f aca="true" t="shared" si="90" ref="C173:H173">C172*Policy_Period_Factor</f>
        <v>0</v>
      </c>
      <c r="D173" s="102">
        <f t="shared" si="90"/>
        <v>0</v>
      </c>
      <c r="E173" s="102">
        <f t="shared" si="90"/>
        <v>0</v>
      </c>
      <c r="F173" s="102">
        <f t="shared" si="90"/>
        <v>0</v>
      </c>
      <c r="G173" s="102">
        <f t="shared" si="90"/>
        <v>0</v>
      </c>
      <c r="H173" s="102">
        <f t="shared" si="90"/>
        <v>0</v>
      </c>
      <c r="I173" s="1"/>
    </row>
    <row r="174" spans="1:9" s="102" customFormat="1" ht="12.75">
      <c r="A174" s="106"/>
      <c r="B174" s="102" t="s">
        <v>1258</v>
      </c>
      <c r="C174" s="102">
        <f aca="true" t="shared" si="91" ref="C174:H174">C173-(C173*Fampak_Discount_Factor)</f>
        <v>0</v>
      </c>
      <c r="D174" s="102">
        <f t="shared" si="91"/>
        <v>0</v>
      </c>
      <c r="E174" s="102">
        <f t="shared" si="91"/>
        <v>0</v>
      </c>
      <c r="F174" s="102">
        <f t="shared" si="91"/>
        <v>0</v>
      </c>
      <c r="G174" s="102">
        <f t="shared" si="91"/>
        <v>0</v>
      </c>
      <c r="H174" s="102">
        <f t="shared" si="91"/>
        <v>0</v>
      </c>
      <c r="I174" s="1"/>
    </row>
    <row r="175" spans="1:9" s="102" customFormat="1" ht="12.75">
      <c r="A175" s="106"/>
      <c r="B175" s="112" t="s">
        <v>1259</v>
      </c>
      <c r="C175" s="102">
        <f aca="true" t="shared" si="92" ref="C175:H175">C174-(C174*Prime_Life_Discount_Factor)</f>
        <v>0</v>
      </c>
      <c r="D175" s="102">
        <f t="shared" si="92"/>
        <v>0</v>
      </c>
      <c r="E175" s="102">
        <f t="shared" si="92"/>
        <v>0</v>
      </c>
      <c r="F175" s="102">
        <f t="shared" si="92"/>
        <v>0</v>
      </c>
      <c r="G175" s="102">
        <f t="shared" si="92"/>
        <v>0</v>
      </c>
      <c r="H175" s="102">
        <f t="shared" si="92"/>
        <v>0</v>
      </c>
      <c r="I175" s="1"/>
    </row>
    <row r="176" spans="1:9" s="102" customFormat="1" ht="12.75">
      <c r="A176" s="106"/>
      <c r="B176" s="102" t="s">
        <v>1260</v>
      </c>
      <c r="C176" s="102">
        <f aca="true" t="shared" si="93" ref="C176:H176">IF(Insured_State="PA",C175-(C175*C152),C175)</f>
        <v>0</v>
      </c>
      <c r="D176" s="102">
        <f t="shared" si="93"/>
        <v>0</v>
      </c>
      <c r="E176" s="102">
        <f t="shared" si="93"/>
        <v>0</v>
      </c>
      <c r="F176" s="102">
        <f t="shared" si="93"/>
        <v>0</v>
      </c>
      <c r="G176" s="102">
        <f t="shared" si="93"/>
        <v>0</v>
      </c>
      <c r="H176" s="102">
        <f t="shared" si="93"/>
        <v>0</v>
      </c>
      <c r="I176" s="1"/>
    </row>
    <row r="177" spans="1:9" s="102" customFormat="1" ht="12.75">
      <c r="A177" s="106"/>
      <c r="B177" s="102" t="s">
        <v>1261</v>
      </c>
      <c r="C177" s="102">
        <f aca="true" t="shared" si="94" ref="C177:H177">IF(Insured_State="PA",Tort_Factor_UMUIM,1)</f>
        <v>1</v>
      </c>
      <c r="D177" s="102">
        <f t="shared" si="94"/>
        <v>1</v>
      </c>
      <c r="E177" s="102">
        <f t="shared" si="94"/>
        <v>1</v>
      </c>
      <c r="F177" s="102">
        <f t="shared" si="94"/>
        <v>1</v>
      </c>
      <c r="G177" s="102">
        <f t="shared" si="94"/>
        <v>1</v>
      </c>
      <c r="H177" s="102">
        <f t="shared" si="94"/>
        <v>1</v>
      </c>
      <c r="I177" s="1"/>
    </row>
    <row r="178" spans="1:9" s="102" customFormat="1" ht="12.75">
      <c r="A178" s="106"/>
      <c r="B178" s="102" t="s">
        <v>1262</v>
      </c>
      <c r="C178" s="102">
        <f aca="true" t="shared" si="95" ref="C178:H178">C176*C177</f>
        <v>0</v>
      </c>
      <c r="D178" s="102">
        <f t="shared" si="95"/>
        <v>0</v>
      </c>
      <c r="E178" s="102">
        <f t="shared" si="95"/>
        <v>0</v>
      </c>
      <c r="F178" s="102">
        <f t="shared" si="95"/>
        <v>0</v>
      </c>
      <c r="G178" s="102">
        <f t="shared" si="95"/>
        <v>0</v>
      </c>
      <c r="H178" s="102">
        <f t="shared" si="95"/>
        <v>0</v>
      </c>
      <c r="I178" s="1"/>
    </row>
    <row r="179" spans="1:9" s="102" customFormat="1" ht="12.75">
      <c r="A179" s="106"/>
      <c r="B179" s="112" t="s">
        <v>1263</v>
      </c>
      <c r="C179" s="102">
        <f>C178-(C178*INDEX(Mass_Merchandise_Factor,,1))</f>
        <v>0</v>
      </c>
      <c r="D179" s="102">
        <f>D178-(D178*INDEX(Mass_Merchandise_Factor,,2))</f>
        <v>0</v>
      </c>
      <c r="E179" s="102">
        <f>E178-(E178*INDEX(Mass_Merchandise_Factor,,3))</f>
        <v>0</v>
      </c>
      <c r="F179" s="102">
        <f>F178-(F178*INDEX(Mass_Merchandise_Factor,,4))</f>
        <v>0</v>
      </c>
      <c r="G179" s="102">
        <f>G178-(G178*INDEX(Mass_Merchandise_Factor,,5))</f>
        <v>0</v>
      </c>
      <c r="H179" s="102">
        <f>H178-(H178*INDEX(Mass_Merchandise_Factor,,6))</f>
        <v>0</v>
      </c>
      <c r="I179" s="1"/>
    </row>
    <row r="180" spans="1:9" s="102" customFormat="1" ht="12.75">
      <c r="A180" s="106"/>
      <c r="B180" s="112" t="s">
        <v>1264</v>
      </c>
      <c r="C180" s="102">
        <f aca="true" t="shared" si="96" ref="C180:H180">C179-(C179*IN_Standard_Agent_Commission_Factor)</f>
        <v>0</v>
      </c>
      <c r="D180" s="102">
        <f t="shared" si="96"/>
        <v>0</v>
      </c>
      <c r="E180" s="102">
        <f t="shared" si="96"/>
        <v>0</v>
      </c>
      <c r="F180" s="102">
        <f t="shared" si="96"/>
        <v>0</v>
      </c>
      <c r="G180" s="102">
        <f t="shared" si="96"/>
        <v>0</v>
      </c>
      <c r="H180" s="102">
        <f t="shared" si="96"/>
        <v>0</v>
      </c>
      <c r="I180" s="1"/>
    </row>
    <row r="181" spans="1:9" s="102" customFormat="1" ht="12.75">
      <c r="A181" s="106"/>
      <c r="B181" s="112" t="s">
        <v>1266</v>
      </c>
      <c r="C181" s="102">
        <f aca="true" t="shared" si="97" ref="C181:H181">C180</f>
        <v>0</v>
      </c>
      <c r="D181" s="102">
        <f t="shared" si="97"/>
        <v>0</v>
      </c>
      <c r="E181" s="102">
        <f t="shared" si="97"/>
        <v>0</v>
      </c>
      <c r="F181" s="102">
        <f t="shared" si="97"/>
        <v>0</v>
      </c>
      <c r="G181" s="102">
        <f t="shared" si="97"/>
        <v>0</v>
      </c>
      <c r="H181" s="102">
        <f t="shared" si="97"/>
        <v>0</v>
      </c>
      <c r="I181" s="1"/>
    </row>
    <row r="182" spans="1:8" ht="12.75">
      <c r="A182" s="106"/>
      <c r="B182" s="102"/>
      <c r="C182" s="102"/>
      <c r="D182" s="102"/>
      <c r="E182" s="102"/>
      <c r="F182" s="102"/>
      <c r="G182" s="102"/>
      <c r="H182" s="102"/>
    </row>
    <row r="183" spans="1:8" ht="12.75">
      <c r="A183" s="106"/>
      <c r="B183" s="102" t="s">
        <v>1267</v>
      </c>
      <c r="C183" s="102">
        <f>IF(AND(INDEX(Is_UM_Applicable_For_Vehicle,,1),INDEX(Named_Non_owner_UM_indicator_for_Vehicle,,1)),1,0)</f>
        <v>0</v>
      </c>
      <c r="D183" s="102">
        <f>IF(AND(INDEX(Is_UM_Applicable_For_Vehicle,,2),INDEX(Named_Non_owner_UM_indicator_for_Vehicle,,2)),1,0)</f>
        <v>0</v>
      </c>
      <c r="E183" s="102">
        <f>IF(AND(INDEX(Is_UM_Applicable_For_Vehicle,,3),INDEX(Named_Non_owner_UM_indicator_for_Vehicle,,3)),1,0)</f>
        <v>0</v>
      </c>
      <c r="F183" s="102">
        <f>IF(AND(INDEX(Is_UM_Applicable_For_Vehicle,,4),INDEX(Named_Non_owner_UM_indicator_for_Vehicle,,4)),1,0)</f>
        <v>0</v>
      </c>
      <c r="G183" s="102">
        <f>IF(AND(INDEX(Is_UM_Applicable_For_Vehicle,,5),INDEX(Named_Non_owner_UM_indicator_for_Vehicle,,5)),1,0)</f>
        <v>0</v>
      </c>
      <c r="H183" s="102">
        <f>IF(AND(INDEX(Is_UM_Applicable_For_Vehicle,,6),INDEX(Named_Non_owner_UM_indicator_for_Vehicle,,6)),1,0)</f>
        <v>0</v>
      </c>
    </row>
    <row r="184" spans="1:8" ht="12.75">
      <c r="A184" s="106"/>
      <c r="B184" s="102"/>
      <c r="C184" s="102"/>
      <c r="D184" s="102"/>
      <c r="E184" s="102"/>
      <c r="F184" s="102"/>
      <c r="G184" s="102"/>
      <c r="H184" s="102"/>
    </row>
    <row r="185" spans="1:8" ht="12.75">
      <c r="A185" s="106" t="s">
        <v>1270</v>
      </c>
      <c r="B185" s="106" t="s">
        <v>1456</v>
      </c>
      <c r="C185" s="106">
        <f aca="true" t="shared" si="98" ref="C185:H185">IF(OR(ISERROR(C164),C164&lt;=0,C183=0),0,ROUND(C164,2))</f>
        <v>0</v>
      </c>
      <c r="D185" s="106">
        <f t="shared" si="98"/>
        <v>0</v>
      </c>
      <c r="E185" s="106">
        <f t="shared" si="98"/>
        <v>0</v>
      </c>
      <c r="F185" s="106">
        <f t="shared" si="98"/>
        <v>0</v>
      </c>
      <c r="G185" s="106">
        <f t="shared" si="98"/>
        <v>0</v>
      </c>
      <c r="H185" s="106">
        <f t="shared" si="98"/>
        <v>0</v>
      </c>
    </row>
    <row r="186" spans="1:8" ht="12.75">
      <c r="A186" s="106" t="s">
        <v>1270</v>
      </c>
      <c r="B186" s="106" t="s">
        <v>1457</v>
      </c>
      <c r="C186" s="106">
        <f aca="true" t="shared" si="99" ref="C186:H186">IF(OR(ISERROR(C181),C181&lt;=0,C183=0),0,ROUND(C181,2))</f>
        <v>0</v>
      </c>
      <c r="D186" s="106">
        <f t="shared" si="99"/>
        <v>0</v>
      </c>
      <c r="E186" s="106">
        <f t="shared" si="99"/>
        <v>0</v>
      </c>
      <c r="F186" s="106">
        <f t="shared" si="99"/>
        <v>0</v>
      </c>
      <c r="G186" s="106">
        <f t="shared" si="99"/>
        <v>0</v>
      </c>
      <c r="H186" s="106">
        <f t="shared" si="99"/>
        <v>0</v>
      </c>
    </row>
    <row r="188" spans="1:8" ht="20.25" customHeight="1">
      <c r="A188" s="103"/>
      <c r="B188" s="104" t="s">
        <v>1346</v>
      </c>
      <c r="C188" s="103"/>
      <c r="D188" s="103"/>
      <c r="E188" s="103"/>
      <c r="F188" s="102"/>
      <c r="G188" s="102"/>
      <c r="H188" s="102"/>
    </row>
    <row r="189" spans="1:8" ht="20.25" customHeight="1">
      <c r="A189" s="103"/>
      <c r="B189" s="105"/>
      <c r="C189" s="103"/>
      <c r="D189" s="103"/>
      <c r="E189" s="103"/>
      <c r="F189" s="102"/>
      <c r="G189" s="102"/>
      <c r="H189" s="102"/>
    </row>
    <row r="190" spans="1:8" ht="12.75">
      <c r="A190" s="106" t="s">
        <v>1206</v>
      </c>
      <c r="B190" s="106" t="s">
        <v>1207</v>
      </c>
      <c r="C190" s="106" t="s">
        <v>428</v>
      </c>
      <c r="D190" s="106" t="s">
        <v>429</v>
      </c>
      <c r="E190" s="106" t="s">
        <v>430</v>
      </c>
      <c r="F190" s="106" t="s">
        <v>431</v>
      </c>
      <c r="G190" s="106" t="s">
        <v>432</v>
      </c>
      <c r="H190" s="106" t="s">
        <v>433</v>
      </c>
    </row>
    <row r="191" spans="1:8" ht="12.75">
      <c r="A191" s="106"/>
      <c r="B191" s="106"/>
      <c r="C191" s="106"/>
      <c r="D191" s="106"/>
      <c r="E191" s="106"/>
      <c r="F191" s="106"/>
      <c r="G191" s="106"/>
      <c r="H191" s="106"/>
    </row>
    <row r="192" spans="1:8" ht="12.75">
      <c r="A192" s="106" t="s">
        <v>1208</v>
      </c>
      <c r="B192" s="102" t="s">
        <v>1458</v>
      </c>
      <c r="C192" s="102">
        <f aca="true" t="shared" si="100" ref="C192:H192">INDEX(UIM_BI_Base_Premium,,1)</f>
        <v>0</v>
      </c>
      <c r="D192" s="102">
        <f t="shared" si="100"/>
        <v>0</v>
      </c>
      <c r="E192" s="102">
        <f t="shared" si="100"/>
        <v>0</v>
      </c>
      <c r="F192" s="102">
        <f t="shared" si="100"/>
        <v>0</v>
      </c>
      <c r="G192" s="102">
        <f t="shared" si="100"/>
        <v>0</v>
      </c>
      <c r="H192" s="102">
        <f t="shared" si="100"/>
        <v>0</v>
      </c>
    </row>
    <row r="193" spans="1:9" s="102" customFormat="1" ht="12.75">
      <c r="A193" s="106"/>
      <c r="B193" s="102" t="s">
        <v>1459</v>
      </c>
      <c r="C193" s="102">
        <f aca="true" t="shared" si="101" ref="C193:H193">Named_Non_owner_UIM_BI_factor</f>
        <v>1</v>
      </c>
      <c r="D193" s="102">
        <f t="shared" si="101"/>
        <v>1</v>
      </c>
      <c r="E193" s="102">
        <f t="shared" si="101"/>
        <v>1</v>
      </c>
      <c r="F193" s="102">
        <f t="shared" si="101"/>
        <v>1</v>
      </c>
      <c r="G193" s="102">
        <f t="shared" si="101"/>
        <v>1</v>
      </c>
      <c r="H193" s="102">
        <f t="shared" si="101"/>
        <v>1</v>
      </c>
      <c r="I193" s="1"/>
    </row>
    <row r="194" spans="1:8" ht="12.75">
      <c r="A194" s="106"/>
      <c r="B194" s="102"/>
      <c r="C194" s="102"/>
      <c r="D194" s="102"/>
      <c r="E194" s="102"/>
      <c r="F194" s="102"/>
      <c r="G194" s="102"/>
      <c r="H194" s="102"/>
    </row>
    <row r="195" spans="1:9" s="102" customFormat="1" ht="12.75">
      <c r="A195" s="106" t="s">
        <v>1214</v>
      </c>
      <c r="B195" s="108" t="s">
        <v>1219</v>
      </c>
      <c r="C195" s="102">
        <f aca="true" t="shared" si="102" ref="C195:H195">C192*C193</f>
        <v>0</v>
      </c>
      <c r="D195" s="102">
        <f t="shared" si="102"/>
        <v>0</v>
      </c>
      <c r="E195" s="102">
        <f t="shared" si="102"/>
        <v>0</v>
      </c>
      <c r="F195" s="102">
        <f t="shared" si="102"/>
        <v>0</v>
      </c>
      <c r="G195" s="102">
        <f t="shared" si="102"/>
        <v>0</v>
      </c>
      <c r="H195" s="102">
        <f t="shared" si="102"/>
        <v>0</v>
      </c>
      <c r="I195" s="1"/>
    </row>
    <row r="196" spans="1:8" ht="12.75">
      <c r="A196" s="102"/>
      <c r="B196" s="109"/>
      <c r="C196" s="102"/>
      <c r="D196" s="102"/>
      <c r="E196" s="102"/>
      <c r="F196" s="102"/>
      <c r="G196" s="102"/>
      <c r="H196" s="102"/>
    </row>
    <row r="197" spans="1:9" s="102" customFormat="1" ht="12.75">
      <c r="A197" s="106" t="s">
        <v>1222</v>
      </c>
      <c r="B197" s="102" t="s">
        <v>1255</v>
      </c>
      <c r="C197" s="102">
        <f aca="true" t="shared" si="103" ref="C197:H197">C195-(C195*Valued_Customer_Discount_Factor)</f>
        <v>0</v>
      </c>
      <c r="D197" s="102">
        <f t="shared" si="103"/>
        <v>0</v>
      </c>
      <c r="E197" s="102">
        <f t="shared" si="103"/>
        <v>0</v>
      </c>
      <c r="F197" s="102">
        <f t="shared" si="103"/>
        <v>0</v>
      </c>
      <c r="G197" s="102">
        <f t="shared" si="103"/>
        <v>0</v>
      </c>
      <c r="H197" s="102">
        <f t="shared" si="103"/>
        <v>0</v>
      </c>
      <c r="I197" s="1"/>
    </row>
    <row r="198" spans="1:9" s="102" customFormat="1" ht="12.75">
      <c r="A198" s="106"/>
      <c r="B198" s="102" t="s">
        <v>1256</v>
      </c>
      <c r="C198" s="102">
        <f aca="true" t="shared" si="104" ref="C198:H198">IF(Insured_State="MI",C197-(C197*C152),C197)</f>
        <v>0</v>
      </c>
      <c r="D198" s="102">
        <f t="shared" si="104"/>
        <v>0</v>
      </c>
      <c r="E198" s="102">
        <f t="shared" si="104"/>
        <v>0</v>
      </c>
      <c r="F198" s="102">
        <f t="shared" si="104"/>
        <v>0</v>
      </c>
      <c r="G198" s="102">
        <f t="shared" si="104"/>
        <v>0</v>
      </c>
      <c r="H198" s="102">
        <f t="shared" si="104"/>
        <v>0</v>
      </c>
      <c r="I198" s="1"/>
    </row>
    <row r="199" spans="1:9" s="102" customFormat="1" ht="12.75">
      <c r="A199" s="106"/>
      <c r="B199" s="102" t="s">
        <v>1257</v>
      </c>
      <c r="C199" s="102">
        <f aca="true" t="shared" si="105" ref="C199:H199">C198*Policy_Period_Factor</f>
        <v>0</v>
      </c>
      <c r="D199" s="102">
        <f t="shared" si="105"/>
        <v>0</v>
      </c>
      <c r="E199" s="102">
        <f t="shared" si="105"/>
        <v>0</v>
      </c>
      <c r="F199" s="102">
        <f t="shared" si="105"/>
        <v>0</v>
      </c>
      <c r="G199" s="102">
        <f t="shared" si="105"/>
        <v>0</v>
      </c>
      <c r="H199" s="102">
        <f t="shared" si="105"/>
        <v>0</v>
      </c>
      <c r="I199" s="1"/>
    </row>
    <row r="200" spans="1:9" s="102" customFormat="1" ht="12.75">
      <c r="A200" s="106"/>
      <c r="B200" s="102" t="s">
        <v>1258</v>
      </c>
      <c r="C200" s="102">
        <f aca="true" t="shared" si="106" ref="C200:H200">C199-(C199*Fampak_Discount_Factor)</f>
        <v>0</v>
      </c>
      <c r="D200" s="102">
        <f t="shared" si="106"/>
        <v>0</v>
      </c>
      <c r="E200" s="102">
        <f t="shared" si="106"/>
        <v>0</v>
      </c>
      <c r="F200" s="102">
        <f t="shared" si="106"/>
        <v>0</v>
      </c>
      <c r="G200" s="102">
        <f t="shared" si="106"/>
        <v>0</v>
      </c>
      <c r="H200" s="102">
        <f t="shared" si="106"/>
        <v>0</v>
      </c>
      <c r="I200" s="1"/>
    </row>
    <row r="201" spans="1:9" s="102" customFormat="1" ht="12.75">
      <c r="A201" s="106"/>
      <c r="B201" s="112" t="s">
        <v>1259</v>
      </c>
      <c r="C201" s="102">
        <f aca="true" t="shared" si="107" ref="C201:H201">C200-(C200*Prime_Life_Discount_Factor)</f>
        <v>0</v>
      </c>
      <c r="D201" s="102">
        <f t="shared" si="107"/>
        <v>0</v>
      </c>
      <c r="E201" s="102">
        <f t="shared" si="107"/>
        <v>0</v>
      </c>
      <c r="F201" s="102">
        <f t="shared" si="107"/>
        <v>0</v>
      </c>
      <c r="G201" s="102">
        <f t="shared" si="107"/>
        <v>0</v>
      </c>
      <c r="H201" s="102">
        <f t="shared" si="107"/>
        <v>0</v>
      </c>
      <c r="I201" s="1"/>
    </row>
    <row r="202" spans="1:9" s="102" customFormat="1" ht="12.75">
      <c r="A202" s="106"/>
      <c r="B202" s="102" t="s">
        <v>1260</v>
      </c>
      <c r="C202" s="102">
        <f aca="true" t="shared" si="108" ref="C202:H202">IF(Insured_State="PA",C201-(C201*C152),C201)</f>
        <v>0</v>
      </c>
      <c r="D202" s="102">
        <f t="shared" si="108"/>
        <v>0</v>
      </c>
      <c r="E202" s="102">
        <f t="shared" si="108"/>
        <v>0</v>
      </c>
      <c r="F202" s="102">
        <f t="shared" si="108"/>
        <v>0</v>
      </c>
      <c r="G202" s="102">
        <f t="shared" si="108"/>
        <v>0</v>
      </c>
      <c r="H202" s="102">
        <f t="shared" si="108"/>
        <v>0</v>
      </c>
      <c r="I202" s="1"/>
    </row>
    <row r="203" spans="1:9" s="102" customFormat="1" ht="12.75">
      <c r="A203" s="106"/>
      <c r="B203" s="102" t="s">
        <v>1261</v>
      </c>
      <c r="C203" s="102">
        <f aca="true" t="shared" si="109" ref="C203:H203">IF(Insured_State="PA",Tort_Factor_UMUIM,1)</f>
        <v>1</v>
      </c>
      <c r="D203" s="102">
        <f t="shared" si="109"/>
        <v>1</v>
      </c>
      <c r="E203" s="102">
        <f t="shared" si="109"/>
        <v>1</v>
      </c>
      <c r="F203" s="102">
        <f t="shared" si="109"/>
        <v>1</v>
      </c>
      <c r="G203" s="102">
        <f t="shared" si="109"/>
        <v>1</v>
      </c>
      <c r="H203" s="102">
        <f t="shared" si="109"/>
        <v>1</v>
      </c>
      <c r="I203" s="1"/>
    </row>
    <row r="204" spans="1:9" s="102" customFormat="1" ht="12.75">
      <c r="A204" s="106"/>
      <c r="B204" s="102" t="s">
        <v>1262</v>
      </c>
      <c r="C204" s="102">
        <f aca="true" t="shared" si="110" ref="C204:H204">C202*C203</f>
        <v>0</v>
      </c>
      <c r="D204" s="102">
        <f t="shared" si="110"/>
        <v>0</v>
      </c>
      <c r="E204" s="102">
        <f t="shared" si="110"/>
        <v>0</v>
      </c>
      <c r="F204" s="102">
        <f t="shared" si="110"/>
        <v>0</v>
      </c>
      <c r="G204" s="102">
        <f t="shared" si="110"/>
        <v>0</v>
      </c>
      <c r="H204" s="102">
        <f t="shared" si="110"/>
        <v>0</v>
      </c>
      <c r="I204" s="1"/>
    </row>
    <row r="205" spans="1:9" s="102" customFormat="1" ht="12.75">
      <c r="A205" s="106"/>
      <c r="B205" s="112" t="s">
        <v>1263</v>
      </c>
      <c r="C205" s="102">
        <f>C204-(C204*INDEX(Mass_Merchandise_Factor,,1))</f>
        <v>0</v>
      </c>
      <c r="D205" s="102">
        <f>D204-(D204*INDEX(Mass_Merchandise_Factor,,2))</f>
        <v>0</v>
      </c>
      <c r="E205" s="102">
        <f>E204-(E204*INDEX(Mass_Merchandise_Factor,,3))</f>
        <v>0</v>
      </c>
      <c r="F205" s="102">
        <f>F204-(F204*INDEX(Mass_Merchandise_Factor,,4))</f>
        <v>0</v>
      </c>
      <c r="G205" s="102">
        <f>G204-(G204*INDEX(Mass_Merchandise_Factor,,5))</f>
        <v>0</v>
      </c>
      <c r="H205" s="102">
        <f>H204-(H204*INDEX(Mass_Merchandise_Factor,,6))</f>
        <v>0</v>
      </c>
      <c r="I205" s="1"/>
    </row>
    <row r="206" spans="1:9" s="102" customFormat="1" ht="12.75">
      <c r="A206" s="106"/>
      <c r="B206" s="112" t="s">
        <v>1264</v>
      </c>
      <c r="C206" s="102">
        <f aca="true" t="shared" si="111" ref="C206:H206">C205-(C205*IN_Standard_Agent_Commission_Factor)</f>
        <v>0</v>
      </c>
      <c r="D206" s="102">
        <f t="shared" si="111"/>
        <v>0</v>
      </c>
      <c r="E206" s="102">
        <f t="shared" si="111"/>
        <v>0</v>
      </c>
      <c r="F206" s="102">
        <f t="shared" si="111"/>
        <v>0</v>
      </c>
      <c r="G206" s="102">
        <f t="shared" si="111"/>
        <v>0</v>
      </c>
      <c r="H206" s="102">
        <f t="shared" si="111"/>
        <v>0</v>
      </c>
      <c r="I206" s="1"/>
    </row>
    <row r="207" spans="1:9" s="102" customFormat="1" ht="12.75">
      <c r="A207" s="106"/>
      <c r="B207" s="112" t="s">
        <v>1266</v>
      </c>
      <c r="C207" s="102">
        <f aca="true" t="shared" si="112" ref="C207:H207">C206</f>
        <v>0</v>
      </c>
      <c r="D207" s="102">
        <f t="shared" si="112"/>
        <v>0</v>
      </c>
      <c r="E207" s="102">
        <f t="shared" si="112"/>
        <v>0</v>
      </c>
      <c r="F207" s="102">
        <f t="shared" si="112"/>
        <v>0</v>
      </c>
      <c r="G207" s="102">
        <f t="shared" si="112"/>
        <v>0</v>
      </c>
      <c r="H207" s="102">
        <f t="shared" si="112"/>
        <v>0</v>
      </c>
      <c r="I207" s="1"/>
    </row>
    <row r="208" spans="1:8" ht="12.75">
      <c r="A208" s="106"/>
      <c r="B208" s="102"/>
      <c r="C208" s="102"/>
      <c r="D208" s="102"/>
      <c r="E208" s="102"/>
      <c r="F208" s="102"/>
      <c r="G208" s="102"/>
      <c r="H208" s="102"/>
    </row>
    <row r="209" spans="1:8" ht="12.75">
      <c r="A209" s="106"/>
      <c r="B209" s="102" t="s">
        <v>1267</v>
      </c>
      <c r="C209" s="102">
        <f>IF(AND(INDEX(Is_UIM_Applicable_For_Vehicle,,1),INDEX(Named_Non_owner_UM_indicator_for_Vehicle,,1)),1,0)</f>
        <v>0</v>
      </c>
      <c r="D209" s="102">
        <f>IF(AND(INDEX(Is_UIM_Applicable_For_Vehicle,,2),INDEX(Named_Non_owner_UM_indicator_for_Vehicle,,2)),1,0)</f>
        <v>0</v>
      </c>
      <c r="E209" s="102">
        <f>IF(AND(INDEX(Is_UIM_Applicable_For_Vehicle,,3),INDEX(Named_Non_owner_UM_indicator_for_Vehicle,,3)),1,0)</f>
        <v>0</v>
      </c>
      <c r="F209" s="102">
        <f>IF(AND(INDEX(Is_UIM_Applicable_For_Vehicle,,4),INDEX(Named_Non_owner_UM_indicator_for_Vehicle,,4)),1,0)</f>
        <v>0</v>
      </c>
      <c r="G209" s="102">
        <f>IF(AND(INDEX(Is_UIM_Applicable_For_Vehicle,,5),INDEX(Named_Non_owner_UM_indicator_for_Vehicle,,5)),1,0)</f>
        <v>0</v>
      </c>
      <c r="H209" s="102">
        <f>IF(AND(INDEX(Is_UIM_Applicable_For_Vehicle,,6),INDEX(Named_Non_owner_UM_indicator_for_Vehicle,,6)),1,0)</f>
        <v>0</v>
      </c>
    </row>
    <row r="210" spans="1:8" ht="12.75">
      <c r="A210" s="106"/>
      <c r="B210" s="102"/>
      <c r="C210" s="102"/>
      <c r="D210" s="102"/>
      <c r="E210" s="102"/>
      <c r="F210" s="102"/>
      <c r="G210" s="102"/>
      <c r="H210" s="102"/>
    </row>
    <row r="211" spans="1:8" ht="12.75">
      <c r="A211" s="106" t="s">
        <v>1270</v>
      </c>
      <c r="B211" s="106" t="s">
        <v>1460</v>
      </c>
      <c r="C211" s="106">
        <f aca="true" t="shared" si="113" ref="C211:H211">IF(OR(ISERROR(C207),C207&lt;=0,C209=0),0,ROUND(C207,2))</f>
        <v>0</v>
      </c>
      <c r="D211" s="106">
        <f t="shared" si="113"/>
        <v>0</v>
      </c>
      <c r="E211" s="106">
        <f t="shared" si="113"/>
        <v>0</v>
      </c>
      <c r="F211" s="106">
        <f t="shared" si="113"/>
        <v>0</v>
      </c>
      <c r="G211" s="106">
        <f t="shared" si="113"/>
        <v>0</v>
      </c>
      <c r="H211" s="106">
        <f t="shared" si="113"/>
        <v>0</v>
      </c>
    </row>
    <row r="214" spans="1:9" s="102" customFormat="1" ht="12.75">
      <c r="A214" s="106"/>
      <c r="I214" s="1"/>
    </row>
    <row r="215" spans="1:9" s="102" customFormat="1" ht="12.75">
      <c r="A215" s="106"/>
      <c r="I215" s="1"/>
    </row>
  </sheetData>
  <printOptions/>
  <pageMargins left="0.75" right="0.75" top="1" bottom="1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4"/>
  <sheetViews>
    <sheetView zoomScale="75" zoomScaleNormal="75" workbookViewId="0" topLeftCell="A12">
      <selection activeCell="B51" sqref="B51:G51"/>
    </sheetView>
  </sheetViews>
  <sheetFormatPr defaultColWidth="9.140625" defaultRowHeight="12.75"/>
  <cols>
    <col min="1" max="1" width="39.7109375" style="0" customWidth="1"/>
    <col min="2" max="7" width="11.28125" style="0" customWidth="1"/>
    <col min="8" max="8" width="34.7109375" style="0" customWidth="1"/>
  </cols>
  <sheetData>
    <row r="1" spans="1:8" ht="18" customHeight="1">
      <c r="A1" s="30" t="s">
        <v>554</v>
      </c>
      <c r="H1" s="31" t="s">
        <v>555</v>
      </c>
    </row>
    <row r="2" ht="12.75">
      <c r="A2" s="32" t="s">
        <v>556</v>
      </c>
    </row>
    <row r="4" spans="1:7" s="31" customFormat="1" ht="12.75">
      <c r="A4" s="31" t="s">
        <v>557</v>
      </c>
      <c r="B4" s="31">
        <v>1</v>
      </c>
      <c r="C4" s="31">
        <v>2</v>
      </c>
      <c r="D4" s="31">
        <v>3</v>
      </c>
      <c r="E4" s="31">
        <v>4</v>
      </c>
      <c r="F4" s="31">
        <v>5</v>
      </c>
      <c r="G4" s="31">
        <v>6</v>
      </c>
    </row>
    <row r="5" spans="1:7" ht="12.75">
      <c r="A5" s="33" t="s">
        <v>438</v>
      </c>
      <c r="B5">
        <f>INDEX(Vehicle_Year,1,1)</f>
        <v>0</v>
      </c>
      <c r="C5">
        <f>INDEX(Vehicle_Year,1,2)</f>
        <v>0</v>
      </c>
      <c r="D5">
        <f>INDEX(Vehicle_Year,1,3)</f>
        <v>0</v>
      </c>
      <c r="E5">
        <f>INDEX(Vehicle_Year,1,4)</f>
        <v>0</v>
      </c>
      <c r="F5">
        <f>INDEX(Vehicle_Year,1,5)</f>
        <v>0</v>
      </c>
      <c r="G5">
        <f>INDEX(Vehicle_Year,1,6)</f>
        <v>0</v>
      </c>
    </row>
    <row r="6" spans="1:8" s="34" customFormat="1" ht="12.75">
      <c r="A6" s="34" t="s">
        <v>558</v>
      </c>
      <c r="B6" s="35">
        <f>IF(ISBLANK(INDEX(Vehicle_Symbol,,1)),"",INDEX(Vehicle_Symbol,,1))</f>
      </c>
      <c r="C6" s="35">
        <f>IF(ISBLANK(INDEX(Vehicle_Symbol,,2)),"",INDEX(Vehicle_Symbol,,2))</f>
      </c>
      <c r="D6" s="35">
        <f>IF(ISBLANK(INDEX(Vehicle_Symbol,,3)),"",INDEX(Vehicle_Symbol,,3))</f>
      </c>
      <c r="E6" s="35">
        <f>IF(ISBLANK(INDEX(Vehicle_Symbol,,4)),"",INDEX(Vehicle_Symbol,,4))</f>
      </c>
      <c r="F6" s="35">
        <f>IF(ISBLANK(INDEX(Vehicle_Symbol,,5)),"",INDEX(Vehicle_Symbol,,5))</f>
      </c>
      <c r="G6" s="35">
        <f>IF(ISBLANK(INDEX(Vehicle_Symbol,,6)),"",INDEX(Vehicle_Symbol,,6))</f>
      </c>
      <c r="H6" s="34" t="s">
        <v>559</v>
      </c>
    </row>
    <row r="8" spans="1:7" s="31" customFormat="1" ht="12.75">
      <c r="A8" s="31" t="s">
        <v>560</v>
      </c>
      <c r="B8" s="31">
        <f>INDEX(Primary_Driver,1,1)</f>
        <v>0</v>
      </c>
      <c r="C8" s="31">
        <f>INDEX(Primary_Driver,1,2)</f>
        <v>0</v>
      </c>
      <c r="D8" s="31">
        <f>INDEX(Primary_Driver,1,3)</f>
        <v>0</v>
      </c>
      <c r="E8" s="31">
        <f>INDEX(Primary_Driver,1,4)</f>
        <v>0</v>
      </c>
      <c r="F8" s="31">
        <f>INDEX(Primary_Driver,1,5)</f>
        <v>0</v>
      </c>
      <c r="G8" s="31">
        <f>INDEX(Primary_Driver,1,6)</f>
        <v>0</v>
      </c>
    </row>
    <row r="9" spans="1:8" ht="12.75">
      <c r="A9" s="36" t="s">
        <v>561</v>
      </c>
      <c r="B9" s="37"/>
      <c r="C9" s="37"/>
      <c r="D9" s="37"/>
      <c r="E9" s="37"/>
      <c r="F9" s="37"/>
      <c r="G9" s="37"/>
      <c r="H9" s="38" t="s">
        <v>562</v>
      </c>
    </row>
    <row r="10" spans="1:8" ht="12.75">
      <c r="A10" s="36" t="s">
        <v>563</v>
      </c>
      <c r="B10" s="37"/>
      <c r="C10" s="37"/>
      <c r="D10" s="37"/>
      <c r="E10" s="37"/>
      <c r="F10" s="37"/>
      <c r="G10" s="37"/>
      <c r="H10" s="38" t="s">
        <v>564</v>
      </c>
    </row>
    <row r="11" spans="1:8" ht="12.75">
      <c r="A11" s="36"/>
      <c r="B11" s="39"/>
      <c r="C11" s="39"/>
      <c r="D11" s="39"/>
      <c r="E11" s="39"/>
      <c r="F11" s="39"/>
      <c r="G11" s="39"/>
      <c r="H11" s="38"/>
    </row>
    <row r="12" ht="12.75">
      <c r="A12" t="s">
        <v>565</v>
      </c>
    </row>
    <row r="13" spans="1:8" s="34" customFormat="1" ht="12.75">
      <c r="A13" s="40" t="s">
        <v>566</v>
      </c>
      <c r="B13" s="41"/>
      <c r="C13" s="41"/>
      <c r="D13" s="41"/>
      <c r="E13" s="41"/>
      <c r="F13" s="41"/>
      <c r="G13" s="41"/>
      <c r="H13" s="34" t="s">
        <v>567</v>
      </c>
    </row>
    <row r="14" spans="1:8" s="34" customFormat="1" ht="12.75">
      <c r="A14" s="40" t="s">
        <v>568</v>
      </c>
      <c r="B14" s="41"/>
      <c r="C14" s="41"/>
      <c r="D14" s="41"/>
      <c r="E14" s="41"/>
      <c r="F14" s="41"/>
      <c r="G14" s="41"/>
      <c r="H14" s="34" t="s">
        <v>569</v>
      </c>
    </row>
    <row r="15" spans="1:8" s="34" customFormat="1" ht="12.75">
      <c r="A15" s="40" t="s">
        <v>570</v>
      </c>
      <c r="B15" s="41"/>
      <c r="C15" s="41"/>
      <c r="D15" s="41"/>
      <c r="E15" s="41"/>
      <c r="F15" s="41"/>
      <c r="G15" s="41"/>
      <c r="H15" s="34" t="s">
        <v>567</v>
      </c>
    </row>
    <row r="16" spans="1:8" s="34" customFormat="1" ht="12.75">
      <c r="A16" s="40" t="s">
        <v>571</v>
      </c>
      <c r="B16" s="41"/>
      <c r="C16" s="41"/>
      <c r="D16" s="41"/>
      <c r="E16" s="41"/>
      <c r="F16" s="41"/>
      <c r="G16" s="41"/>
      <c r="H16" s="34" t="s">
        <v>569</v>
      </c>
    </row>
    <row r="17" spans="1:8" s="42" customFormat="1" ht="12.75">
      <c r="A17" s="43" t="s">
        <v>572</v>
      </c>
      <c r="B17" s="41"/>
      <c r="C17" s="41"/>
      <c r="D17" s="41"/>
      <c r="E17" s="41"/>
      <c r="F17" s="41"/>
      <c r="G17" s="41"/>
      <c r="H17" s="42" t="s">
        <v>573</v>
      </c>
    </row>
    <row r="18" spans="1:8" s="42" customFormat="1" ht="12.75">
      <c r="A18" s="43" t="s">
        <v>574</v>
      </c>
      <c r="B18" s="41"/>
      <c r="C18" s="41"/>
      <c r="D18" s="41"/>
      <c r="E18" s="41"/>
      <c r="F18" s="41"/>
      <c r="G18" s="41"/>
      <c r="H18" s="42" t="s">
        <v>575</v>
      </c>
    </row>
    <row r="19" spans="1:8" s="34" customFormat="1" ht="12.75">
      <c r="A19" s="40" t="s">
        <v>576</v>
      </c>
      <c r="B19" s="41"/>
      <c r="C19" s="41"/>
      <c r="D19" s="41"/>
      <c r="E19" s="41"/>
      <c r="F19" s="41"/>
      <c r="G19" s="41"/>
      <c r="H19" s="34" t="s">
        <v>577</v>
      </c>
    </row>
    <row r="20" spans="1:8" s="34" customFormat="1" ht="12.75">
      <c r="A20" s="40" t="s">
        <v>578</v>
      </c>
      <c r="B20" s="41"/>
      <c r="C20" s="41"/>
      <c r="D20" s="41"/>
      <c r="E20" s="41"/>
      <c r="F20" s="41"/>
      <c r="G20" s="41"/>
      <c r="H20" s="34" t="s">
        <v>579</v>
      </c>
    </row>
    <row r="21" spans="1:8" s="34" customFormat="1" ht="12.75">
      <c r="A21" s="40" t="s">
        <v>580</v>
      </c>
      <c r="B21" s="41"/>
      <c r="C21" s="41"/>
      <c r="D21" s="41"/>
      <c r="E21" s="41"/>
      <c r="F21" s="41"/>
      <c r="G21" s="41"/>
      <c r="H21" s="34" t="s">
        <v>581</v>
      </c>
    </row>
    <row r="22" spans="1:8" s="34" customFormat="1" ht="12.75">
      <c r="A22" s="40" t="s">
        <v>582</v>
      </c>
      <c r="B22" s="41"/>
      <c r="C22" s="41"/>
      <c r="D22" s="41"/>
      <c r="E22" s="41"/>
      <c r="F22" s="41"/>
      <c r="G22" s="41"/>
      <c r="H22" s="34" t="s">
        <v>583</v>
      </c>
    </row>
    <row r="23" spans="1:8" s="34" customFormat="1" ht="12.75">
      <c r="A23" s="40" t="s">
        <v>584</v>
      </c>
      <c r="B23" s="41"/>
      <c r="C23" s="41"/>
      <c r="D23" s="41"/>
      <c r="E23" s="41"/>
      <c r="F23" s="41"/>
      <c r="G23" s="41"/>
      <c r="H23" s="34" t="s">
        <v>585</v>
      </c>
    </row>
    <row r="24" spans="1:8" s="34" customFormat="1" ht="12.75">
      <c r="A24" s="40" t="s">
        <v>586</v>
      </c>
      <c r="B24" s="41"/>
      <c r="C24" s="41"/>
      <c r="D24" s="41"/>
      <c r="E24" s="41"/>
      <c r="F24" s="41"/>
      <c r="G24" s="41"/>
      <c r="H24" s="34" t="s">
        <v>587</v>
      </c>
    </row>
    <row r="25" spans="1:8" s="34" customFormat="1" ht="12.75">
      <c r="A25" s="40" t="s">
        <v>588</v>
      </c>
      <c r="B25" s="41"/>
      <c r="C25" s="41"/>
      <c r="D25" s="41"/>
      <c r="E25" s="41"/>
      <c r="F25" s="41"/>
      <c r="G25" s="41"/>
      <c r="H25" s="44" t="s">
        <v>589</v>
      </c>
    </row>
    <row r="26" spans="1:8" s="34" customFormat="1" ht="12.75">
      <c r="A26" s="40" t="s">
        <v>590</v>
      </c>
      <c r="B26" s="41"/>
      <c r="C26" s="41"/>
      <c r="D26" s="41"/>
      <c r="E26" s="41"/>
      <c r="F26" s="41"/>
      <c r="G26" s="41"/>
      <c r="H26" s="44" t="s">
        <v>591</v>
      </c>
    </row>
    <row r="27" spans="1:8" s="34" customFormat="1" ht="12.75">
      <c r="A27" s="40" t="s">
        <v>592</v>
      </c>
      <c r="B27" s="41"/>
      <c r="C27" s="41"/>
      <c r="D27" s="41"/>
      <c r="E27" s="41"/>
      <c r="F27" s="41"/>
      <c r="G27" s="41"/>
      <c r="H27" s="44" t="s">
        <v>593</v>
      </c>
    </row>
    <row r="28" spans="1:8" s="42" customFormat="1" ht="12.75">
      <c r="A28" s="43" t="s">
        <v>594</v>
      </c>
      <c r="B28" s="41"/>
      <c r="C28" s="41"/>
      <c r="D28" s="41"/>
      <c r="E28" s="41"/>
      <c r="F28" s="41"/>
      <c r="G28" s="41"/>
      <c r="H28" s="42" t="s">
        <v>595</v>
      </c>
    </row>
    <row r="29" spans="1:7" s="34" customFormat="1" ht="12.75">
      <c r="A29" s="40"/>
      <c r="B29" s="45"/>
      <c r="C29" s="45"/>
      <c r="D29" s="45"/>
      <c r="E29" s="45"/>
      <c r="F29" s="45"/>
      <c r="G29" s="45"/>
    </row>
    <row r="30" spans="1:8" s="34" customFormat="1" ht="12.75">
      <c r="A30" s="40" t="s">
        <v>596</v>
      </c>
      <c r="B30" s="41"/>
      <c r="C30" s="41"/>
      <c r="D30" s="41"/>
      <c r="E30" s="41"/>
      <c r="F30" s="41"/>
      <c r="G30" s="41"/>
      <c r="H30" s="34" t="s">
        <v>597</v>
      </c>
    </row>
    <row r="31" spans="1:8" s="34" customFormat="1" ht="12.75">
      <c r="A31" s="40" t="s">
        <v>598</v>
      </c>
      <c r="B31" s="41"/>
      <c r="C31" s="41"/>
      <c r="D31" s="41"/>
      <c r="E31" s="41"/>
      <c r="F31" s="41"/>
      <c r="G31" s="41"/>
      <c r="H31" s="34" t="s">
        <v>599</v>
      </c>
    </row>
    <row r="32" spans="1:8" s="34" customFormat="1" ht="12.75">
      <c r="A32" s="40" t="s">
        <v>600</v>
      </c>
      <c r="B32" s="41"/>
      <c r="C32" s="41"/>
      <c r="D32" s="41"/>
      <c r="E32" s="41"/>
      <c r="F32" s="41"/>
      <c r="G32" s="41"/>
      <c r="H32" s="34" t="s">
        <v>601</v>
      </c>
    </row>
    <row r="33" spans="1:8" s="34" customFormat="1" ht="12.75">
      <c r="A33" s="40" t="s">
        <v>602</v>
      </c>
      <c r="B33" s="41"/>
      <c r="C33" s="41"/>
      <c r="D33" s="41"/>
      <c r="E33" s="41"/>
      <c r="F33" s="41"/>
      <c r="G33" s="41"/>
      <c r="H33" s="34" t="s">
        <v>603</v>
      </c>
    </row>
    <row r="34" spans="1:8" s="34" customFormat="1" ht="12.75">
      <c r="A34" s="40" t="s">
        <v>604</v>
      </c>
      <c r="B34" s="41"/>
      <c r="C34" s="46"/>
      <c r="D34" s="46"/>
      <c r="E34" s="46"/>
      <c r="F34" s="46"/>
      <c r="G34" s="46"/>
      <c r="H34" s="34" t="s">
        <v>605</v>
      </c>
    </row>
    <row r="35" spans="1:8" s="34" customFormat="1" ht="12.75">
      <c r="A35" s="40" t="s">
        <v>606</v>
      </c>
      <c r="B35" s="41">
        <v>0.36</v>
      </c>
      <c r="C35" s="46"/>
      <c r="D35" s="46"/>
      <c r="E35" s="46"/>
      <c r="F35" s="46"/>
      <c r="G35" s="46"/>
      <c r="H35" s="34" t="s">
        <v>607</v>
      </c>
    </row>
    <row r="36" spans="1:8" s="34" customFormat="1" ht="12.75">
      <c r="A36" s="40" t="s">
        <v>608</v>
      </c>
      <c r="B36" s="41">
        <v>0.64</v>
      </c>
      <c r="C36" s="46"/>
      <c r="D36" s="46"/>
      <c r="E36" s="46"/>
      <c r="F36" s="46"/>
      <c r="G36" s="46"/>
      <c r="H36" s="34" t="s">
        <v>607</v>
      </c>
    </row>
    <row r="37" spans="1:8" s="34" customFormat="1" ht="12.75">
      <c r="A37" s="40" t="s">
        <v>609</v>
      </c>
      <c r="B37" s="41">
        <f>IF(Insured_State="NC",0.25,0.18)</f>
        <v>0.18</v>
      </c>
      <c r="C37" s="46"/>
      <c r="D37" s="46"/>
      <c r="E37" s="46"/>
      <c r="F37" s="46"/>
      <c r="G37" s="46"/>
      <c r="H37" s="34" t="s">
        <v>607</v>
      </c>
    </row>
    <row r="38" spans="1:8" s="34" customFormat="1" ht="12.75">
      <c r="A38" s="40" t="s">
        <v>610</v>
      </c>
      <c r="B38" s="41">
        <v>0.28</v>
      </c>
      <c r="C38" s="46"/>
      <c r="D38" s="46"/>
      <c r="E38" s="46"/>
      <c r="F38" s="46"/>
      <c r="G38" s="46"/>
      <c r="H38" s="34" t="s">
        <v>607</v>
      </c>
    </row>
    <row r="39" ht="12.75">
      <c r="A39" s="32"/>
    </row>
    <row r="40" spans="1:7" ht="12.75">
      <c r="A40" t="s">
        <v>611</v>
      </c>
      <c r="B40">
        <f aca="true" t="shared" si="0" ref="B40:G40">Insured_Zipcode</f>
        <v>0</v>
      </c>
      <c r="C40">
        <f t="shared" si="0"/>
        <v>0</v>
      </c>
      <c r="D40">
        <f t="shared" si="0"/>
        <v>0</v>
      </c>
      <c r="E40">
        <f t="shared" si="0"/>
        <v>0</v>
      </c>
      <c r="F40">
        <f t="shared" si="0"/>
        <v>0</v>
      </c>
      <c r="G40">
        <f t="shared" si="0"/>
        <v>0</v>
      </c>
    </row>
    <row r="41" spans="1:8" ht="12.75">
      <c r="A41" s="40" t="s">
        <v>612</v>
      </c>
      <c r="B41" s="35">
        <f>IF(ISBLANK(INDEX(Garage_Territory,,1)),"",INDEX(Garage_Territory,,1))</f>
      </c>
      <c r="C41" s="35">
        <f>IF(ISBLANK(INDEX(Garage_Territory,,2)),"",INDEX(Garage_Territory,,2))</f>
      </c>
      <c r="D41" s="35">
        <f>IF(ISBLANK(INDEX(Garage_Territory,,3)),"",INDEX(Garage_Territory,,3))</f>
      </c>
      <c r="E41" s="35">
        <f>IF(ISBLANK(INDEX(Garage_Territory,,4)),"",INDEX(Garage_Territory,,4))</f>
      </c>
      <c r="F41" s="35">
        <f>IF(ISBLANK(INDEX(Garage_Territory,,5)),"",INDEX(Garage_Territory,,5))</f>
      </c>
      <c r="G41" s="35">
        <f>IF(ISBLANK(INDEX(Garage_Territory,,6)),"",INDEX(Garage_Territory,,6))</f>
      </c>
      <c r="H41" s="34" t="s">
        <v>613</v>
      </c>
    </row>
    <row r="42" spans="1:2" s="47" customFormat="1" ht="12.75">
      <c r="A42" s="48" t="s">
        <v>261</v>
      </c>
      <c r="B42" s="47" t="b">
        <f>IF(CSL_or_Split_Desc="CSL",TRUE,FALSE)</f>
        <v>0</v>
      </c>
    </row>
    <row r="43" spans="1:2" s="47" customFormat="1" ht="12.75">
      <c r="A43" s="48" t="s">
        <v>614</v>
      </c>
      <c r="B43" s="47" t="str">
        <f>IF(UM_Stacking_Option="Y","Y","N")</f>
        <v>N</v>
      </c>
    </row>
    <row r="44" spans="1:2" s="47" customFormat="1" ht="12.75">
      <c r="A44" s="48" t="s">
        <v>303</v>
      </c>
      <c r="B44" s="47" t="b">
        <f>IF(PIP_Plan="Y",TRUE,FALSE)</f>
        <v>0</v>
      </c>
    </row>
    <row r="45" ht="12.75">
      <c r="A45" t="s">
        <v>261</v>
      </c>
    </row>
    <row r="46" spans="1:8" s="34" customFormat="1" ht="12.75">
      <c r="A46" s="40" t="s">
        <v>615</v>
      </c>
      <c r="B46" s="41"/>
      <c r="C46" s="41"/>
      <c r="D46" s="41"/>
      <c r="E46" s="41"/>
      <c r="F46" s="41"/>
      <c r="G46" s="41"/>
      <c r="H46" s="34" t="s">
        <v>616</v>
      </c>
    </row>
    <row r="47" spans="1:8" s="34" customFormat="1" ht="12.75">
      <c r="A47" s="40" t="s">
        <v>617</v>
      </c>
      <c r="B47" s="41"/>
      <c r="C47" s="41"/>
      <c r="D47" s="41"/>
      <c r="E47" s="41"/>
      <c r="F47" s="41"/>
      <c r="G47" s="41"/>
      <c r="H47" s="34" t="s">
        <v>618</v>
      </c>
    </row>
    <row r="48" spans="1:8" s="34" customFormat="1" ht="12.75">
      <c r="A48" s="40" t="s">
        <v>619</v>
      </c>
      <c r="B48" s="41"/>
      <c r="C48" s="41"/>
      <c r="D48" s="41"/>
      <c r="E48" s="41"/>
      <c r="F48" s="41"/>
      <c r="G48" s="41"/>
      <c r="H48" s="34" t="s">
        <v>620</v>
      </c>
    </row>
    <row r="49" ht="12.75">
      <c r="A49" s="33" t="s">
        <v>621</v>
      </c>
    </row>
    <row r="50" spans="1:8" s="34" customFormat="1" ht="12.75">
      <c r="A50" s="40" t="s">
        <v>622</v>
      </c>
      <c r="B50" s="41"/>
      <c r="C50" s="41"/>
      <c r="D50" s="41"/>
      <c r="E50" s="41"/>
      <c r="F50" s="41"/>
      <c r="G50" s="41"/>
      <c r="H50" s="34" t="s">
        <v>623</v>
      </c>
    </row>
    <row r="51" spans="1:8" s="34" customFormat="1" ht="12.75">
      <c r="A51" s="40" t="s">
        <v>624</v>
      </c>
      <c r="B51" s="41"/>
      <c r="C51" s="41"/>
      <c r="D51" s="41"/>
      <c r="E51" s="41"/>
      <c r="F51" s="41"/>
      <c r="G51" s="41"/>
      <c r="H51" s="34" t="s">
        <v>618</v>
      </c>
    </row>
    <row r="52" spans="1:8" s="34" customFormat="1" ht="12.75">
      <c r="A52" s="40" t="s">
        <v>625</v>
      </c>
      <c r="B52" s="41"/>
      <c r="C52" s="41"/>
      <c r="D52" s="41"/>
      <c r="E52" s="41"/>
      <c r="F52" s="41"/>
      <c r="G52" s="41"/>
      <c r="H52" s="34" t="s">
        <v>626</v>
      </c>
    </row>
    <row r="53" spans="1:8" s="34" customFormat="1" ht="12.75">
      <c r="A53" s="40" t="s">
        <v>627</v>
      </c>
      <c r="B53" s="41"/>
      <c r="C53" s="41"/>
      <c r="D53" s="41"/>
      <c r="E53" s="41"/>
      <c r="F53" s="41"/>
      <c r="G53" s="41"/>
      <c r="H53" s="34" t="s">
        <v>628</v>
      </c>
    </row>
    <row r="54" ht="12.75">
      <c r="A54" s="33" t="s">
        <v>629</v>
      </c>
    </row>
    <row r="55" spans="1:8" s="34" customFormat="1" ht="12.75">
      <c r="A55" s="40" t="s">
        <v>630</v>
      </c>
      <c r="B55" s="41"/>
      <c r="C55" s="41"/>
      <c r="D55" s="41"/>
      <c r="E55" s="41"/>
      <c r="F55" s="41"/>
      <c r="G55" s="41"/>
      <c r="H55" s="34" t="s">
        <v>631</v>
      </c>
    </row>
    <row r="56" spans="1:8" s="34" customFormat="1" ht="12.75">
      <c r="A56" s="40" t="s">
        <v>632</v>
      </c>
      <c r="B56" s="41"/>
      <c r="C56" s="41"/>
      <c r="D56" s="41"/>
      <c r="E56" s="41"/>
      <c r="F56" s="41"/>
      <c r="G56" s="41"/>
      <c r="H56" s="34" t="s">
        <v>618</v>
      </c>
    </row>
    <row r="57" spans="1:8" s="34" customFormat="1" ht="12.75">
      <c r="A57" s="40" t="s">
        <v>633</v>
      </c>
      <c r="B57" s="41"/>
      <c r="C57" s="41"/>
      <c r="D57" s="41"/>
      <c r="E57" s="41"/>
      <c r="F57" s="41"/>
      <c r="G57" s="41"/>
      <c r="H57" s="34" t="s">
        <v>634</v>
      </c>
    </row>
    <row r="58" spans="1:8" s="34" customFormat="1" ht="12.75">
      <c r="A58" s="40" t="s">
        <v>635</v>
      </c>
      <c r="B58" s="41"/>
      <c r="C58" s="41"/>
      <c r="D58" s="41"/>
      <c r="E58" s="41"/>
      <c r="F58" s="41"/>
      <c r="G58" s="41"/>
      <c r="H58" s="34" t="s">
        <v>636</v>
      </c>
    </row>
    <row r="59" ht="12.75">
      <c r="A59" s="33" t="s">
        <v>637</v>
      </c>
    </row>
    <row r="60" spans="1:8" s="34" customFormat="1" ht="12.75">
      <c r="A60" s="40" t="s">
        <v>638</v>
      </c>
      <c r="B60" s="41"/>
      <c r="C60" s="41"/>
      <c r="D60" s="41"/>
      <c r="E60" s="41"/>
      <c r="F60" s="41"/>
      <c r="G60" s="41"/>
      <c r="H60" s="34" t="s">
        <v>639</v>
      </c>
    </row>
    <row r="61" spans="1:8" s="34" customFormat="1" ht="12.75">
      <c r="A61" s="40" t="s">
        <v>640</v>
      </c>
      <c r="B61" s="41"/>
      <c r="C61" s="41"/>
      <c r="D61" s="41"/>
      <c r="E61" s="41"/>
      <c r="F61" s="41"/>
      <c r="G61" s="41"/>
      <c r="H61" s="34" t="s">
        <v>641</v>
      </c>
    </row>
    <row r="62" ht="12.75">
      <c r="A62" s="33" t="s">
        <v>642</v>
      </c>
    </row>
    <row r="63" spans="1:8" s="34" customFormat="1" ht="12.75">
      <c r="A63" s="40" t="s">
        <v>643</v>
      </c>
      <c r="B63" s="41"/>
      <c r="C63" s="41"/>
      <c r="D63" s="41"/>
      <c r="E63" s="41"/>
      <c r="F63" s="41"/>
      <c r="G63" s="41"/>
      <c r="H63" s="34" t="s">
        <v>644</v>
      </c>
    </row>
    <row r="64" spans="1:8" s="34" customFormat="1" ht="12.75">
      <c r="A64" s="40" t="s">
        <v>645</v>
      </c>
      <c r="B64" s="41"/>
      <c r="C64" s="41"/>
      <c r="D64" s="41"/>
      <c r="E64" s="41"/>
      <c r="F64" s="41"/>
      <c r="G64" s="41"/>
      <c r="H64" s="34" t="s">
        <v>646</v>
      </c>
    </row>
    <row r="65" spans="1:8" s="34" customFormat="1" ht="12.75">
      <c r="A65" s="40" t="s">
        <v>647</v>
      </c>
      <c r="B65" s="41"/>
      <c r="C65" s="41"/>
      <c r="D65" s="41"/>
      <c r="E65" s="41"/>
      <c r="F65" s="41"/>
      <c r="G65" s="41"/>
      <c r="H65" s="34" t="s">
        <v>648</v>
      </c>
    </row>
    <row r="66" spans="1:8" s="34" customFormat="1" ht="12.75">
      <c r="A66" s="40" t="s">
        <v>649</v>
      </c>
      <c r="B66" s="41"/>
      <c r="C66" s="41"/>
      <c r="D66" s="41"/>
      <c r="E66" s="41"/>
      <c r="F66" s="41"/>
      <c r="G66" s="41"/>
      <c r="H66" s="34" t="s">
        <v>650</v>
      </c>
    </row>
    <row r="67" ht="12.75">
      <c r="A67" s="33" t="s">
        <v>651</v>
      </c>
    </row>
    <row r="68" spans="1:8" s="34" customFormat="1" ht="12.75">
      <c r="A68" s="40" t="s">
        <v>652</v>
      </c>
      <c r="B68" s="41"/>
      <c r="C68" s="41"/>
      <c r="D68" s="41"/>
      <c r="E68" s="41"/>
      <c r="F68" s="41"/>
      <c r="G68" s="41"/>
      <c r="H68" s="34" t="s">
        <v>653</v>
      </c>
    </row>
    <row r="69" spans="1:8" s="34" customFormat="1" ht="12.75">
      <c r="A69" s="40" t="s">
        <v>654</v>
      </c>
      <c r="B69" s="41"/>
      <c r="C69" s="41"/>
      <c r="D69" s="41"/>
      <c r="E69" s="41"/>
      <c r="F69" s="41"/>
      <c r="G69" s="41"/>
      <c r="H69" s="34" t="s">
        <v>655</v>
      </c>
    </row>
    <row r="70" spans="1:8" s="34" customFormat="1" ht="12.75">
      <c r="A70" s="40" t="s">
        <v>656</v>
      </c>
      <c r="B70" s="41"/>
      <c r="C70" s="41"/>
      <c r="D70" s="41"/>
      <c r="E70" s="41"/>
      <c r="F70" s="41"/>
      <c r="G70" s="41"/>
      <c r="H70" s="34" t="s">
        <v>657</v>
      </c>
    </row>
    <row r="71" ht="12.75">
      <c r="A71" s="33" t="s">
        <v>658</v>
      </c>
    </row>
    <row r="72" spans="1:8" s="34" customFormat="1" ht="12.75">
      <c r="A72" s="40" t="s">
        <v>659</v>
      </c>
      <c r="B72" s="41"/>
      <c r="C72" s="41"/>
      <c r="D72" s="41"/>
      <c r="E72" s="41"/>
      <c r="F72" s="41"/>
      <c r="G72" s="41"/>
      <c r="H72" s="34" t="s">
        <v>660</v>
      </c>
    </row>
    <row r="73" spans="1:8" s="34" customFormat="1" ht="12.75">
      <c r="A73" s="40" t="s">
        <v>661</v>
      </c>
      <c r="B73" s="41"/>
      <c r="C73" s="41"/>
      <c r="D73" s="41"/>
      <c r="E73" s="41"/>
      <c r="F73" s="41"/>
      <c r="G73" s="41"/>
      <c r="H73" s="34" t="s">
        <v>662</v>
      </c>
    </row>
    <row r="74" ht="12.75">
      <c r="A74" s="33" t="s">
        <v>663</v>
      </c>
    </row>
    <row r="75" spans="1:8" s="34" customFormat="1" ht="12.75">
      <c r="A75" s="40" t="s">
        <v>664</v>
      </c>
      <c r="B75" s="41"/>
      <c r="C75" s="41"/>
      <c r="D75" s="41"/>
      <c r="E75" s="41"/>
      <c r="F75" s="41"/>
      <c r="G75" s="41"/>
      <c r="H75" s="34" t="s">
        <v>665</v>
      </c>
    </row>
    <row r="76" spans="1:8" s="34" customFormat="1" ht="12.75">
      <c r="A76" s="40" t="s">
        <v>666</v>
      </c>
      <c r="B76" s="41"/>
      <c r="C76" s="41"/>
      <c r="D76" s="41"/>
      <c r="E76" s="41"/>
      <c r="F76" s="41"/>
      <c r="G76" s="41"/>
      <c r="H76" s="34" t="s">
        <v>667</v>
      </c>
    </row>
    <row r="77" spans="1:7" s="34" customFormat="1" ht="12.75">
      <c r="A77" s="33" t="s">
        <v>668</v>
      </c>
      <c r="B77" s="36"/>
      <c r="C77" s="36"/>
      <c r="D77" s="36"/>
      <c r="E77" s="36"/>
      <c r="F77" s="36"/>
      <c r="G77" s="36"/>
    </row>
    <row r="78" spans="1:8" s="34" customFormat="1" ht="12.75">
      <c r="A78" s="40" t="s">
        <v>669</v>
      </c>
      <c r="B78" s="41"/>
      <c r="C78" s="41"/>
      <c r="D78" s="41"/>
      <c r="E78" s="41"/>
      <c r="F78" s="41"/>
      <c r="G78" s="41"/>
      <c r="H78" s="34" t="s">
        <v>670</v>
      </c>
    </row>
    <row r="79" spans="1:8" s="34" customFormat="1" ht="12.75">
      <c r="A79" s="40" t="s">
        <v>671</v>
      </c>
      <c r="B79" s="41"/>
      <c r="C79" s="41"/>
      <c r="D79" s="41"/>
      <c r="E79" s="41"/>
      <c r="F79" s="41"/>
      <c r="G79" s="41"/>
      <c r="H79" s="34" t="s">
        <v>672</v>
      </c>
    </row>
    <row r="80" ht="12.75">
      <c r="A80" s="33" t="s">
        <v>673</v>
      </c>
    </row>
    <row r="81" spans="1:8" ht="12.75">
      <c r="A81" s="40" t="s">
        <v>674</v>
      </c>
      <c r="B81" s="41"/>
      <c r="C81" s="41"/>
      <c r="D81" s="41"/>
      <c r="E81" s="41"/>
      <c r="F81" s="41"/>
      <c r="G81" s="41"/>
      <c r="H81" s="34" t="s">
        <v>675</v>
      </c>
    </row>
    <row r="82" spans="1:8" ht="12.75">
      <c r="A82" s="40" t="s">
        <v>676</v>
      </c>
      <c r="B82" s="41"/>
      <c r="C82" s="41"/>
      <c r="D82" s="41"/>
      <c r="E82" s="41"/>
      <c r="F82" s="41"/>
      <c r="G82" s="41"/>
      <c r="H82" s="34" t="s">
        <v>677</v>
      </c>
    </row>
    <row r="83" spans="1:8" s="34" customFormat="1" ht="12.75">
      <c r="A83" s="40" t="s">
        <v>678</v>
      </c>
      <c r="B83" s="41"/>
      <c r="C83" s="41"/>
      <c r="D83" s="41"/>
      <c r="E83" s="41"/>
      <c r="F83" s="41"/>
      <c r="G83" s="41"/>
      <c r="H83" s="34" t="s">
        <v>679</v>
      </c>
    </row>
    <row r="84" spans="1:7" ht="12.75">
      <c r="A84" s="33" t="s">
        <v>680</v>
      </c>
      <c r="B84" s="36"/>
      <c r="C84" s="36"/>
      <c r="D84" s="36"/>
      <c r="E84" s="36"/>
      <c r="F84" s="36"/>
      <c r="G84" s="36"/>
    </row>
    <row r="85" spans="1:8" ht="12.75">
      <c r="A85" s="40" t="s">
        <v>681</v>
      </c>
      <c r="B85" s="41"/>
      <c r="C85" s="41"/>
      <c r="D85" s="41"/>
      <c r="E85" s="41"/>
      <c r="F85" s="41"/>
      <c r="G85" s="41"/>
      <c r="H85" s="34" t="s">
        <v>682</v>
      </c>
    </row>
    <row r="86" spans="1:8" ht="12.75">
      <c r="A86" s="40" t="s">
        <v>683</v>
      </c>
      <c r="B86" s="41"/>
      <c r="C86" s="41"/>
      <c r="D86" s="41"/>
      <c r="E86" s="41"/>
      <c r="F86" s="41"/>
      <c r="G86" s="41"/>
      <c r="H86" s="34" t="s">
        <v>684</v>
      </c>
    </row>
    <row r="87" spans="1:8" s="34" customFormat="1" ht="12.75">
      <c r="A87" s="40" t="s">
        <v>685</v>
      </c>
      <c r="B87" s="41"/>
      <c r="C87" s="41"/>
      <c r="D87" s="41"/>
      <c r="E87" s="41"/>
      <c r="F87" s="41"/>
      <c r="G87" s="41"/>
      <c r="H87" s="34" t="s">
        <v>686</v>
      </c>
    </row>
    <row r="88" spans="1:8" ht="12.75">
      <c r="A88" s="40" t="s">
        <v>687</v>
      </c>
      <c r="B88" s="41"/>
      <c r="C88" s="41"/>
      <c r="D88" s="41"/>
      <c r="E88" s="41"/>
      <c r="F88" s="41"/>
      <c r="G88" s="41"/>
      <c r="H88" s="34" t="s">
        <v>688</v>
      </c>
    </row>
    <row r="89" spans="1:7" s="34" customFormat="1" ht="12.75">
      <c r="A89" s="33" t="s">
        <v>689</v>
      </c>
      <c r="B89" s="36"/>
      <c r="C89" s="36"/>
      <c r="D89" s="36"/>
      <c r="E89" s="36"/>
      <c r="F89" s="36"/>
      <c r="G89" s="36"/>
    </row>
    <row r="90" spans="1:8" s="34" customFormat="1" ht="12.75">
      <c r="A90" s="40" t="s">
        <v>690</v>
      </c>
      <c r="B90" s="41"/>
      <c r="C90" s="41"/>
      <c r="D90" s="41"/>
      <c r="E90" s="41"/>
      <c r="F90" s="41"/>
      <c r="G90" s="41"/>
      <c r="H90" s="34" t="s">
        <v>691</v>
      </c>
    </row>
    <row r="91" spans="1:7" s="34" customFormat="1" ht="12.75">
      <c r="A91" s="40" t="s">
        <v>692</v>
      </c>
      <c r="B91" s="49">
        <f>INDEX(CSL_Increased_Limits_Factor,,1)</f>
        <v>0</v>
      </c>
      <c r="C91" s="49">
        <f>INDEX(CSL_Increased_Limits_Factor,,2)</f>
        <v>0</v>
      </c>
      <c r="D91" s="49">
        <f>INDEX(CSL_Increased_Limits_Factor,,3)</f>
        <v>0</v>
      </c>
      <c r="E91" s="49">
        <f>INDEX(CSL_Increased_Limits_Factor,,4)</f>
        <v>0</v>
      </c>
      <c r="F91" s="49">
        <f>INDEX(CSL_Increased_Limits_Factor,,5)</f>
        <v>0</v>
      </c>
      <c r="G91" s="49">
        <f>INDEX(CSL_Increased_Limits_Factor,,6)</f>
        <v>0</v>
      </c>
    </row>
    <row r="92" spans="1:7" s="34" customFormat="1" ht="12.75">
      <c r="A92" s="33" t="s">
        <v>693</v>
      </c>
      <c r="B92" s="36"/>
      <c r="C92" s="36"/>
      <c r="D92" s="36"/>
      <c r="E92" s="36"/>
      <c r="F92" s="36"/>
      <c r="G92" s="36"/>
    </row>
    <row r="93" spans="1:8" ht="12.75">
      <c r="A93" s="40" t="s">
        <v>694</v>
      </c>
      <c r="B93" s="41"/>
      <c r="C93" s="41"/>
      <c r="D93" s="41"/>
      <c r="E93" s="41"/>
      <c r="F93" s="41"/>
      <c r="G93" s="41"/>
      <c r="H93" s="34" t="s">
        <v>695</v>
      </c>
    </row>
    <row r="94" spans="1:7" ht="12.75">
      <c r="A94" s="40" t="s">
        <v>696</v>
      </c>
      <c r="B94" s="49">
        <f>INDEX(BI_Increased_Limits_Factor,,1)</f>
        <v>0</v>
      </c>
      <c r="C94" s="49">
        <f>INDEX(BI_Increased_Limits_Factor,,2)</f>
        <v>0</v>
      </c>
      <c r="D94" s="49">
        <f>INDEX(BI_Increased_Limits_Factor,,3)</f>
        <v>0</v>
      </c>
      <c r="E94" s="49">
        <f>INDEX(BI_Increased_Limits_Factor,,4)</f>
        <v>0</v>
      </c>
      <c r="F94" s="49">
        <f>INDEX(BI_Increased_Limits_Factor,,5)</f>
        <v>0</v>
      </c>
      <c r="G94" s="49">
        <f>INDEX(BI_Increased_Limits_Factor,,6)</f>
        <v>0</v>
      </c>
    </row>
    <row r="95" spans="1:7" s="34" customFormat="1" ht="12.75">
      <c r="A95" s="33" t="s">
        <v>697</v>
      </c>
      <c r="B95" s="36"/>
      <c r="C95" s="36"/>
      <c r="D95" s="36"/>
      <c r="E95" s="36"/>
      <c r="F95" s="36"/>
      <c r="G95" s="36"/>
    </row>
    <row r="96" spans="1:8" ht="12.75">
      <c r="A96" s="40" t="s">
        <v>698</v>
      </c>
      <c r="B96" s="41"/>
      <c r="C96" s="41"/>
      <c r="D96" s="41"/>
      <c r="E96" s="41"/>
      <c r="F96" s="41"/>
      <c r="G96" s="41"/>
      <c r="H96" s="34" t="s">
        <v>699</v>
      </c>
    </row>
    <row r="97" spans="1:7" ht="12.75">
      <c r="A97" s="40" t="s">
        <v>700</v>
      </c>
      <c r="B97" s="49">
        <f>INDEX(PD_Increased_Limits_Factor,,1)</f>
        <v>0</v>
      </c>
      <c r="C97" s="49">
        <f>INDEX(PD_Increased_Limits_Factor,,2)</f>
        <v>0</v>
      </c>
      <c r="D97" s="49">
        <f>INDEX(PD_Increased_Limits_Factor,,3)</f>
        <v>0</v>
      </c>
      <c r="E97" s="49">
        <f>INDEX(PD_Increased_Limits_Factor,,4)</f>
        <v>0</v>
      </c>
      <c r="F97" s="49">
        <f>INDEX(PD_Increased_Limits_Factor,,5)</f>
        <v>0</v>
      </c>
      <c r="G97" s="49">
        <f>INDEX(PD_Increased_Limits_Factor,,6)</f>
        <v>0</v>
      </c>
    </row>
    <row r="98" spans="1:7" s="34" customFormat="1" ht="12.75">
      <c r="A98" s="40"/>
      <c r="B98" s="36"/>
      <c r="C98" s="36"/>
      <c r="D98" s="36"/>
      <c r="E98" s="36"/>
      <c r="F98" s="36"/>
      <c r="G98" s="36"/>
    </row>
    <row r="99" spans="1:8" s="42" customFormat="1" ht="12.75">
      <c r="A99" s="50" t="s">
        <v>701</v>
      </c>
      <c r="B99" s="41"/>
      <c r="C99" s="41"/>
      <c r="D99" s="41"/>
      <c r="E99" s="41"/>
      <c r="F99" s="41"/>
      <c r="G99" s="41"/>
      <c r="H99" s="42" t="s">
        <v>702</v>
      </c>
    </row>
    <row r="100" spans="1:8" s="42" customFormat="1" ht="12.75">
      <c r="A100" s="50" t="s">
        <v>703</v>
      </c>
      <c r="B100" s="41"/>
      <c r="C100" s="41"/>
      <c r="D100" s="41"/>
      <c r="E100" s="41"/>
      <c r="F100" s="41"/>
      <c r="G100" s="41"/>
      <c r="H100" s="42" t="s">
        <v>704</v>
      </c>
    </row>
    <row r="101" spans="1:7" s="42" customFormat="1" ht="12.75">
      <c r="A101" s="50" t="s">
        <v>705</v>
      </c>
      <c r="B101" s="51">
        <f>INDEX(IF(PIP,PIP_Base_Rate,Medical_Base_Rate),,1)</f>
        <v>0</v>
      </c>
      <c r="C101" s="51">
        <f>INDEX(IF(PIP,PIP_Base_Rate,Medical_Base_Rate),,2)</f>
        <v>0</v>
      </c>
      <c r="D101" s="51">
        <f>INDEX(IF(PIP,PIP_Base_Rate,Medical_Base_Rate),,3)</f>
        <v>0</v>
      </c>
      <c r="E101" s="51">
        <f>INDEX(IF(PIP,PIP_Base_Rate,Medical_Base_Rate),,4)</f>
        <v>0</v>
      </c>
      <c r="F101" s="51">
        <f>INDEX(IF(PIP,PIP_Base_Rate,Medical_Base_Rate),,5)</f>
        <v>0</v>
      </c>
      <c r="G101" s="51">
        <f>INDEX(IF(PIP,PIP_Base_Rate,Medical_Base_Rate),,6)</f>
        <v>0</v>
      </c>
    </row>
    <row r="102" spans="1:8" s="42" customFormat="1" ht="12.75">
      <c r="A102" s="50" t="s">
        <v>706</v>
      </c>
      <c r="B102" s="41"/>
      <c r="C102" s="41"/>
      <c r="D102" s="41"/>
      <c r="E102" s="41"/>
      <c r="F102" s="41"/>
      <c r="G102" s="41"/>
      <c r="H102" s="42" t="s">
        <v>707</v>
      </c>
    </row>
    <row r="103" spans="1:8" s="42" customFormat="1" ht="12.75">
      <c r="A103" s="50" t="s">
        <v>708</v>
      </c>
      <c r="B103" s="41"/>
      <c r="C103" s="41"/>
      <c r="D103" s="41"/>
      <c r="E103" s="41"/>
      <c r="F103" s="41"/>
      <c r="G103" s="41"/>
      <c r="H103" s="42" t="s">
        <v>618</v>
      </c>
    </row>
    <row r="104" spans="1:8" s="42" customFormat="1" ht="12.75">
      <c r="A104" s="50" t="s">
        <v>709</v>
      </c>
      <c r="B104" s="41"/>
      <c r="C104" s="41"/>
      <c r="D104" s="41"/>
      <c r="E104" s="41"/>
      <c r="F104" s="41"/>
      <c r="G104" s="41"/>
      <c r="H104" s="34" t="s">
        <v>710</v>
      </c>
    </row>
    <row r="105" spans="1:8" s="42" customFormat="1" ht="12.75">
      <c r="A105" s="50" t="s">
        <v>711</v>
      </c>
      <c r="B105" s="41"/>
      <c r="C105" s="41"/>
      <c r="D105" s="41"/>
      <c r="E105" s="41"/>
      <c r="F105" s="41"/>
      <c r="G105" s="41"/>
      <c r="H105" s="34" t="s">
        <v>712</v>
      </c>
    </row>
    <row r="106" spans="1:8" s="42" customFormat="1" ht="12.75">
      <c r="A106" s="50" t="s">
        <v>713</v>
      </c>
      <c r="B106" s="41"/>
      <c r="C106" s="41"/>
      <c r="D106" s="41"/>
      <c r="E106" s="41"/>
      <c r="F106" s="41"/>
      <c r="G106" s="41"/>
      <c r="H106" s="34" t="s">
        <v>714</v>
      </c>
    </row>
    <row r="107" spans="1:8" s="42" customFormat="1" ht="12.75">
      <c r="A107" s="50" t="s">
        <v>715</v>
      </c>
      <c r="B107" s="41"/>
      <c r="C107" s="41"/>
      <c r="D107" s="41"/>
      <c r="E107" s="41"/>
      <c r="F107" s="41"/>
      <c r="G107" s="41"/>
      <c r="H107" s="42" t="s">
        <v>716</v>
      </c>
    </row>
    <row r="108" spans="1:8" s="42" customFormat="1" ht="12.75">
      <c r="A108" s="50" t="s">
        <v>717</v>
      </c>
      <c r="B108" s="41"/>
      <c r="C108" s="41"/>
      <c r="D108" s="41"/>
      <c r="E108" s="41"/>
      <c r="F108" s="41"/>
      <c r="G108" s="41"/>
      <c r="H108" s="42" t="s">
        <v>718</v>
      </c>
    </row>
    <row r="109" spans="1:8" s="42" customFormat="1" ht="12.75">
      <c r="A109" s="50" t="s">
        <v>719</v>
      </c>
      <c r="B109" s="41"/>
      <c r="C109" s="41"/>
      <c r="D109" s="41"/>
      <c r="E109" s="41"/>
      <c r="F109" s="41"/>
      <c r="G109" s="41"/>
      <c r="H109" s="42" t="s">
        <v>720</v>
      </c>
    </row>
    <row r="110" spans="1:8" s="42" customFormat="1" ht="12.75">
      <c r="A110" s="50" t="s">
        <v>721</v>
      </c>
      <c r="B110" s="41"/>
      <c r="C110" s="41"/>
      <c r="D110" s="41"/>
      <c r="E110" s="41"/>
      <c r="F110" s="41"/>
      <c r="G110" s="41"/>
      <c r="H110" s="42" t="s">
        <v>722</v>
      </c>
    </row>
    <row r="111" spans="1:7" s="42" customFormat="1" ht="12.75">
      <c r="A111" s="50" t="s">
        <v>723</v>
      </c>
      <c r="B111" s="35">
        <f>INDEX(IF(MI_PIP_Family_Members=1,MI_PIP_Special_Factor_Single,MI_PIP_Special_Factor_Multi),,1)</f>
        <v>0</v>
      </c>
      <c r="C111" s="35">
        <f>INDEX(IF(MI_PIP_Family_Members=1,MI_PIP_Special_Factor_Single,MI_PIP_Special_Factor_Multi),,2)</f>
        <v>0</v>
      </c>
      <c r="D111" s="35">
        <f>INDEX(IF(MI_PIP_Family_Members=1,MI_PIP_Special_Factor_Single,MI_PIP_Special_Factor_Multi),,3)</f>
        <v>0</v>
      </c>
      <c r="E111" s="35">
        <f>INDEX(IF(MI_PIP_Family_Members=1,MI_PIP_Special_Factor_Single,MI_PIP_Special_Factor_Multi),,4)</f>
        <v>0</v>
      </c>
      <c r="F111" s="35">
        <f>INDEX(IF(MI_PIP_Family_Members=1,MI_PIP_Special_Factor_Single,MI_PIP_Special_Factor_Multi),,5)</f>
        <v>0</v>
      </c>
      <c r="G111" s="35">
        <f>INDEX(IF(MI_PIP_Family_Members=1,MI_PIP_Special_Factor_Single,MI_PIP_Special_Factor_Multi),,6)</f>
        <v>0</v>
      </c>
    </row>
    <row r="112" spans="1:8" s="42" customFormat="1" ht="12.75">
      <c r="A112" s="50" t="s">
        <v>724</v>
      </c>
      <c r="B112" s="41"/>
      <c r="C112" s="41"/>
      <c r="D112" s="41"/>
      <c r="E112" s="41"/>
      <c r="F112" s="41"/>
      <c r="G112" s="41"/>
      <c r="H112" s="42" t="s">
        <v>725</v>
      </c>
    </row>
    <row r="113" spans="1:8" s="42" customFormat="1" ht="12.75">
      <c r="A113" s="50" t="s">
        <v>726</v>
      </c>
      <c r="B113" s="41"/>
      <c r="C113" s="41"/>
      <c r="D113" s="41"/>
      <c r="E113" s="41"/>
      <c r="F113" s="41"/>
      <c r="G113" s="41"/>
      <c r="H113" s="42" t="s">
        <v>727</v>
      </c>
    </row>
    <row r="114" spans="1:8" s="42" customFormat="1" ht="12.75">
      <c r="A114" s="50" t="s">
        <v>728</v>
      </c>
      <c r="B114" s="41"/>
      <c r="C114" s="41"/>
      <c r="D114" s="41"/>
      <c r="E114" s="41"/>
      <c r="F114" s="41"/>
      <c r="G114" s="41"/>
      <c r="H114" s="42" t="s">
        <v>729</v>
      </c>
    </row>
    <row r="115" spans="1:8" s="42" customFormat="1" ht="12.75">
      <c r="A115" s="50" t="s">
        <v>730</v>
      </c>
      <c r="B115" s="41"/>
      <c r="C115" s="41"/>
      <c r="D115" s="41"/>
      <c r="E115" s="41"/>
      <c r="F115" s="41"/>
      <c r="G115" s="41"/>
      <c r="H115" s="42" t="s">
        <v>731</v>
      </c>
    </row>
    <row r="116" spans="1:8" s="42" customFormat="1" ht="12.75">
      <c r="A116" s="50" t="s">
        <v>732</v>
      </c>
      <c r="B116" s="41"/>
      <c r="C116" s="41"/>
      <c r="D116" s="41"/>
      <c r="E116" s="41"/>
      <c r="F116" s="41"/>
      <c r="G116" s="41"/>
      <c r="H116" s="42" t="s">
        <v>733</v>
      </c>
    </row>
    <row r="117" spans="1:8" s="42" customFormat="1" ht="12.75">
      <c r="A117" s="50" t="s">
        <v>734</v>
      </c>
      <c r="B117" s="41"/>
      <c r="C117" s="41"/>
      <c r="D117" s="41"/>
      <c r="E117" s="41"/>
      <c r="F117" s="41"/>
      <c r="G117" s="41"/>
      <c r="H117" s="42" t="s">
        <v>735</v>
      </c>
    </row>
    <row r="118" spans="1:8" s="42" customFormat="1" ht="12.75">
      <c r="A118" s="50" t="s">
        <v>736</v>
      </c>
      <c r="B118" s="41"/>
      <c r="C118" s="41"/>
      <c r="D118" s="41"/>
      <c r="E118" s="41"/>
      <c r="F118" s="41"/>
      <c r="G118" s="41"/>
      <c r="H118" s="42" t="s">
        <v>737</v>
      </c>
    </row>
    <row r="119" spans="1:8" s="42" customFormat="1" ht="12.75">
      <c r="A119" s="50" t="s">
        <v>738</v>
      </c>
      <c r="B119" s="41"/>
      <c r="C119" s="41"/>
      <c r="D119" s="41"/>
      <c r="E119" s="41"/>
      <c r="F119" s="41"/>
      <c r="G119" s="41"/>
      <c r="H119" s="34" t="s">
        <v>739</v>
      </c>
    </row>
    <row r="120" spans="1:7" s="42" customFormat="1" ht="12.75">
      <c r="A120" s="50" t="s">
        <v>740</v>
      </c>
      <c r="B120" s="49">
        <f>INDEX(Medical_Increased_Limits_Factor,,1)</f>
        <v>0</v>
      </c>
      <c r="C120" s="49">
        <f>INDEX(Medical_Increased_Limits_Factor,,2)</f>
        <v>0</v>
      </c>
      <c r="D120" s="49">
        <f>INDEX(Medical_Increased_Limits_Factor,,3)</f>
        <v>0</v>
      </c>
      <c r="E120" s="49">
        <f>INDEX(Medical_Increased_Limits_Factor,,4)</f>
        <v>0</v>
      </c>
      <c r="F120" s="49">
        <f>INDEX(Medical_Increased_Limits_Factor,,5)</f>
        <v>0</v>
      </c>
      <c r="G120" s="49">
        <f>INDEX(Medical_Increased_Limits_Factor,,6)</f>
        <v>0</v>
      </c>
    </row>
    <row r="121" spans="1:8" s="42" customFormat="1" ht="12.75">
      <c r="A121" s="50" t="s">
        <v>741</v>
      </c>
      <c r="B121" s="49">
        <f aca="true" t="shared" si="1" ref="B121:G121">IF(AND(PIP=FALSE,MedPay_Limit&lt;&gt;""),1.42,0)</f>
        <v>0</v>
      </c>
      <c r="C121" s="49">
        <f t="shared" si="1"/>
        <v>0</v>
      </c>
      <c r="D121" s="49">
        <f t="shared" si="1"/>
        <v>0</v>
      </c>
      <c r="E121" s="49">
        <f t="shared" si="1"/>
        <v>0</v>
      </c>
      <c r="F121" s="49">
        <f t="shared" si="1"/>
        <v>0</v>
      </c>
      <c r="G121" s="49">
        <f t="shared" si="1"/>
        <v>0</v>
      </c>
      <c r="H121" s="42" t="s">
        <v>607</v>
      </c>
    </row>
    <row r="122" spans="1:8" s="42" customFormat="1" ht="12.75">
      <c r="A122" s="50" t="s">
        <v>742</v>
      </c>
      <c r="B122" s="49">
        <f aca="true" t="shared" si="2" ref="B122:G123">IF(AND(PIP=FALSE,MedPay_Limit&lt;&gt;""),0.71,0)</f>
        <v>0</v>
      </c>
      <c r="C122" s="49">
        <f t="shared" si="2"/>
        <v>0</v>
      </c>
      <c r="D122" s="49">
        <f t="shared" si="2"/>
        <v>0</v>
      </c>
      <c r="E122" s="49">
        <f t="shared" si="2"/>
        <v>0</v>
      </c>
      <c r="F122" s="49">
        <f t="shared" si="2"/>
        <v>0</v>
      </c>
      <c r="G122" s="49">
        <f t="shared" si="2"/>
        <v>0</v>
      </c>
      <c r="H122" s="42" t="s">
        <v>607</v>
      </c>
    </row>
    <row r="123" spans="1:8" s="42" customFormat="1" ht="12.75">
      <c r="A123" s="50" t="s">
        <v>743</v>
      </c>
      <c r="B123" s="49">
        <f t="shared" si="2"/>
        <v>0</v>
      </c>
      <c r="C123" s="49">
        <f t="shared" si="2"/>
        <v>0</v>
      </c>
      <c r="D123" s="49">
        <f t="shared" si="2"/>
        <v>0</v>
      </c>
      <c r="E123" s="49">
        <f t="shared" si="2"/>
        <v>0</v>
      </c>
      <c r="F123" s="49">
        <f t="shared" si="2"/>
        <v>0</v>
      </c>
      <c r="G123" s="49">
        <f t="shared" si="2"/>
        <v>0</v>
      </c>
      <c r="H123" s="42" t="s">
        <v>607</v>
      </c>
    </row>
    <row r="124" spans="1:8" s="42" customFormat="1" ht="12.75">
      <c r="A124" s="50" t="s">
        <v>744</v>
      </c>
      <c r="B124" s="37"/>
      <c r="C124" s="37"/>
      <c r="D124" s="37"/>
      <c r="E124" s="37"/>
      <c r="F124" s="37"/>
      <c r="G124" s="37"/>
      <c r="H124" s="42" t="s">
        <v>745</v>
      </c>
    </row>
    <row r="125" spans="1:8" s="42" customFormat="1" ht="12.75">
      <c r="A125" s="50" t="s">
        <v>746</v>
      </c>
      <c r="B125" s="37"/>
      <c r="C125" s="37"/>
      <c r="D125" s="37"/>
      <c r="E125" s="37"/>
      <c r="F125" s="37"/>
      <c r="G125" s="37"/>
      <c r="H125" s="42" t="s">
        <v>747</v>
      </c>
    </row>
    <row r="126" spans="1:8" s="42" customFormat="1" ht="12.75">
      <c r="A126" s="50" t="s">
        <v>748</v>
      </c>
      <c r="B126" s="37"/>
      <c r="C126" s="37"/>
      <c r="D126" s="37"/>
      <c r="E126" s="37"/>
      <c r="F126" s="37"/>
      <c r="G126" s="37"/>
      <c r="H126" s="42" t="s">
        <v>749</v>
      </c>
    </row>
    <row r="127" spans="1:8" s="42" customFormat="1" ht="12.75">
      <c r="A127" s="50" t="s">
        <v>750</v>
      </c>
      <c r="B127" s="52">
        <f aca="true" t="shared" si="3" ref="B127:G127">IF(Insured_State="CO",1.3,IF(Insured_State="MI",1.81,IF(Insured_State="UT",1.07,IF(Insured_State="KS",1.33,0))))</f>
        <v>0</v>
      </c>
      <c r="C127" s="52">
        <f t="shared" si="3"/>
        <v>0</v>
      </c>
      <c r="D127" s="52">
        <f t="shared" si="3"/>
        <v>0</v>
      </c>
      <c r="E127" s="52">
        <f t="shared" si="3"/>
        <v>0</v>
      </c>
      <c r="F127" s="52">
        <f t="shared" si="3"/>
        <v>0</v>
      </c>
      <c r="G127" s="52">
        <f t="shared" si="3"/>
        <v>0</v>
      </c>
      <c r="H127" s="42" t="s">
        <v>607</v>
      </c>
    </row>
    <row r="128" spans="1:8" s="42" customFormat="1" ht="12.75">
      <c r="A128" s="50" t="s">
        <v>751</v>
      </c>
      <c r="B128" s="52">
        <f aca="true" t="shared" si="4" ref="B128:G128">IF(Insured_State="CO",1.85,IF(Insured_State="MI",1.32,IF(Insured_State="UT",1.19,IF(Insured_State="KS",1.4,0))))</f>
        <v>0</v>
      </c>
      <c r="C128" s="52">
        <f t="shared" si="4"/>
        <v>0</v>
      </c>
      <c r="D128" s="52">
        <f t="shared" si="4"/>
        <v>0</v>
      </c>
      <c r="E128" s="52">
        <f t="shared" si="4"/>
        <v>0</v>
      </c>
      <c r="F128" s="52">
        <f t="shared" si="4"/>
        <v>0</v>
      </c>
      <c r="G128" s="52">
        <f t="shared" si="4"/>
        <v>0</v>
      </c>
      <c r="H128" s="42" t="s">
        <v>607</v>
      </c>
    </row>
    <row r="129" spans="1:8" s="42" customFormat="1" ht="12.75">
      <c r="A129" s="50" t="s">
        <v>752</v>
      </c>
      <c r="B129" s="52">
        <f aca="true" t="shared" si="5" ref="B129:G129">IF(Insured_State="CO",6.233,IF(Insured_State="MI",8.7,IF(Insured_State="UT",2.34,0)))</f>
        <v>0</v>
      </c>
      <c r="C129" s="52">
        <f t="shared" si="5"/>
        <v>0</v>
      </c>
      <c r="D129" s="52">
        <f t="shared" si="5"/>
        <v>0</v>
      </c>
      <c r="E129" s="52">
        <f t="shared" si="5"/>
        <v>0</v>
      </c>
      <c r="F129" s="52">
        <f t="shared" si="5"/>
        <v>0</v>
      </c>
      <c r="G129" s="52">
        <f t="shared" si="5"/>
        <v>0</v>
      </c>
      <c r="H129" s="42" t="s">
        <v>607</v>
      </c>
    </row>
    <row r="130" spans="1:8" s="42" customFormat="1" ht="12.75">
      <c r="A130" s="50" t="s">
        <v>753</v>
      </c>
      <c r="B130" s="37"/>
      <c r="C130" s="37"/>
      <c r="D130" s="37"/>
      <c r="E130" s="37"/>
      <c r="F130" s="37"/>
      <c r="G130" s="37"/>
      <c r="H130" s="42" t="s">
        <v>754</v>
      </c>
    </row>
    <row r="131" spans="1:8" s="42" customFormat="1" ht="12.75">
      <c r="A131" s="50" t="s">
        <v>755</v>
      </c>
      <c r="B131" s="37"/>
      <c r="C131" s="37"/>
      <c r="D131" s="37"/>
      <c r="E131" s="37"/>
      <c r="F131" s="37"/>
      <c r="G131" s="37"/>
      <c r="H131" s="42" t="s">
        <v>756</v>
      </c>
    </row>
    <row r="132" ht="12.75">
      <c r="A132" s="32"/>
    </row>
    <row r="133" spans="1:8" ht="12.75">
      <c r="A133" s="53" t="s">
        <v>757</v>
      </c>
      <c r="B133" s="37"/>
      <c r="C133" s="37"/>
      <c r="D133" s="37"/>
      <c r="E133" s="37"/>
      <c r="F133" s="37"/>
      <c r="G133" s="37"/>
      <c r="H133" s="42" t="s">
        <v>758</v>
      </c>
    </row>
    <row r="134" spans="1:8" ht="12.75">
      <c r="A134" s="53" t="s">
        <v>759</v>
      </c>
      <c r="B134" s="37"/>
      <c r="C134" s="37"/>
      <c r="D134" s="37"/>
      <c r="E134" s="37"/>
      <c r="F134" s="37"/>
      <c r="G134" s="37"/>
      <c r="H134" s="38" t="s">
        <v>618</v>
      </c>
    </row>
    <row r="135" spans="1:8" ht="12.75">
      <c r="A135" s="53" t="s">
        <v>760</v>
      </c>
      <c r="B135" s="37">
        <v>1</v>
      </c>
      <c r="C135" s="37">
        <v>1</v>
      </c>
      <c r="D135" s="37">
        <v>1</v>
      </c>
      <c r="E135" s="37">
        <v>1</v>
      </c>
      <c r="F135" s="37">
        <v>1</v>
      </c>
      <c r="G135" s="37">
        <v>1</v>
      </c>
      <c r="H135" s="42" t="s">
        <v>607</v>
      </c>
    </row>
    <row r="136" ht="12.75">
      <c r="A136" s="32"/>
    </row>
    <row r="137" spans="1:8" s="34" customFormat="1" ht="12.75">
      <c r="A137" s="53" t="s">
        <v>761</v>
      </c>
      <c r="B137" s="41"/>
      <c r="C137" s="41"/>
      <c r="D137" s="41"/>
      <c r="E137" s="41"/>
      <c r="F137" s="41"/>
      <c r="G137" s="41"/>
      <c r="H137" s="42" t="s">
        <v>762</v>
      </c>
    </row>
    <row r="138" spans="1:8" s="34" customFormat="1" ht="12.75">
      <c r="A138" s="53" t="s">
        <v>763</v>
      </c>
      <c r="B138" s="41"/>
      <c r="C138" s="41"/>
      <c r="D138" s="41"/>
      <c r="E138" s="41"/>
      <c r="F138" s="41"/>
      <c r="G138" s="41"/>
      <c r="H138" s="42" t="s">
        <v>764</v>
      </c>
    </row>
    <row r="139" spans="1:8" s="34" customFormat="1" ht="12.75">
      <c r="A139" s="53" t="s">
        <v>765</v>
      </c>
      <c r="B139" s="41"/>
      <c r="C139" s="41"/>
      <c r="D139" s="41"/>
      <c r="E139" s="41"/>
      <c r="F139" s="41"/>
      <c r="G139" s="41"/>
      <c r="H139" s="42" t="s">
        <v>766</v>
      </c>
    </row>
    <row r="140" spans="1:8" s="34" customFormat="1" ht="12.75">
      <c r="A140" s="53" t="s">
        <v>767</v>
      </c>
      <c r="B140" s="41"/>
      <c r="C140" s="41"/>
      <c r="D140" s="41"/>
      <c r="E140" s="41"/>
      <c r="F140" s="41"/>
      <c r="G140" s="41"/>
      <c r="H140" s="42" t="s">
        <v>768</v>
      </c>
    </row>
    <row r="141" spans="1:8" s="34" customFormat="1" ht="12.75">
      <c r="A141" s="53" t="s">
        <v>769</v>
      </c>
      <c r="B141" s="41"/>
      <c r="C141" s="41"/>
      <c r="D141" s="41"/>
      <c r="E141" s="41"/>
      <c r="F141" s="41"/>
      <c r="G141" s="41"/>
      <c r="H141" s="42" t="s">
        <v>770</v>
      </c>
    </row>
    <row r="142" spans="1:8" s="34" customFormat="1" ht="12.75">
      <c r="A142" s="53" t="s">
        <v>771</v>
      </c>
      <c r="B142" s="41"/>
      <c r="C142" s="41"/>
      <c r="D142" s="41"/>
      <c r="E142" s="41"/>
      <c r="F142" s="41"/>
      <c r="G142" s="41"/>
      <c r="H142" s="42" t="s">
        <v>772</v>
      </c>
    </row>
    <row r="143" spans="1:8" s="34" customFormat="1" ht="12.75">
      <c r="A143" s="53" t="s">
        <v>773</v>
      </c>
      <c r="B143" s="41">
        <f>IF(INDEX(Comprehensive_Deductible,,1)&lt;&gt;"",1,0)</f>
        <v>0</v>
      </c>
      <c r="C143" s="41">
        <f>IF(INDEX(Comprehensive_Deductible,,2)&lt;&gt;"",1,0)</f>
        <v>0</v>
      </c>
      <c r="D143" s="41">
        <f>IF(INDEX(Comprehensive_Deductible,,3)&lt;&gt;"",1,0)</f>
        <v>0</v>
      </c>
      <c r="E143" s="41">
        <f>IF(INDEX(Comprehensive_Deductible,,4)&lt;&gt;"",1,0)</f>
        <v>0</v>
      </c>
      <c r="F143" s="41">
        <f>IF(INDEX(Comprehensive_Deductible,,5)&lt;&gt;"",1,0)</f>
        <v>0</v>
      </c>
      <c r="G143" s="41">
        <f>IF(INDEX(Comprehensive_Deductible,,6)&lt;&gt;"",1,0)</f>
        <v>0</v>
      </c>
      <c r="H143" s="34" t="s">
        <v>607</v>
      </c>
    </row>
    <row r="144" spans="1:8" s="34" customFormat="1" ht="12.75">
      <c r="A144" s="53" t="s">
        <v>774</v>
      </c>
      <c r="B144" s="41"/>
      <c r="C144" s="41"/>
      <c r="D144" s="41"/>
      <c r="E144" s="41"/>
      <c r="F144" s="41"/>
      <c r="G144" s="41"/>
      <c r="H144" s="42" t="s">
        <v>775</v>
      </c>
    </row>
    <row r="145" spans="1:8" s="34" customFormat="1" ht="12.75">
      <c r="A145" s="53" t="s">
        <v>776</v>
      </c>
      <c r="B145" s="41"/>
      <c r="C145" s="41"/>
      <c r="D145" s="41"/>
      <c r="E145" s="41"/>
      <c r="F145" s="41"/>
      <c r="G145" s="41"/>
      <c r="H145" s="42" t="s">
        <v>777</v>
      </c>
    </row>
    <row r="146" spans="1:8" s="34" customFormat="1" ht="12.75">
      <c r="A146" s="53" t="s">
        <v>778</v>
      </c>
      <c r="B146" s="41"/>
      <c r="C146" s="41"/>
      <c r="D146" s="41"/>
      <c r="E146" s="41"/>
      <c r="F146" s="41"/>
      <c r="G146" s="41"/>
      <c r="H146" s="42" t="s">
        <v>779</v>
      </c>
    </row>
    <row r="147" spans="1:8" s="34" customFormat="1" ht="12.75">
      <c r="A147" s="53" t="s">
        <v>780</v>
      </c>
      <c r="B147" s="41"/>
      <c r="C147" s="41"/>
      <c r="D147" s="41"/>
      <c r="E147" s="41"/>
      <c r="F147" s="41"/>
      <c r="G147" s="41"/>
      <c r="H147" s="42" t="s">
        <v>781</v>
      </c>
    </row>
    <row r="148" spans="1:8" s="34" customFormat="1" ht="12.75">
      <c r="A148" s="53" t="s">
        <v>782</v>
      </c>
      <c r="B148" s="41"/>
      <c r="C148" s="41"/>
      <c r="D148" s="41"/>
      <c r="E148" s="41"/>
      <c r="F148" s="41"/>
      <c r="G148" s="41"/>
      <c r="H148" s="42" t="s">
        <v>783</v>
      </c>
    </row>
    <row r="149" spans="1:7" s="34" customFormat="1" ht="12.75">
      <c r="A149" s="53"/>
      <c r="B149" s="35"/>
      <c r="C149" s="35"/>
      <c r="D149" s="35"/>
      <c r="E149" s="35"/>
      <c r="F149" s="35"/>
      <c r="G149" s="35"/>
    </row>
    <row r="150" spans="1:8" s="34" customFormat="1" ht="12" customHeight="1">
      <c r="A150" s="53" t="s">
        <v>784</v>
      </c>
      <c r="B150" s="41"/>
      <c r="C150" s="41"/>
      <c r="D150" s="41"/>
      <c r="E150" s="41"/>
      <c r="F150" s="41"/>
      <c r="G150" s="41"/>
      <c r="H150" s="42" t="s">
        <v>785</v>
      </c>
    </row>
    <row r="151" spans="1:8" s="34" customFormat="1" ht="12" customHeight="1">
      <c r="A151" s="53" t="s">
        <v>786</v>
      </c>
      <c r="B151" s="41"/>
      <c r="C151" s="41"/>
      <c r="D151" s="41"/>
      <c r="E151" s="41"/>
      <c r="F151" s="41"/>
      <c r="G151" s="41"/>
      <c r="H151" s="42" t="s">
        <v>787</v>
      </c>
    </row>
    <row r="152" spans="1:8" s="34" customFormat="1" ht="12.75">
      <c r="A152" s="53" t="s">
        <v>788</v>
      </c>
      <c r="B152" s="41"/>
      <c r="C152" s="41"/>
      <c r="D152" s="41"/>
      <c r="E152" s="41"/>
      <c r="F152" s="41"/>
      <c r="G152" s="41"/>
      <c r="H152" s="34" t="s">
        <v>618</v>
      </c>
    </row>
    <row r="153" spans="1:8" s="34" customFormat="1" ht="12.75">
      <c r="A153" s="53" t="s">
        <v>789</v>
      </c>
      <c r="B153" s="41">
        <v>1</v>
      </c>
      <c r="C153" s="41">
        <v>1</v>
      </c>
      <c r="D153" s="41">
        <v>1</v>
      </c>
      <c r="E153" s="41">
        <v>1</v>
      </c>
      <c r="F153" s="41">
        <v>1</v>
      </c>
      <c r="G153" s="41">
        <v>1</v>
      </c>
      <c r="H153" s="42" t="s">
        <v>607</v>
      </c>
    </row>
    <row r="154" spans="1:7" s="34" customFormat="1" ht="12.75">
      <c r="A154" s="53"/>
      <c r="B154" s="35"/>
      <c r="C154" s="35"/>
      <c r="D154" s="35"/>
      <c r="E154" s="35"/>
      <c r="F154" s="35"/>
      <c r="G154" s="35"/>
    </row>
    <row r="155" spans="1:8" s="34" customFormat="1" ht="12.75">
      <c r="A155" s="53" t="s">
        <v>790</v>
      </c>
      <c r="B155" s="41"/>
      <c r="C155" s="41"/>
      <c r="D155" s="41"/>
      <c r="E155" s="41"/>
      <c r="F155" s="41"/>
      <c r="G155" s="41"/>
      <c r="H155" s="42" t="s">
        <v>791</v>
      </c>
    </row>
    <row r="156" spans="1:8" s="34" customFormat="1" ht="12.75">
      <c r="A156" s="53" t="s">
        <v>792</v>
      </c>
      <c r="B156" s="41"/>
      <c r="C156" s="41"/>
      <c r="D156" s="41"/>
      <c r="E156" s="41"/>
      <c r="F156" s="41"/>
      <c r="G156" s="41"/>
      <c r="H156" s="42" t="s">
        <v>793</v>
      </c>
    </row>
    <row r="157" spans="1:8" s="34" customFormat="1" ht="12.75">
      <c r="A157" s="53" t="s">
        <v>794</v>
      </c>
      <c r="B157" s="41"/>
      <c r="C157" s="41"/>
      <c r="D157" s="41"/>
      <c r="E157" s="41"/>
      <c r="F157" s="41"/>
      <c r="G157" s="41"/>
      <c r="H157" s="42" t="s">
        <v>795</v>
      </c>
    </row>
    <row r="158" spans="1:8" s="34" customFormat="1" ht="12.75">
      <c r="A158" s="53" t="s">
        <v>796</v>
      </c>
      <c r="B158" s="41"/>
      <c r="C158" s="41"/>
      <c r="D158" s="41"/>
      <c r="E158" s="41"/>
      <c r="F158" s="41"/>
      <c r="G158" s="41"/>
      <c r="H158" s="42" t="s">
        <v>797</v>
      </c>
    </row>
    <row r="159" spans="1:8" s="34" customFormat="1" ht="12.75">
      <c r="A159" s="53" t="s">
        <v>798</v>
      </c>
      <c r="B159" s="41"/>
      <c r="C159" s="41"/>
      <c r="D159" s="41"/>
      <c r="E159" s="41"/>
      <c r="F159" s="41"/>
      <c r="G159" s="41"/>
      <c r="H159" s="42" t="s">
        <v>799</v>
      </c>
    </row>
    <row r="160" spans="1:8" s="34" customFormat="1" ht="12.75">
      <c r="A160" s="53" t="s">
        <v>800</v>
      </c>
      <c r="B160" s="41"/>
      <c r="C160" s="41"/>
      <c r="D160" s="41"/>
      <c r="E160" s="41"/>
      <c r="F160" s="41"/>
      <c r="G160" s="41"/>
      <c r="H160" s="42" t="s">
        <v>801</v>
      </c>
    </row>
    <row r="161" spans="1:8" s="34" customFormat="1" ht="12.75">
      <c r="A161" s="53" t="s">
        <v>802</v>
      </c>
      <c r="B161" s="41">
        <f>IF(INDEX(Collision_Deductible,,1)&lt;&gt;"",1,0)</f>
        <v>0</v>
      </c>
      <c r="C161" s="41">
        <f>IF(INDEX(Collision_Deductible,,2)&lt;&gt;"",1,0)</f>
        <v>0</v>
      </c>
      <c r="D161" s="41">
        <f>IF(INDEX(Collision_Deductible,,3)&lt;&gt;"",1,0)</f>
        <v>0</v>
      </c>
      <c r="E161" s="41">
        <f>IF(INDEX(Collision_Deductible,,4)&lt;&gt;"",1,0)</f>
        <v>0</v>
      </c>
      <c r="F161" s="41">
        <f>IF(INDEX(Collision_Deductible,,5)&lt;&gt;"",1,0)</f>
        <v>0</v>
      </c>
      <c r="G161" s="41">
        <f>IF(INDEX(Comprehensive_Deductible,,6)&lt;&gt;"",1,0)</f>
        <v>0</v>
      </c>
      <c r="H161" s="34" t="s">
        <v>607</v>
      </c>
    </row>
    <row r="162" spans="1:8" s="34" customFormat="1" ht="12.75">
      <c r="A162" s="53" t="s">
        <v>803</v>
      </c>
      <c r="B162" s="41"/>
      <c r="C162" s="41"/>
      <c r="D162" s="41"/>
      <c r="E162" s="41"/>
      <c r="F162" s="41"/>
      <c r="G162" s="41"/>
      <c r="H162" s="42" t="s">
        <v>804</v>
      </c>
    </row>
    <row r="163" spans="1:8" s="34" customFormat="1" ht="12.75">
      <c r="A163" s="53" t="s">
        <v>805</v>
      </c>
      <c r="B163" s="41"/>
      <c r="C163" s="41"/>
      <c r="D163" s="41"/>
      <c r="E163" s="41"/>
      <c r="F163" s="41"/>
      <c r="G163" s="41"/>
      <c r="H163" s="42" t="s">
        <v>806</v>
      </c>
    </row>
    <row r="164" spans="1:8" s="34" customFormat="1" ht="12.75">
      <c r="A164" s="53" t="s">
        <v>807</v>
      </c>
      <c r="B164" s="41"/>
      <c r="C164" s="41"/>
      <c r="D164" s="41"/>
      <c r="E164" s="41"/>
      <c r="F164" s="41"/>
      <c r="G164" s="41"/>
      <c r="H164" s="42" t="s">
        <v>808</v>
      </c>
    </row>
    <row r="165" spans="1:8" s="34" customFormat="1" ht="12.75">
      <c r="A165" s="53" t="s">
        <v>809</v>
      </c>
      <c r="B165" s="41"/>
      <c r="C165" s="41"/>
      <c r="D165" s="41"/>
      <c r="E165" s="41"/>
      <c r="F165" s="41"/>
      <c r="G165" s="41"/>
      <c r="H165" s="42" t="s">
        <v>810</v>
      </c>
    </row>
    <row r="166" spans="1:8" s="34" customFormat="1" ht="12.75">
      <c r="A166" s="53" t="s">
        <v>811</v>
      </c>
      <c r="B166" s="41"/>
      <c r="C166" s="41"/>
      <c r="D166" s="41"/>
      <c r="E166" s="41"/>
      <c r="F166" s="41"/>
      <c r="G166" s="41"/>
      <c r="H166" s="42" t="s">
        <v>812</v>
      </c>
    </row>
    <row r="167" spans="1:8" s="34" customFormat="1" ht="12.75">
      <c r="A167" s="53" t="s">
        <v>813</v>
      </c>
      <c r="B167" s="41"/>
      <c r="C167" s="41"/>
      <c r="D167" s="41"/>
      <c r="E167" s="41"/>
      <c r="F167" s="41"/>
      <c r="G167" s="41"/>
      <c r="H167" s="42" t="s">
        <v>814</v>
      </c>
    </row>
    <row r="168" ht="12.75">
      <c r="A168" s="33"/>
    </row>
    <row r="169" ht="12.75">
      <c r="A169" s="33" t="s">
        <v>815</v>
      </c>
    </row>
    <row r="170" spans="1:8" s="34" customFormat="1" ht="12.75">
      <c r="A170" s="53" t="s">
        <v>816</v>
      </c>
      <c r="B170" s="41"/>
      <c r="C170" s="41"/>
      <c r="D170" s="41"/>
      <c r="E170" s="41"/>
      <c r="F170" s="41"/>
      <c r="G170" s="41"/>
      <c r="H170" s="34" t="s">
        <v>817</v>
      </c>
    </row>
    <row r="172" spans="1:8" ht="12.75">
      <c r="A172" s="34" t="s">
        <v>818</v>
      </c>
      <c r="B172" s="41"/>
      <c r="C172" s="41"/>
      <c r="D172" s="41"/>
      <c r="E172" s="41"/>
      <c r="F172" s="41"/>
      <c r="G172" s="41"/>
      <c r="H172" s="34" t="s">
        <v>819</v>
      </c>
    </row>
    <row r="173" spans="1:8" ht="12.75">
      <c r="A173" s="34" t="s">
        <v>820</v>
      </c>
      <c r="B173" s="33">
        <f>IF(INDEX(Active_Disabling_Devices_1,,1)="Y",0.05,0)</f>
        <v>0</v>
      </c>
      <c r="C173" s="33">
        <f>IF(INDEX(Active_Disabling_Devices_1,,2)="Y",0.05,0)</f>
        <v>0</v>
      </c>
      <c r="D173" s="33">
        <f>IF(INDEX(Active_Disabling_Devices_1,,3)="Y",0.05,0)</f>
        <v>0</v>
      </c>
      <c r="E173" s="33">
        <f>IF(INDEX(Active_Disabling_Devices_1,,4)="Y",0.05,0)</f>
        <v>0</v>
      </c>
      <c r="F173" s="33">
        <f>IF(INDEX(Active_Disabling_Devices_1,,5)="Y",0.05,0)</f>
        <v>0</v>
      </c>
      <c r="G173" s="33">
        <f>IF(INDEX(Active_Disabling_Devices_1,,6)="Y",0.05,0)</f>
        <v>0</v>
      </c>
      <c r="H173" s="34" t="s">
        <v>607</v>
      </c>
    </row>
    <row r="174" spans="1:8" ht="12.75">
      <c r="A174" s="34" t="s">
        <v>821</v>
      </c>
      <c r="B174" s="33">
        <f>IF(INDEX(Active_Disabling_Devices_2,,1)="Y",0.15,0)</f>
        <v>0</v>
      </c>
      <c r="C174" s="33">
        <f>IF(INDEX(Active_Disabling_Devices_2,,2)="Y",0.15,0)</f>
        <v>0</v>
      </c>
      <c r="D174" s="33">
        <f>IF(INDEX(Active_Disabling_Devices_2,,3)="Y",0.15,0)</f>
        <v>0</v>
      </c>
      <c r="E174" s="33">
        <f>IF(INDEX(Active_Disabling_Devices_2,,4)="Y",0.15,0)</f>
        <v>0</v>
      </c>
      <c r="F174" s="33">
        <f>IF(INDEX(Active_Disabling_Devices_2,,5)="Y",0.15,0)</f>
        <v>0</v>
      </c>
      <c r="G174" s="33">
        <f>IF(INDEX(Active_Disabling_Devices_2,,6)="Y",0.15,0)</f>
        <v>0</v>
      </c>
      <c r="H174" s="34" t="s">
        <v>607</v>
      </c>
    </row>
    <row r="175" spans="1:8" ht="12.75">
      <c r="A175" s="34" t="s">
        <v>822</v>
      </c>
      <c r="B175" s="33">
        <f>IF(INDEX(Active_Disabling_Devices_3,,1)="Y",0.2,0)</f>
        <v>0</v>
      </c>
      <c r="C175" s="33">
        <f>IF(INDEX(Active_Disabling_Devices_3,,2)="Y",0.2,0)</f>
        <v>0</v>
      </c>
      <c r="D175" s="33">
        <f>IF(INDEX(Active_Disabling_Devices_3,,3)="Y",0.2,0)</f>
        <v>0</v>
      </c>
      <c r="E175" s="33">
        <f>IF(INDEX(Active_Disabling_Devices_3,,4)="Y",0.2,0)</f>
        <v>0</v>
      </c>
      <c r="F175" s="33">
        <f>IF(INDEX(Active_Disabling_Devices_3,,5)="Y",0.2,0)</f>
        <v>0</v>
      </c>
      <c r="G175" s="33">
        <f>IF(INDEX(Active_Disabling_Devices_3,,6)="Y",0.2,0)</f>
        <v>0</v>
      </c>
      <c r="H175" s="34" t="s">
        <v>607</v>
      </c>
    </row>
    <row r="176" spans="1:8" ht="12.75">
      <c r="A176" s="34" t="s">
        <v>823</v>
      </c>
      <c r="B176" s="33">
        <f>IF(INDEX(Window_Identification_Ltrs_Nos,,1)="Y",0.15,0)</f>
        <v>0</v>
      </c>
      <c r="C176" s="33">
        <f>IF(INDEX(Window_Identification_Ltrs_Nos,,2)="Y",0.15,0)</f>
        <v>0</v>
      </c>
      <c r="D176" s="33">
        <f>IF(INDEX(Window_Identification_Ltrs_Nos,,3)="Y",0.15,0)</f>
        <v>0</v>
      </c>
      <c r="E176" s="33">
        <f>IF(INDEX(Window_Identification_Ltrs_Nos,,4)="Y",0.15,0)</f>
        <v>0</v>
      </c>
      <c r="F176" s="33">
        <f>IF(INDEX(Window_Identification_Ltrs_Nos,,5)="Y",0.15,0)</f>
        <v>0</v>
      </c>
      <c r="G176" s="33">
        <f>IF(INDEX(Window_Identification_Ltrs_Nos,,6)="Y",0.15,0)</f>
        <v>0</v>
      </c>
      <c r="H176" s="34" t="s">
        <v>607</v>
      </c>
    </row>
    <row r="177" spans="1:8" ht="12.75">
      <c r="A177" s="34" t="s">
        <v>824</v>
      </c>
      <c r="B177" s="33">
        <f>IF(INDEX(High_Security_Ign_replacement,,1)="Y",0.2,0)</f>
        <v>0</v>
      </c>
      <c r="C177" s="33">
        <f>IF(INDEX(High_Security_Ign_replacement,,2)="Y",0.2,0)</f>
        <v>0</v>
      </c>
      <c r="D177" s="33">
        <f>IF(INDEX(High_Security_Ign_replacement,,3)="Y",0.2,0)</f>
        <v>0</v>
      </c>
      <c r="E177" s="33">
        <f>IF(INDEX(High_Security_Ign_replacement,,4)="Y",0.2,0)</f>
        <v>0</v>
      </c>
      <c r="F177" s="33">
        <f>IF(INDEX(High_Security_Ign_replacement,,5)="Y",0.2,0)</f>
        <v>0</v>
      </c>
      <c r="G177" s="33">
        <f>IF(INDEX(High_Security_Ign_replacement,,6)="Y",0.2,0)</f>
        <v>0</v>
      </c>
      <c r="H177" s="34" t="s">
        <v>607</v>
      </c>
    </row>
    <row r="178" spans="1:8" ht="12.75">
      <c r="A178" s="34" t="s">
        <v>825</v>
      </c>
      <c r="B178" s="33">
        <f>IF(INDEX(Internally_operated_alarms,,1)="Y",0.15,0)</f>
        <v>0</v>
      </c>
      <c r="C178" s="33">
        <f>IF(INDEX(Internally_operated_alarms,,2)="Y",0.15,0)</f>
        <v>0</v>
      </c>
      <c r="D178" s="33">
        <f>IF(INDEX(Internally_operated_alarms,,3)="Y",0.15,0)</f>
        <v>0</v>
      </c>
      <c r="E178" s="33">
        <f>IF(INDEX(Internally_operated_alarms,,4)="Y",0.15,0)</f>
        <v>0</v>
      </c>
      <c r="F178" s="33">
        <f>IF(INDEX(Internally_operated_alarms,,5)="Y",0.15,0)</f>
        <v>0</v>
      </c>
      <c r="G178" s="33">
        <f>IF(INDEX(Internally_operated_alarms,,6)="Y",0.15,0)</f>
        <v>0</v>
      </c>
      <c r="H178" s="34" t="s">
        <v>607</v>
      </c>
    </row>
    <row r="179" spans="1:8" ht="12.75">
      <c r="A179" s="34" t="s">
        <v>826</v>
      </c>
      <c r="B179" s="33">
        <f>IF(INDEX(Specified_Alarm_Operations,,1)="Y",0.2,0)</f>
        <v>0</v>
      </c>
      <c r="C179" s="33">
        <f>IF(INDEX(Specified_Alarm_Operations,,2)="Y",0.2,0)</f>
        <v>0</v>
      </c>
      <c r="D179" s="33">
        <f>IF(INDEX(Specified_Alarm_Operations,,3)="Y",0.2,0)</f>
        <v>0</v>
      </c>
      <c r="E179" s="33">
        <f>IF(INDEX(Specified_Alarm_Operations,,4)="Y",0.2,0)</f>
        <v>0</v>
      </c>
      <c r="F179" s="33">
        <f>IF(INDEX(Specified_Alarm_Operations,,5)="Y",0.2,0)</f>
        <v>0</v>
      </c>
      <c r="G179" s="33">
        <f>IF(INDEX(Specified_Alarm_Operations,,6)="Y",0.2,0)</f>
        <v>0</v>
      </c>
      <c r="H179" s="34" t="s">
        <v>607</v>
      </c>
    </row>
    <row r="180" spans="1:8" ht="12.75">
      <c r="A180" s="34" t="s">
        <v>827</v>
      </c>
      <c r="B180" s="41"/>
      <c r="C180" s="41"/>
      <c r="D180" s="41"/>
      <c r="E180" s="41"/>
      <c r="F180" s="41"/>
      <c r="G180" s="41"/>
      <c r="H180" s="34" t="s">
        <v>828</v>
      </c>
    </row>
    <row r="181" spans="1:8" ht="12.75">
      <c r="A181" s="34" t="s">
        <v>829</v>
      </c>
      <c r="B181">
        <f aca="true" t="shared" si="6" ref="B181:G181">IF(Insured_State="IL",B172,MAX(B173:B180))</f>
        <v>0</v>
      </c>
      <c r="C181">
        <f t="shared" si="6"/>
        <v>0</v>
      </c>
      <c r="D181">
        <f t="shared" si="6"/>
        <v>0</v>
      </c>
      <c r="E181">
        <f t="shared" si="6"/>
        <v>0</v>
      </c>
      <c r="F181">
        <f t="shared" si="6"/>
        <v>0</v>
      </c>
      <c r="G181">
        <f t="shared" si="6"/>
        <v>0</v>
      </c>
      <c r="H181" s="34" t="s">
        <v>607</v>
      </c>
    </row>
    <row r="182" spans="1:8" s="34" customFormat="1" ht="12.75">
      <c r="A182" s="34" t="s">
        <v>830</v>
      </c>
      <c r="B182" s="41"/>
      <c r="C182" s="41"/>
      <c r="D182" s="41"/>
      <c r="E182" s="41"/>
      <c r="F182" s="41"/>
      <c r="G182" s="41"/>
      <c r="H182" s="34" t="s">
        <v>831</v>
      </c>
    </row>
    <row r="183" spans="1:8" s="34" customFormat="1" ht="12.75">
      <c r="A183" s="34" t="s">
        <v>832</v>
      </c>
      <c r="B183" s="41"/>
      <c r="C183" s="41"/>
      <c r="D183" s="41"/>
      <c r="E183" s="41"/>
      <c r="F183" s="41"/>
      <c r="G183" s="41"/>
      <c r="H183" s="34" t="s">
        <v>833</v>
      </c>
    </row>
    <row r="184" spans="1:8" s="34" customFormat="1" ht="12.75">
      <c r="A184" s="34" t="s">
        <v>834</v>
      </c>
      <c r="B184" s="41"/>
      <c r="C184" s="41"/>
      <c r="D184" s="41"/>
      <c r="E184" s="41"/>
      <c r="F184" s="41"/>
      <c r="G184" s="41"/>
      <c r="H184" s="34" t="s">
        <v>835</v>
      </c>
    </row>
    <row r="185" spans="1:8" s="34" customFormat="1" ht="12.75">
      <c r="A185" s="34" t="s">
        <v>836</v>
      </c>
      <c r="B185" s="46">
        <v>0.1</v>
      </c>
      <c r="C185" s="46">
        <v>0.1</v>
      </c>
      <c r="D185" s="46">
        <v>0.1</v>
      </c>
      <c r="E185" s="46">
        <v>0.1</v>
      </c>
      <c r="F185" s="46">
        <v>0.1</v>
      </c>
      <c r="G185" s="46">
        <v>0.1</v>
      </c>
      <c r="H185" s="34" t="s">
        <v>607</v>
      </c>
    </row>
    <row r="186" spans="1:8" s="34" customFormat="1" ht="12.75">
      <c r="A186" s="34" t="s">
        <v>837</v>
      </c>
      <c r="B186" s="41"/>
      <c r="C186" s="41"/>
      <c r="D186" s="41"/>
      <c r="E186" s="41"/>
      <c r="F186" s="41"/>
      <c r="G186" s="41"/>
      <c r="H186" s="34" t="s">
        <v>838</v>
      </c>
    </row>
    <row r="187" spans="1:8" s="34" customFormat="1" ht="12.75">
      <c r="A187" s="34" t="s">
        <v>839</v>
      </c>
      <c r="B187" s="41"/>
      <c r="C187" s="41"/>
      <c r="D187" s="41"/>
      <c r="E187" s="41"/>
      <c r="F187" s="41"/>
      <c r="G187" s="41"/>
      <c r="H187" s="34" t="s">
        <v>840</v>
      </c>
    </row>
    <row r="188" spans="1:8" s="34" customFormat="1" ht="12.75">
      <c r="A188" s="34" t="s">
        <v>841</v>
      </c>
      <c r="B188" s="54"/>
      <c r="H188" s="34" t="s">
        <v>618</v>
      </c>
    </row>
    <row r="189" spans="1:8" s="34" customFormat="1" ht="12.75">
      <c r="A189" s="34" t="s">
        <v>842</v>
      </c>
      <c r="B189" s="41"/>
      <c r="C189" s="41"/>
      <c r="D189" s="41"/>
      <c r="E189" s="41"/>
      <c r="F189" s="41"/>
      <c r="G189" s="41"/>
      <c r="H189" s="34" t="s">
        <v>843</v>
      </c>
    </row>
    <row r="190" s="34" customFormat="1" ht="12.75">
      <c r="B190" s="45"/>
    </row>
    <row r="191" spans="1:8" s="34" customFormat="1" ht="12.75">
      <c r="A191" s="34" t="s">
        <v>844</v>
      </c>
      <c r="B191" s="41"/>
      <c r="C191" s="41"/>
      <c r="D191" s="41"/>
      <c r="E191" s="41"/>
      <c r="F191" s="41"/>
      <c r="G191" s="41"/>
      <c r="H191" s="34" t="s">
        <v>845</v>
      </c>
    </row>
    <row r="192" spans="1:8" s="34" customFormat="1" ht="12.75">
      <c r="A192" s="34" t="s">
        <v>846</v>
      </c>
      <c r="B192" s="41"/>
      <c r="C192" s="41"/>
      <c r="D192" s="41"/>
      <c r="E192" s="41"/>
      <c r="F192" s="41"/>
      <c r="G192" s="41"/>
      <c r="H192" s="34" t="s">
        <v>847</v>
      </c>
    </row>
    <row r="193" spans="1:7" s="47" customFormat="1" ht="12.75">
      <c r="A193" s="47" t="s">
        <v>848</v>
      </c>
      <c r="B193" s="45">
        <f>INDEX(Towing_Limit,1,1)</f>
        <v>0</v>
      </c>
      <c r="C193" s="45">
        <f>INDEX(Towing_Limit,1,2)</f>
        <v>0</v>
      </c>
      <c r="D193" s="45">
        <f>INDEX(Towing_Limit,1,3)</f>
        <v>0</v>
      </c>
      <c r="E193" s="45">
        <f>INDEX(Towing_Limit,1,4)</f>
        <v>0</v>
      </c>
      <c r="F193" s="45">
        <f>INDEX(Towing_Limit,1,5)</f>
        <v>0</v>
      </c>
      <c r="G193" s="45">
        <f>INDEX(Towing_Limit,1,6)</f>
        <v>0</v>
      </c>
    </row>
    <row r="194" spans="1:8" s="34" customFormat="1" ht="12.75">
      <c r="A194" s="34" t="s">
        <v>849</v>
      </c>
      <c r="B194" s="41"/>
      <c r="C194" s="41"/>
      <c r="D194" s="41"/>
      <c r="E194" s="41"/>
      <c r="F194" s="41"/>
      <c r="G194" s="41"/>
      <c r="H194" s="34" t="s">
        <v>850</v>
      </c>
    </row>
    <row r="195" s="34" customFormat="1" ht="12.75">
      <c r="B195" s="45"/>
    </row>
    <row r="196" s="34" customFormat="1" ht="12.75">
      <c r="B196" s="45"/>
    </row>
    <row r="197" spans="1:7" ht="12.75">
      <c r="A197" t="s">
        <v>851</v>
      </c>
      <c r="B197">
        <f>INDEX(Stereo_and_electronic_equipment,1,1)</f>
        <v>0</v>
      </c>
      <c r="C197">
        <f>INDEX(Stereo_and_electronic_equipment,1,2)</f>
        <v>0</v>
      </c>
      <c r="D197">
        <f>INDEX(Stereo_and_electronic_equipment,1,3)</f>
        <v>0</v>
      </c>
      <c r="E197">
        <f>INDEX(Stereo_and_electronic_equipment,1,4)</f>
        <v>0</v>
      </c>
      <c r="F197">
        <f>INDEX(Stereo_and_electronic_equipment,1,5)</f>
        <v>0</v>
      </c>
      <c r="G197">
        <f>INDEX(Stereo_and_electronic_equipment,1,6)</f>
        <v>0</v>
      </c>
    </row>
    <row r="198" spans="1:7" ht="12.75">
      <c r="A198" t="s">
        <v>852</v>
      </c>
      <c r="B198">
        <f>INDEX(Increased_Limits_Excess_Sound_Eq,1,1)</f>
        <v>0</v>
      </c>
      <c r="C198">
        <f>INDEX(Increased_Limits_Excess_Sound_Eq,1,2)</f>
        <v>0</v>
      </c>
      <c r="D198">
        <f>INDEX(Increased_Limits_Excess_Sound_Eq,1,3)</f>
        <v>0</v>
      </c>
      <c r="E198">
        <f>INDEX(Increased_Limits_Excess_Sound_Eq,1,4)</f>
        <v>0</v>
      </c>
      <c r="F198">
        <f>INDEX(Increased_Limits_Excess_Sound_Eq,1,5)</f>
        <v>0</v>
      </c>
      <c r="G198">
        <f>INDEX(Increased_Limits_Excess_Sound_Eq,1,6)</f>
        <v>0</v>
      </c>
    </row>
    <row r="199" spans="1:8" s="34" customFormat="1" ht="12.75">
      <c r="A199" s="34" t="s">
        <v>853</v>
      </c>
      <c r="B199" s="41"/>
      <c r="C199" s="41"/>
      <c r="D199" s="41"/>
      <c r="E199" s="41"/>
      <c r="F199" s="41"/>
      <c r="G199" s="41"/>
      <c r="H199" s="34" t="s">
        <v>854</v>
      </c>
    </row>
    <row r="200" spans="1:8" s="34" customFormat="1" ht="12.75">
      <c r="A200" s="34" t="s">
        <v>855</v>
      </c>
      <c r="B200" s="41"/>
      <c r="C200" s="41"/>
      <c r="D200" s="41"/>
      <c r="E200" s="41"/>
      <c r="F200" s="41"/>
      <c r="G200" s="41"/>
      <c r="H200" s="34" t="s">
        <v>856</v>
      </c>
    </row>
    <row r="201" spans="1:8" s="34" customFormat="1" ht="12.75">
      <c r="A201" s="34" t="s">
        <v>857</v>
      </c>
      <c r="B201" s="41"/>
      <c r="C201" s="41"/>
      <c r="D201" s="41"/>
      <c r="E201" s="41"/>
      <c r="F201" s="41"/>
      <c r="G201" s="41"/>
      <c r="H201" s="34" t="s">
        <v>858</v>
      </c>
    </row>
    <row r="203" spans="1:2" s="34" customFormat="1" ht="12.75">
      <c r="A203" s="47" t="s">
        <v>859</v>
      </c>
      <c r="B203" s="45">
        <f>Expiration_Date-Effective_Date</f>
        <v>0</v>
      </c>
    </row>
    <row r="204" spans="1:2" ht="12.75">
      <c r="A204" t="s">
        <v>860</v>
      </c>
      <c r="B204">
        <f>IF(DATE(YEAR(Effective_Date),MONTH(Effective_Date)+6,DAY(Effective_Date))=Expiration_Date,1,(B203*2/365))</f>
        <v>0</v>
      </c>
    </row>
    <row r="206" spans="1:7" ht="12.75">
      <c r="A206" t="s">
        <v>861</v>
      </c>
      <c r="B206" s="13">
        <f>IF(ISBLANK(INDEX(Primary_Driver,,1)),"",LOOKUP(INDEX(Primary_Driver,,1),Driver_Number,Extended_Non_owned_Liability_Coverage))</f>
      </c>
      <c r="C206" s="13">
        <f>IF(ISBLANK(INDEX(Primary_Driver,,2)),"",LOOKUP(INDEX(Primary_Driver,,2),Driver_Number,Extended_Non_owned_Liability_Coverage))</f>
      </c>
      <c r="D206" s="13">
        <f>IF(ISBLANK(INDEX(Primary_Driver,,3)),"",LOOKUP(INDEX(Primary_Driver,,3),Driver_Number,Extended_Non_owned_Liability_Coverage))</f>
      </c>
      <c r="E206" s="13">
        <f>IF(ISBLANK(INDEX(Primary_Driver,,4)),"",LOOKUP(INDEX(Primary_Driver,,4),Driver_Number,Extended_Non_owned_Liability_Coverage))</f>
      </c>
      <c r="F206" s="13">
        <f>IF(ISBLANK(INDEX(Primary_Driver,,5)),"",LOOKUP(INDEX(Primary_Driver,,5),Driver_Number,Extended_Non_owned_Liability_Coverage))</f>
      </c>
      <c r="G206" s="13">
        <f>IF(ISBLANK(INDEX(Primary_Driver,,6)),"",LOOKUP(INDEX(Primary_Driver,,6),Driver_Number,Extended_Non_owned_Liability_Coverage))</f>
      </c>
    </row>
    <row r="207" spans="1:8" s="34" customFormat="1" ht="12.75">
      <c r="A207" s="34" t="s">
        <v>862</v>
      </c>
      <c r="B207" s="41"/>
      <c r="C207" s="41"/>
      <c r="D207" s="41"/>
      <c r="E207" s="41"/>
      <c r="F207" s="41"/>
      <c r="G207" s="41"/>
      <c r="H207" s="34" t="s">
        <v>863</v>
      </c>
    </row>
    <row r="209" spans="1:8" ht="12.75">
      <c r="A209" s="34" t="s">
        <v>864</v>
      </c>
      <c r="B209" s="55">
        <v>0</v>
      </c>
      <c r="H209" s="38" t="s">
        <v>618</v>
      </c>
    </row>
    <row r="210" spans="1:8" ht="12.75">
      <c r="A210" s="36" t="s">
        <v>865</v>
      </c>
      <c r="B210" s="37"/>
      <c r="H210" s="38" t="s">
        <v>618</v>
      </c>
    </row>
    <row r="211" spans="1:8" ht="12.75">
      <c r="A211" s="36" t="s">
        <v>866</v>
      </c>
      <c r="B211" s="37"/>
      <c r="H211" s="56" t="s">
        <v>618</v>
      </c>
    </row>
    <row r="212" spans="1:8" ht="12.75">
      <c r="A212" s="36" t="s">
        <v>867</v>
      </c>
      <c r="B212" s="37">
        <v>0.57</v>
      </c>
      <c r="H212" s="34" t="s">
        <v>868</v>
      </c>
    </row>
    <row r="213" spans="1:8" ht="12.75">
      <c r="A213" s="36" t="s">
        <v>869</v>
      </c>
      <c r="B213" s="37">
        <v>0.43</v>
      </c>
      <c r="H213" s="34" t="s">
        <v>870</v>
      </c>
    </row>
    <row r="214" spans="1:8" ht="12.75">
      <c r="A214" s="36" t="s">
        <v>871</v>
      </c>
      <c r="B214" s="37"/>
      <c r="H214" s="34" t="s">
        <v>618</v>
      </c>
    </row>
    <row r="215" spans="1:2" ht="12.75">
      <c r="A215" s="36" t="s">
        <v>872</v>
      </c>
      <c r="B215" s="57">
        <f>IF(Insured_State="KY",0.095,0)</f>
        <v>0</v>
      </c>
    </row>
    <row r="216" spans="1:2" ht="12.75">
      <c r="A216" s="36" t="s">
        <v>873</v>
      </c>
      <c r="B216" s="57">
        <f>IF(Insured_State="SC",0.1,0)</f>
        <v>0</v>
      </c>
    </row>
    <row r="218" s="31" customFormat="1" ht="12.75">
      <c r="A218" s="31" t="s">
        <v>874</v>
      </c>
    </row>
    <row r="219" spans="1:8" s="31" customFormat="1" ht="12.75">
      <c r="A219" s="36" t="s">
        <v>875</v>
      </c>
      <c r="B219" s="58">
        <v>1</v>
      </c>
      <c r="H219" s="34" t="s">
        <v>876</v>
      </c>
    </row>
    <row r="220" spans="1:8" s="31" customFormat="1" ht="12.75">
      <c r="A220" s="36" t="s">
        <v>877</v>
      </c>
      <c r="B220" s="58">
        <v>1</v>
      </c>
      <c r="H220" s="34" t="s">
        <v>878</v>
      </c>
    </row>
    <row r="221" spans="1:8" s="31" customFormat="1" ht="12.75">
      <c r="A221" s="36" t="s">
        <v>879</v>
      </c>
      <c r="B221" s="58">
        <v>1</v>
      </c>
      <c r="H221" s="34" t="s">
        <v>880</v>
      </c>
    </row>
    <row r="222" spans="1:8" s="31" customFormat="1" ht="12.75">
      <c r="A222" s="36" t="s">
        <v>881</v>
      </c>
      <c r="B222" s="58">
        <v>1</v>
      </c>
      <c r="H222" s="34" t="s">
        <v>882</v>
      </c>
    </row>
    <row r="223" spans="1:8" s="31" customFormat="1" ht="12.75">
      <c r="A223" s="36" t="s">
        <v>883</v>
      </c>
      <c r="B223" s="58">
        <v>1</v>
      </c>
      <c r="H223" s="34" t="s">
        <v>884</v>
      </c>
    </row>
    <row r="224" spans="1:8" s="31" customFormat="1" ht="12.75">
      <c r="A224" s="36" t="s">
        <v>885</v>
      </c>
      <c r="B224" s="58">
        <v>1</v>
      </c>
      <c r="H224" s="34" t="s">
        <v>886</v>
      </c>
    </row>
    <row r="225" spans="1:8" s="31" customFormat="1" ht="12.75">
      <c r="A225" s="36" t="s">
        <v>887</v>
      </c>
      <c r="B225" s="58">
        <v>1</v>
      </c>
      <c r="H225" s="34" t="s">
        <v>888</v>
      </c>
    </row>
    <row r="226" spans="1:8" s="31" customFormat="1" ht="12.75">
      <c r="A226" s="36" t="s">
        <v>889</v>
      </c>
      <c r="B226" s="58">
        <v>1</v>
      </c>
      <c r="H226" s="34" t="s">
        <v>898</v>
      </c>
    </row>
    <row r="227" s="31" customFormat="1" ht="12.75"/>
    <row r="228" s="31" customFormat="1" ht="12.75">
      <c r="A228" s="31" t="s">
        <v>899</v>
      </c>
    </row>
    <row r="229" spans="1:8" ht="12.75">
      <c r="A229" s="34" t="s">
        <v>900</v>
      </c>
      <c r="B229" s="37">
        <v>1</v>
      </c>
      <c r="H229" s="34" t="s">
        <v>901</v>
      </c>
    </row>
    <row r="230" spans="1:8" ht="12.75">
      <c r="A230" s="34" t="s">
        <v>902</v>
      </c>
      <c r="B230" s="37">
        <v>1</v>
      </c>
      <c r="H230" s="34" t="s">
        <v>903</v>
      </c>
    </row>
    <row r="231" spans="1:8" ht="12.75">
      <c r="A231" s="34" t="s">
        <v>904</v>
      </c>
      <c r="B231" s="37">
        <v>1</v>
      </c>
      <c r="H231" s="34" t="s">
        <v>905</v>
      </c>
    </row>
    <row r="232" spans="1:8" ht="12.75">
      <c r="A232" s="34" t="s">
        <v>906</v>
      </c>
      <c r="B232" s="37">
        <v>1</v>
      </c>
      <c r="H232" s="34" t="s">
        <v>907</v>
      </c>
    </row>
    <row r="233" spans="1:8" ht="12.75">
      <c r="A233" s="34" t="s">
        <v>908</v>
      </c>
      <c r="B233" s="37">
        <v>1</v>
      </c>
      <c r="H233" s="34" t="s">
        <v>909</v>
      </c>
    </row>
    <row r="234" spans="1:8" ht="12.75">
      <c r="A234" s="34" t="s">
        <v>910</v>
      </c>
      <c r="B234" s="37">
        <v>1</v>
      </c>
      <c r="H234" s="34" t="s">
        <v>911</v>
      </c>
    </row>
    <row r="235" spans="1:8" ht="12.75">
      <c r="A235" s="34" t="s">
        <v>912</v>
      </c>
      <c r="B235" s="37">
        <v>1</v>
      </c>
      <c r="H235" s="34" t="s">
        <v>913</v>
      </c>
    </row>
    <row r="236" spans="1:8" ht="12.75">
      <c r="A236" s="34" t="s">
        <v>914</v>
      </c>
      <c r="B236" s="37">
        <v>1</v>
      </c>
      <c r="H236" s="34" t="s">
        <v>915</v>
      </c>
    </row>
    <row r="237" spans="1:8" ht="12.75">
      <c r="A237" s="34" t="s">
        <v>916</v>
      </c>
      <c r="B237" s="37">
        <v>1</v>
      </c>
      <c r="H237" s="34" t="s">
        <v>917</v>
      </c>
    </row>
    <row r="238" spans="1:8" ht="12.75">
      <c r="A238" s="34" t="s">
        <v>918</v>
      </c>
      <c r="B238" s="37">
        <v>1</v>
      </c>
      <c r="H238" s="34" t="s">
        <v>919</v>
      </c>
    </row>
    <row r="239" spans="1:8" ht="12.75">
      <c r="A239" s="34" t="s">
        <v>920</v>
      </c>
      <c r="B239" s="37">
        <v>1</v>
      </c>
      <c r="H239" s="34" t="s">
        <v>921</v>
      </c>
    </row>
    <row r="240" spans="1:8" ht="12.75">
      <c r="A240" s="34" t="s">
        <v>922</v>
      </c>
      <c r="B240" s="37">
        <v>1</v>
      </c>
      <c r="H240" s="34" t="s">
        <v>923</v>
      </c>
    </row>
    <row r="241" spans="1:8" ht="12.75">
      <c r="A241" s="34" t="s">
        <v>924</v>
      </c>
      <c r="B241" s="37">
        <v>1</v>
      </c>
      <c r="H241" s="34" t="s">
        <v>925</v>
      </c>
    </row>
    <row r="242" spans="1:8" ht="12.75">
      <c r="A242" s="34"/>
      <c r="B242" s="57"/>
      <c r="H242" s="34"/>
    </row>
    <row r="243" spans="1:8" ht="12.75">
      <c r="A243" s="36" t="s">
        <v>926</v>
      </c>
      <c r="B243" s="37">
        <v>1</v>
      </c>
      <c r="H243" s="34" t="s">
        <v>927</v>
      </c>
    </row>
    <row r="245" s="31" customFormat="1" ht="12.75">
      <c r="A245" s="31" t="s">
        <v>928</v>
      </c>
    </row>
    <row r="246" spans="1:8" ht="12.75">
      <c r="A246" s="34" t="s">
        <v>929</v>
      </c>
      <c r="B246" s="37"/>
      <c r="C246" s="34"/>
      <c r="H246" s="34" t="s">
        <v>930</v>
      </c>
    </row>
    <row r="247" spans="1:8" ht="12.75">
      <c r="A247" s="34" t="s">
        <v>931</v>
      </c>
      <c r="B247" s="37"/>
      <c r="C247" s="34"/>
      <c r="H247" s="34" t="s">
        <v>932</v>
      </c>
    </row>
    <row r="248" spans="1:8" ht="12.75">
      <c r="A248" s="34" t="s">
        <v>933</v>
      </c>
      <c r="B248" s="37"/>
      <c r="C248" s="34"/>
      <c r="H248" s="34" t="s">
        <v>934</v>
      </c>
    </row>
    <row r="249" spans="1:8" ht="12.75">
      <c r="A249" s="34" t="s">
        <v>935</v>
      </c>
      <c r="B249" s="37"/>
      <c r="C249" s="34"/>
      <c r="H249" s="34" t="s">
        <v>936</v>
      </c>
    </row>
    <row r="250" spans="1:8" ht="12.75">
      <c r="A250" s="34" t="s">
        <v>937</v>
      </c>
      <c r="B250" s="37"/>
      <c r="C250" s="34"/>
      <c r="H250" s="34" t="s">
        <v>938</v>
      </c>
    </row>
    <row r="252" s="31" customFormat="1" ht="12.75">
      <c r="A252" s="59" t="s">
        <v>939</v>
      </c>
    </row>
    <row r="253" spans="1:8" ht="12.75">
      <c r="A253" s="36" t="s">
        <v>940</v>
      </c>
      <c r="B253" s="60"/>
      <c r="H253" s="34" t="s">
        <v>941</v>
      </c>
    </row>
    <row r="254" spans="1:8" ht="12.75">
      <c r="A254" s="36" t="s">
        <v>942</v>
      </c>
      <c r="B254" s="60"/>
      <c r="H254" s="34" t="s">
        <v>943</v>
      </c>
    </row>
    <row r="255" spans="1:8" ht="12.75">
      <c r="A255" s="36" t="s">
        <v>944</v>
      </c>
      <c r="B255" s="60"/>
      <c r="H255" s="34" t="s">
        <v>945</v>
      </c>
    </row>
    <row r="256" spans="1:8" ht="12.75">
      <c r="A256" s="36" t="s">
        <v>946</v>
      </c>
      <c r="B256" s="60"/>
      <c r="H256" s="34" t="s">
        <v>947</v>
      </c>
    </row>
    <row r="257" spans="1:8" ht="12.75">
      <c r="A257" s="36" t="s">
        <v>948</v>
      </c>
      <c r="B257">
        <f>B256</f>
        <v>0</v>
      </c>
      <c r="H257" s="34" t="s">
        <v>607</v>
      </c>
    </row>
    <row r="258" spans="1:8" ht="12.75">
      <c r="A258" s="36" t="s">
        <v>949</v>
      </c>
      <c r="B258" s="60">
        <v>0</v>
      </c>
      <c r="H258" s="34" t="s">
        <v>607</v>
      </c>
    </row>
    <row r="259" spans="1:8" ht="12.75">
      <c r="A259" s="36" t="s">
        <v>950</v>
      </c>
      <c r="B259" s="60">
        <v>0</v>
      </c>
      <c r="H259" s="34" t="s">
        <v>607</v>
      </c>
    </row>
    <row r="260" spans="1:8" ht="12.75">
      <c r="A260" s="36" t="s">
        <v>951</v>
      </c>
      <c r="B260" s="60">
        <v>0</v>
      </c>
      <c r="H260" s="34" t="s">
        <v>607</v>
      </c>
    </row>
    <row r="261" spans="1:8" ht="12.75">
      <c r="A261" s="36" t="s">
        <v>952</v>
      </c>
      <c r="B261" s="60">
        <v>0</v>
      </c>
      <c r="H261" s="34" t="s">
        <v>607</v>
      </c>
    </row>
    <row r="262" spans="1:8" ht="12.75">
      <c r="A262" s="36" t="s">
        <v>953</v>
      </c>
      <c r="B262" s="60">
        <v>0</v>
      </c>
      <c r="H262" s="34" t="s">
        <v>607</v>
      </c>
    </row>
    <row r="263" spans="1:8" ht="12.75">
      <c r="A263" s="36" t="s">
        <v>954</v>
      </c>
      <c r="B263" s="60"/>
      <c r="H263" s="34" t="s">
        <v>955</v>
      </c>
    </row>
    <row r="264" spans="1:8" ht="12.75">
      <c r="A264" s="36" t="s">
        <v>956</v>
      </c>
      <c r="B264" s="60"/>
      <c r="H264" s="34" t="s">
        <v>957</v>
      </c>
    </row>
    <row r="265" spans="1:8" ht="12.75">
      <c r="A265" s="36" t="s">
        <v>958</v>
      </c>
      <c r="B265" s="60">
        <v>0</v>
      </c>
      <c r="H265" s="34" t="s">
        <v>607</v>
      </c>
    </row>
    <row r="266" spans="1:8" ht="12.75">
      <c r="A266" s="36" t="s">
        <v>959</v>
      </c>
      <c r="B266" s="60">
        <v>0</v>
      </c>
      <c r="H266" s="34" t="s">
        <v>607</v>
      </c>
    </row>
    <row r="267" spans="1:8" ht="12.75">
      <c r="A267" s="36" t="s">
        <v>960</v>
      </c>
      <c r="B267" s="60">
        <v>0</v>
      </c>
      <c r="H267" s="34" t="s">
        <v>607</v>
      </c>
    </row>
    <row r="268" spans="1:8" ht="12.75">
      <c r="A268" s="36" t="s">
        <v>961</v>
      </c>
      <c r="B268" s="60">
        <v>0</v>
      </c>
      <c r="H268" s="34" t="s">
        <v>607</v>
      </c>
    </row>
    <row r="269" spans="1:8" ht="12.75">
      <c r="A269" s="36" t="s">
        <v>962</v>
      </c>
      <c r="B269" s="60">
        <v>0</v>
      </c>
      <c r="H269" s="34" t="s">
        <v>607</v>
      </c>
    </row>
    <row r="270" spans="1:8" ht="12.75">
      <c r="A270" s="36" t="s">
        <v>963</v>
      </c>
      <c r="B270" s="60">
        <v>0</v>
      </c>
      <c r="H270" s="34" t="s">
        <v>607</v>
      </c>
    </row>
    <row r="271" spans="1:8" ht="12.75">
      <c r="A271" s="36" t="s">
        <v>964</v>
      </c>
      <c r="B271" s="60">
        <v>0</v>
      </c>
      <c r="H271" s="34" t="s">
        <v>607</v>
      </c>
    </row>
    <row r="272" spans="1:8" ht="12.75">
      <c r="A272" s="36" t="s">
        <v>965</v>
      </c>
      <c r="B272" s="60">
        <v>0</v>
      </c>
      <c r="H272" s="34" t="s">
        <v>607</v>
      </c>
    </row>
    <row r="273" spans="1:8" ht="12.75">
      <c r="A273" s="36" t="s">
        <v>966</v>
      </c>
      <c r="B273" s="60">
        <v>0</v>
      </c>
      <c r="H273" s="34" t="s">
        <v>607</v>
      </c>
    </row>
    <row r="274" spans="1:8" ht="12.75">
      <c r="A274" s="36" t="s">
        <v>967</v>
      </c>
      <c r="B274" s="60">
        <v>0</v>
      </c>
      <c r="H274" s="34" t="s">
        <v>607</v>
      </c>
    </row>
    <row r="275" spans="1:8" ht="12.75">
      <c r="A275" s="36" t="s">
        <v>968</v>
      </c>
      <c r="B275" s="60">
        <v>0</v>
      </c>
      <c r="H275" s="34" t="s">
        <v>607</v>
      </c>
    </row>
    <row r="276" spans="1:8" ht="12.75">
      <c r="A276" s="36" t="s">
        <v>969</v>
      </c>
      <c r="B276" s="60">
        <v>0</v>
      </c>
      <c r="H276" s="34" t="s">
        <v>607</v>
      </c>
    </row>
    <row r="277" spans="1:8" ht="12.75">
      <c r="A277" s="36" t="s">
        <v>970</v>
      </c>
      <c r="B277" s="60">
        <v>0</v>
      </c>
      <c r="H277" s="34" t="s">
        <v>607</v>
      </c>
    </row>
    <row r="278" spans="1:8" ht="12.75">
      <c r="A278" s="36" t="s">
        <v>971</v>
      </c>
      <c r="B278" s="60">
        <v>0</v>
      </c>
      <c r="H278" s="34" t="s">
        <v>607</v>
      </c>
    </row>
    <row r="279" spans="1:8" ht="12.75">
      <c r="A279" s="36" t="s">
        <v>972</v>
      </c>
      <c r="B279" s="60">
        <v>0</v>
      </c>
      <c r="H279" s="34" t="s">
        <v>607</v>
      </c>
    </row>
    <row r="280" spans="1:8" ht="12.75">
      <c r="A280" s="36" t="s">
        <v>973</v>
      </c>
      <c r="B280" s="60">
        <v>0</v>
      </c>
      <c r="H280" s="34" t="s">
        <v>607</v>
      </c>
    </row>
    <row r="281" spans="1:8" ht="12.75">
      <c r="A281" s="36" t="s">
        <v>974</v>
      </c>
      <c r="B281" s="60">
        <v>0</v>
      </c>
      <c r="H281" s="34" t="s">
        <v>607</v>
      </c>
    </row>
    <row r="282" spans="1:8" ht="12.75">
      <c r="A282" s="36" t="s">
        <v>975</v>
      </c>
      <c r="B282" s="60">
        <v>0</v>
      </c>
      <c r="H282" s="34" t="s">
        <v>607</v>
      </c>
    </row>
    <row r="283" spans="1:8" ht="12.75">
      <c r="A283" s="36" t="s">
        <v>976</v>
      </c>
      <c r="B283" s="60">
        <v>0</v>
      </c>
      <c r="H283" s="34" t="s">
        <v>607</v>
      </c>
    </row>
    <row r="284" spans="1:8" ht="12.75">
      <c r="A284" s="36" t="s">
        <v>977</v>
      </c>
      <c r="B284" s="60">
        <v>0</v>
      </c>
      <c r="H284" s="34" t="s">
        <v>607</v>
      </c>
    </row>
    <row r="285" spans="1:8" ht="12.75">
      <c r="A285" s="36" t="s">
        <v>978</v>
      </c>
      <c r="B285" s="60">
        <v>0</v>
      </c>
      <c r="H285" s="34" t="s">
        <v>607</v>
      </c>
    </row>
    <row r="286" spans="1:8" ht="12.75">
      <c r="A286" s="36" t="s">
        <v>979</v>
      </c>
      <c r="B286" s="60">
        <v>0</v>
      </c>
      <c r="H286" s="34" t="s">
        <v>607</v>
      </c>
    </row>
    <row r="287" spans="1:8" ht="12.75">
      <c r="A287" s="36" t="s">
        <v>980</v>
      </c>
      <c r="B287" s="60">
        <v>0</v>
      </c>
      <c r="H287" s="34" t="s">
        <v>607</v>
      </c>
    </row>
    <row r="288" spans="1:8" ht="12.75">
      <c r="A288" s="36" t="s">
        <v>981</v>
      </c>
      <c r="B288" s="60">
        <v>0</v>
      </c>
      <c r="H288" s="34" t="s">
        <v>607</v>
      </c>
    </row>
    <row r="289" spans="1:8" ht="12.75">
      <c r="A289" s="36" t="s">
        <v>982</v>
      </c>
      <c r="B289" s="60">
        <v>0</v>
      </c>
      <c r="H289" s="34" t="s">
        <v>607</v>
      </c>
    </row>
    <row r="290" spans="1:8" ht="12.75">
      <c r="A290" s="36" t="s">
        <v>983</v>
      </c>
      <c r="B290" s="60">
        <v>0</v>
      </c>
      <c r="H290" s="34" t="s">
        <v>607</v>
      </c>
    </row>
    <row r="291" spans="1:8" ht="12.75">
      <c r="A291" s="36" t="s">
        <v>984</v>
      </c>
      <c r="B291" s="60">
        <v>0</v>
      </c>
      <c r="H291" s="34" t="s">
        <v>607</v>
      </c>
    </row>
    <row r="292" spans="1:8" ht="12.75">
      <c r="A292" s="36" t="s">
        <v>985</v>
      </c>
      <c r="B292" s="60">
        <v>0</v>
      </c>
      <c r="H292" s="34" t="s">
        <v>607</v>
      </c>
    </row>
    <row r="293" spans="1:8" ht="12.75">
      <c r="A293" s="36" t="s">
        <v>986</v>
      </c>
      <c r="B293" s="60">
        <v>0</v>
      </c>
      <c r="H293" s="34" t="s">
        <v>607</v>
      </c>
    </row>
    <row r="295" ht="12.75">
      <c r="A295" s="59" t="s">
        <v>987</v>
      </c>
    </row>
    <row r="296" spans="1:8" ht="12.75">
      <c r="A296" s="36" t="s">
        <v>988</v>
      </c>
      <c r="B296" s="60">
        <v>0</v>
      </c>
      <c r="H296" s="34" t="s">
        <v>989</v>
      </c>
    </row>
    <row r="297" spans="1:8" ht="12.75">
      <c r="A297" s="36" t="s">
        <v>990</v>
      </c>
      <c r="B297" s="60">
        <v>0</v>
      </c>
      <c r="C297" s="60">
        <v>0</v>
      </c>
      <c r="D297" s="60">
        <v>0</v>
      </c>
      <c r="E297" s="60">
        <v>0</v>
      </c>
      <c r="F297" s="60">
        <v>0</v>
      </c>
      <c r="G297" s="60">
        <v>0</v>
      </c>
      <c r="H297" s="42" t="s">
        <v>991</v>
      </c>
    </row>
    <row r="298" spans="1:2" ht="12.75">
      <c r="A298" s="36" t="s">
        <v>992</v>
      </c>
      <c r="B298" s="61">
        <f>MAX(B297:G297)</f>
        <v>0</v>
      </c>
    </row>
    <row r="299" spans="1:8" ht="12.75">
      <c r="A299" s="36" t="s">
        <v>993</v>
      </c>
      <c r="B299" s="60">
        <v>0</v>
      </c>
      <c r="C299" s="60">
        <v>0</v>
      </c>
      <c r="D299" s="60">
        <v>0</v>
      </c>
      <c r="E299" s="60">
        <v>0</v>
      </c>
      <c r="F299" s="60">
        <v>0</v>
      </c>
      <c r="G299" s="60">
        <v>0</v>
      </c>
      <c r="H299" s="42" t="s">
        <v>994</v>
      </c>
    </row>
    <row r="300" spans="1:8" ht="12.75">
      <c r="A300" s="36" t="s">
        <v>995</v>
      </c>
      <c r="B300" s="62">
        <v>1</v>
      </c>
      <c r="H300" s="34" t="s">
        <v>996</v>
      </c>
    </row>
    <row r="301" spans="1:8" ht="12.75">
      <c r="A301" s="36" t="s">
        <v>997</v>
      </c>
      <c r="B301" s="62">
        <v>1</v>
      </c>
      <c r="H301" s="34" t="s">
        <v>998</v>
      </c>
    </row>
    <row r="302" spans="1:8" ht="12.75">
      <c r="A302" s="36" t="s">
        <v>999</v>
      </c>
      <c r="B302" s="62">
        <v>1</v>
      </c>
      <c r="H302" s="34" t="s">
        <v>1000</v>
      </c>
    </row>
    <row r="303" spans="1:8" ht="12.75">
      <c r="A303" s="36" t="s">
        <v>1001</v>
      </c>
      <c r="B303" s="62">
        <v>1</v>
      </c>
      <c r="H303" s="34" t="s">
        <v>1002</v>
      </c>
    </row>
    <row r="304" spans="1:8" ht="12.75">
      <c r="A304" s="36" t="s">
        <v>1003</v>
      </c>
      <c r="B304" s="62">
        <v>1</v>
      </c>
      <c r="H304" s="34" t="s">
        <v>1004</v>
      </c>
    </row>
    <row r="305" spans="1:8" ht="12.75">
      <c r="A305" s="36" t="s">
        <v>1005</v>
      </c>
      <c r="B305" s="62">
        <v>1</v>
      </c>
      <c r="H305" s="34" t="s">
        <v>1006</v>
      </c>
    </row>
    <row r="306" spans="1:8" ht="12.75">
      <c r="A306" s="36" t="s">
        <v>1007</v>
      </c>
      <c r="B306" s="63">
        <v>1</v>
      </c>
      <c r="H306" s="34" t="s">
        <v>1008</v>
      </c>
    </row>
    <row r="307" spans="1:8" ht="12.75">
      <c r="A307" s="36" t="s">
        <v>1009</v>
      </c>
      <c r="B307" s="62">
        <v>1</v>
      </c>
      <c r="H307" s="34" t="s">
        <v>1010</v>
      </c>
    </row>
    <row r="308" spans="1:8" ht="12.75">
      <c r="A308" s="36" t="s">
        <v>1011</v>
      </c>
      <c r="B308" s="62">
        <v>1</v>
      </c>
      <c r="H308" s="34" t="s">
        <v>1012</v>
      </c>
    </row>
    <row r="309" spans="1:8" ht="12.75">
      <c r="A309" s="36"/>
      <c r="B309" s="64"/>
      <c r="H309" s="34"/>
    </row>
    <row r="310" ht="12.75">
      <c r="A310" s="33" t="s">
        <v>1013</v>
      </c>
    </row>
    <row r="311" spans="1:8" s="34" customFormat="1" ht="12.75">
      <c r="A311" s="40" t="s">
        <v>1014</v>
      </c>
      <c r="B311" s="41"/>
      <c r="C311" s="41"/>
      <c r="D311" s="41"/>
      <c r="E311" s="41"/>
      <c r="F311" s="41"/>
      <c r="G311" s="41"/>
      <c r="H311" s="34" t="s">
        <v>1015</v>
      </c>
    </row>
    <row r="312" spans="1:8" s="34" customFormat="1" ht="12.75">
      <c r="A312" s="40" t="s">
        <v>1016</v>
      </c>
      <c r="B312" s="41"/>
      <c r="C312" s="41"/>
      <c r="D312" s="41"/>
      <c r="E312" s="41"/>
      <c r="F312" s="41"/>
      <c r="G312" s="41"/>
      <c r="H312" s="34" t="s">
        <v>1017</v>
      </c>
    </row>
    <row r="313" ht="12.75">
      <c r="A313" s="33" t="s">
        <v>1018</v>
      </c>
    </row>
    <row r="314" spans="1:8" s="34" customFormat="1" ht="12.75">
      <c r="A314" s="40" t="s">
        <v>1019</v>
      </c>
      <c r="B314" s="41"/>
      <c r="C314" s="41"/>
      <c r="D314" s="41"/>
      <c r="E314" s="41"/>
      <c r="F314" s="41"/>
      <c r="G314" s="41"/>
      <c r="H314" s="34" t="s">
        <v>1020</v>
      </c>
    </row>
    <row r="315" spans="1:8" s="34" customFormat="1" ht="12.75">
      <c r="A315" s="40" t="s">
        <v>1021</v>
      </c>
      <c r="B315" s="41"/>
      <c r="C315" s="41"/>
      <c r="D315" s="41"/>
      <c r="E315" s="41"/>
      <c r="F315" s="41"/>
      <c r="G315" s="41"/>
      <c r="H315" s="34" t="s">
        <v>1022</v>
      </c>
    </row>
    <row r="316" spans="1:8" s="34" customFormat="1" ht="12.75">
      <c r="A316" s="40" t="s">
        <v>1023</v>
      </c>
      <c r="B316" s="41"/>
      <c r="C316" s="41"/>
      <c r="D316" s="41"/>
      <c r="E316" s="41"/>
      <c r="F316" s="41"/>
      <c r="G316" s="41"/>
      <c r="H316" s="34" t="s">
        <v>1024</v>
      </c>
    </row>
    <row r="317" spans="1:8" s="34" customFormat="1" ht="12.75">
      <c r="A317" s="40" t="s">
        <v>1025</v>
      </c>
      <c r="B317" s="41"/>
      <c r="C317" s="41"/>
      <c r="D317" s="41"/>
      <c r="E317" s="41"/>
      <c r="F317" s="41"/>
      <c r="G317" s="41"/>
      <c r="H317" s="34" t="s">
        <v>1026</v>
      </c>
    </row>
    <row r="318" ht="12.75">
      <c r="A318" s="33" t="s">
        <v>1027</v>
      </c>
    </row>
    <row r="319" spans="1:8" s="34" customFormat="1" ht="12.75">
      <c r="A319" s="40" t="s">
        <v>1028</v>
      </c>
      <c r="B319" s="41"/>
      <c r="C319" s="41"/>
      <c r="D319" s="41"/>
      <c r="E319" s="41"/>
      <c r="F319" s="41"/>
      <c r="G319" s="41"/>
      <c r="H319" s="34" t="s">
        <v>1029</v>
      </c>
    </row>
    <row r="320" spans="1:8" s="34" customFormat="1" ht="12.75">
      <c r="A320" s="40" t="s">
        <v>1030</v>
      </c>
      <c r="B320" s="41"/>
      <c r="C320" s="41"/>
      <c r="D320" s="41"/>
      <c r="E320" s="41"/>
      <c r="F320" s="41"/>
      <c r="G320" s="41"/>
      <c r="H320" s="34" t="s">
        <v>1031</v>
      </c>
    </row>
    <row r="321" spans="1:8" s="34" customFormat="1" ht="12.75">
      <c r="A321" s="40" t="s">
        <v>1032</v>
      </c>
      <c r="B321" s="41"/>
      <c r="C321" s="41"/>
      <c r="D321" s="41"/>
      <c r="E321" s="41"/>
      <c r="F321" s="41"/>
      <c r="G321" s="41"/>
      <c r="H321" s="34" t="s">
        <v>1033</v>
      </c>
    </row>
    <row r="322" ht="12.75">
      <c r="A322" s="33" t="s">
        <v>1034</v>
      </c>
    </row>
    <row r="323" spans="1:8" s="34" customFormat="1" ht="12.75">
      <c r="A323" s="40" t="s">
        <v>1035</v>
      </c>
      <c r="B323" s="41"/>
      <c r="C323" s="41"/>
      <c r="D323" s="41"/>
      <c r="E323" s="41"/>
      <c r="F323" s="41"/>
      <c r="G323" s="41"/>
      <c r="H323" s="34" t="s">
        <v>1036</v>
      </c>
    </row>
    <row r="324" spans="1:8" s="34" customFormat="1" ht="12.75">
      <c r="A324" s="40" t="s">
        <v>1037</v>
      </c>
      <c r="B324" s="41"/>
      <c r="C324" s="41"/>
      <c r="D324" s="41"/>
      <c r="E324" s="41"/>
      <c r="F324" s="41"/>
      <c r="G324" s="41"/>
      <c r="H324" s="34" t="s">
        <v>1038</v>
      </c>
    </row>
    <row r="325" ht="12.75">
      <c r="A325" s="33" t="s">
        <v>1039</v>
      </c>
    </row>
    <row r="326" spans="1:8" s="34" customFormat="1" ht="12.75">
      <c r="A326" s="40" t="s">
        <v>1040</v>
      </c>
      <c r="B326" s="41"/>
      <c r="C326" s="41"/>
      <c r="D326" s="41"/>
      <c r="E326" s="41"/>
      <c r="F326" s="41"/>
      <c r="G326" s="41"/>
      <c r="H326" s="34" t="s">
        <v>1041</v>
      </c>
    </row>
    <row r="327" spans="1:8" s="34" customFormat="1" ht="12.75">
      <c r="A327" s="40" t="s">
        <v>1042</v>
      </c>
      <c r="B327" s="41"/>
      <c r="C327" s="41"/>
      <c r="D327" s="41"/>
      <c r="E327" s="41"/>
      <c r="F327" s="41"/>
      <c r="G327" s="41"/>
      <c r="H327" s="34" t="s">
        <v>1043</v>
      </c>
    </row>
    <row r="329" spans="1:8" ht="12.75">
      <c r="A329" s="36" t="s">
        <v>1044</v>
      </c>
      <c r="B329" s="60">
        <v>0</v>
      </c>
      <c r="H329" s="34" t="s">
        <v>1045</v>
      </c>
    </row>
    <row r="331" ht="12.75">
      <c r="A331" t="s">
        <v>1046</v>
      </c>
    </row>
    <row r="332" spans="1:2" ht="12.75">
      <c r="A332" t="s">
        <v>1047</v>
      </c>
      <c r="B332" t="s">
        <v>1048</v>
      </c>
    </row>
    <row r="333" spans="1:2" ht="12.75">
      <c r="A333" t="s">
        <v>1049</v>
      </c>
      <c r="B333" t="s">
        <v>1050</v>
      </c>
    </row>
    <row r="334" spans="1:2" ht="12.75">
      <c r="A334" t="s">
        <v>1051</v>
      </c>
      <c r="B334" t="s">
        <v>1052</v>
      </c>
    </row>
    <row r="335" spans="1:2" ht="12.75">
      <c r="A335" t="s">
        <v>1053</v>
      </c>
      <c r="B335" t="s">
        <v>1054</v>
      </c>
    </row>
    <row r="336" spans="1:2" ht="12.75">
      <c r="A336" t="s">
        <v>1055</v>
      </c>
      <c r="B336" t="s">
        <v>1056</v>
      </c>
    </row>
    <row r="337" spans="1:2" ht="12.75">
      <c r="A337" t="s">
        <v>1057</v>
      </c>
      <c r="B337">
        <v>0</v>
      </c>
    </row>
    <row r="338" spans="1:7" ht="12.75">
      <c r="A338" t="s">
        <v>1058</v>
      </c>
      <c r="B338">
        <f>IF(INDEX(Recreational_Trailer_Type_Description,,1)="All Other Trailer",0,1)</f>
        <v>1</v>
      </c>
      <c r="C338">
        <f>IF(INDEX(Recreational_Trailer_Type_Description,,2)="All Other Trailer",0,1)</f>
        <v>1</v>
      </c>
      <c r="D338">
        <f>IF(INDEX(Recreational_Trailer_Type_Description,,3)="All Other Trailer",0,1)</f>
        <v>1</v>
      </c>
      <c r="E338">
        <f>IF(INDEX(Recreational_Trailer_Type_Description,,4)="All Other Trailer",0,1)</f>
        <v>1</v>
      </c>
      <c r="F338">
        <f>IF(INDEX(Recreational_Trailer_Type_Description,,5)="All Other Trailer",0,1)</f>
        <v>1</v>
      </c>
      <c r="G338">
        <f>IF(INDEX(Recreational_Trailer_Type_Description,,6)="All Other Trailer",0,1)</f>
        <v>1</v>
      </c>
    </row>
    <row r="339" spans="1:7" ht="12.75">
      <c r="A339" t="s">
        <v>1059</v>
      </c>
      <c r="B339">
        <f>IF(INDEX(Combined_Additional_Coverage_Description,,1)="",0,IF(INDEX(Combined_Additional_Coverage_Description,,1)="With Vandalism &amp; Malicious Mischief",1,2))</f>
        <v>0</v>
      </c>
      <c r="C339">
        <f>IF(INDEX(Combined_Additional_Coverage_Description,,2)="",0,IF(INDEX(Combined_Additional_Coverage_Description,,2)="With Vandalism &amp; Malicious Mischief",1,2))</f>
        <v>0</v>
      </c>
      <c r="D339">
        <f>IF(INDEX(Combined_Additional_Coverage_Description,,3)="",0,IF(INDEX(Combined_Additional_Coverage_Description,,3)="With Vandalism &amp; Malicious Mischief",1,2))</f>
        <v>0</v>
      </c>
      <c r="E339">
        <f>IF(INDEX(Combined_Additional_Coverage_Description,,4)="",0,IF(INDEX(Combined_Additional_Coverage_Description,,4)="With Vandalism &amp; Malicious Mischief",1,2))</f>
        <v>0</v>
      </c>
      <c r="F339">
        <f>IF(INDEX(Combined_Additional_Coverage_Description,,5)="",0,IF(INDEX(Combined_Additional_Coverage_Description,,5)="With Vandalism &amp; Malicious Mischief",1,2))</f>
        <v>0</v>
      </c>
      <c r="G339">
        <f>IF(INDEX(Combined_Additional_Coverage_Description,,6)="",0,IF(INDEX(Combined_Additional_Coverage_Description,,6)="With Vandalism &amp; Malicious Mischief",1,2))</f>
        <v>0</v>
      </c>
    </row>
    <row r="340" spans="1:7" ht="12.75">
      <c r="A340" t="s">
        <v>1060</v>
      </c>
      <c r="B340">
        <f>IF(INDEX(NC_RT_indicator,,1)=0,3000,10000)</f>
        <v>10000</v>
      </c>
      <c r="C340">
        <f>IF(INDEX(NC_RT_indicator,,2)=0,3000,10000)</f>
        <v>10000</v>
      </c>
      <c r="D340">
        <f>IF(INDEX(NC_RT_indicator,,3)=0,3000,10000)</f>
        <v>10000</v>
      </c>
      <c r="E340">
        <f>IF(INDEX(NC_RT_indicator,,4)=0,3000,10000)</f>
        <v>10000</v>
      </c>
      <c r="F340">
        <f>IF(INDEX(NC_RT_indicator,,5)=0,3000,10000)</f>
        <v>10000</v>
      </c>
      <c r="G340">
        <f>IF(INDEX(NC_RT_indicator,,6)=0,3000,10000)</f>
        <v>10000</v>
      </c>
    </row>
    <row r="341" spans="1:7" ht="12.75">
      <c r="A341" t="s">
        <v>1061</v>
      </c>
      <c r="B341">
        <f>IF(INDEX(NC_RT_indicator,,1)=0,500,1000)</f>
        <v>1000</v>
      </c>
      <c r="C341">
        <f>IF(INDEX(NC_RT_indicator,,2)=0,500,1000)</f>
        <v>1000</v>
      </c>
      <c r="D341">
        <f>IF(INDEX(NC_RT_indicator,,3)=0,500,1000)</f>
        <v>1000</v>
      </c>
      <c r="E341">
        <f>IF(INDEX(NC_RT_indicator,,4)=0,500,1000)</f>
        <v>1000</v>
      </c>
      <c r="F341">
        <f>IF(INDEX(NC_RT_indicator,,5)=0,500,1000)</f>
        <v>1000</v>
      </c>
      <c r="G341">
        <f>IF(INDEX(NC_RT_indicator,,6)=0,500,1000)</f>
        <v>1000</v>
      </c>
    </row>
    <row r="342" ht="12.75">
      <c r="A342" s="32" t="s">
        <v>1062</v>
      </c>
    </row>
    <row r="343" spans="1:8" s="34" customFormat="1" ht="12.75">
      <c r="A343" s="65" t="s">
        <v>1063</v>
      </c>
      <c r="B343" s="41"/>
      <c r="C343" s="41"/>
      <c r="D343" s="41"/>
      <c r="E343" s="41"/>
      <c r="F343" s="41"/>
      <c r="G343" s="41"/>
      <c r="H343" s="42" t="s">
        <v>1064</v>
      </c>
    </row>
    <row r="344" spans="1:8" s="34" customFormat="1" ht="12.75">
      <c r="A344" s="65" t="s">
        <v>1065</v>
      </c>
      <c r="B344" s="41"/>
      <c r="C344" s="41"/>
      <c r="D344" s="41"/>
      <c r="E344" s="41"/>
      <c r="F344" s="41"/>
      <c r="G344" s="41"/>
      <c r="H344" s="42" t="s">
        <v>1066</v>
      </c>
    </row>
    <row r="345" spans="1:8" s="34" customFormat="1" ht="12.75">
      <c r="A345" s="65" t="s">
        <v>1067</v>
      </c>
      <c r="B345" s="41"/>
      <c r="C345" s="41"/>
      <c r="D345" s="41"/>
      <c r="E345" s="41"/>
      <c r="F345" s="41"/>
      <c r="G345" s="41"/>
      <c r="H345" s="42" t="s">
        <v>1068</v>
      </c>
    </row>
    <row r="346" spans="1:8" s="34" customFormat="1" ht="12.75">
      <c r="A346" s="32" t="s">
        <v>1069</v>
      </c>
      <c r="B346" s="46"/>
      <c r="C346" s="46"/>
      <c r="D346" s="46"/>
      <c r="E346" s="46"/>
      <c r="F346" s="46"/>
      <c r="G346" s="46"/>
      <c r="H346" s="42"/>
    </row>
    <row r="347" spans="1:8" s="34" customFormat="1" ht="12.75">
      <c r="A347" s="65" t="s">
        <v>1063</v>
      </c>
      <c r="B347" s="41"/>
      <c r="C347" s="41"/>
      <c r="D347" s="41"/>
      <c r="E347" s="41"/>
      <c r="F347" s="41"/>
      <c r="G347" s="41"/>
      <c r="H347" s="42" t="s">
        <v>1070</v>
      </c>
    </row>
    <row r="348" spans="1:8" s="34" customFormat="1" ht="12.75">
      <c r="A348" s="65" t="s">
        <v>1071</v>
      </c>
      <c r="B348" s="41"/>
      <c r="C348" s="41"/>
      <c r="D348" s="41"/>
      <c r="E348" s="41"/>
      <c r="F348" s="41"/>
      <c r="G348" s="41"/>
      <c r="H348" s="42" t="s">
        <v>1072</v>
      </c>
    </row>
    <row r="349" spans="1:8" s="34" customFormat="1" ht="12.75">
      <c r="A349" s="65" t="s">
        <v>1073</v>
      </c>
      <c r="B349" s="41"/>
      <c r="C349" s="41"/>
      <c r="D349" s="41"/>
      <c r="E349" s="41"/>
      <c r="F349" s="41"/>
      <c r="G349" s="41"/>
      <c r="H349" s="42" t="s">
        <v>1074</v>
      </c>
    </row>
    <row r="350" spans="1:8" s="34" customFormat="1" ht="12.75">
      <c r="A350" s="65" t="s">
        <v>1065</v>
      </c>
      <c r="B350" s="41"/>
      <c r="C350" s="41"/>
      <c r="D350" s="41"/>
      <c r="E350" s="41"/>
      <c r="F350" s="41"/>
      <c r="G350" s="41"/>
      <c r="H350" s="42" t="s">
        <v>1075</v>
      </c>
    </row>
    <row r="351" spans="1:8" s="34" customFormat="1" ht="12.75">
      <c r="A351" s="65" t="s">
        <v>1067</v>
      </c>
      <c r="B351" s="41"/>
      <c r="C351" s="41"/>
      <c r="D351" s="41"/>
      <c r="E351" s="41"/>
      <c r="F351" s="41"/>
      <c r="G351" s="41"/>
      <c r="H351" s="42" t="s">
        <v>1076</v>
      </c>
    </row>
    <row r="352" spans="1:8" s="34" customFormat="1" ht="12.75">
      <c r="A352" s="65" t="s">
        <v>1077</v>
      </c>
      <c r="B352" s="41"/>
      <c r="C352" s="41"/>
      <c r="D352" s="41"/>
      <c r="E352" s="41"/>
      <c r="F352" s="41"/>
      <c r="G352" s="41"/>
      <c r="H352" s="34" t="s">
        <v>1078</v>
      </c>
    </row>
    <row r="353" spans="1:8" s="34" customFormat="1" ht="12.75">
      <c r="A353" s="65" t="s">
        <v>1079</v>
      </c>
      <c r="B353" s="41"/>
      <c r="C353" s="41"/>
      <c r="D353" s="41"/>
      <c r="E353" s="41"/>
      <c r="F353" s="41"/>
      <c r="G353" s="41"/>
      <c r="H353" s="42" t="s">
        <v>1080</v>
      </c>
    </row>
    <row r="354" spans="1:8" s="34" customFormat="1" ht="12.75">
      <c r="A354" s="65" t="s">
        <v>1081</v>
      </c>
      <c r="B354" s="41"/>
      <c r="C354" s="41"/>
      <c r="D354" s="41"/>
      <c r="E354" s="41"/>
      <c r="F354" s="41"/>
      <c r="G354" s="41"/>
      <c r="H354" s="42" t="s">
        <v>1082</v>
      </c>
    </row>
    <row r="355" spans="1:8" s="34" customFormat="1" ht="12.75">
      <c r="A355" s="65" t="s">
        <v>1083</v>
      </c>
      <c r="B355" s="66"/>
      <c r="C355" s="66"/>
      <c r="D355" s="66"/>
      <c r="E355" s="66"/>
      <c r="F355" s="66"/>
      <c r="G355" s="66"/>
      <c r="H355" s="42" t="s">
        <v>1085</v>
      </c>
    </row>
    <row r="356" spans="1:8" s="34" customFormat="1" ht="12.75">
      <c r="A356" s="46" t="s">
        <v>1086</v>
      </c>
      <c r="B356" s="46" t="e">
        <f>IF(B353=0,CEILING((INDEX(Original_Cost_New,,1)-INDEX(Max_OCN,,1))/INDEX(OCN_Increment,,1),1),0)</f>
        <v>#NUM!</v>
      </c>
      <c r="C356" s="46" t="e">
        <f>IF(C353=0,CEILING((INDEX(Original_Cost_New,,2)-INDEX(Max_OCN,,2))/INDEX(OCN_Increment,,2),1),0)</f>
        <v>#NUM!</v>
      </c>
      <c r="D356" s="46" t="e">
        <f>IF(D353=0,CEILING((INDEX(Original_Cost_New,,3)-INDEX(Max_OCN,,3))/INDEX(OCN_Increment,,3),1),0)</f>
        <v>#NUM!</v>
      </c>
      <c r="E356" s="46" t="e">
        <f>IF(E353=0,CEILING((INDEX(Original_Cost_New,,4)-INDEX(Max_OCN,,4))/INDEX(OCN_Increment,,4),1),0)</f>
        <v>#NUM!</v>
      </c>
      <c r="F356" s="46" t="e">
        <f>IF(F353=0,CEILING((INDEX(Original_Cost_New,,5)-INDEX(Max_OCN,,5))/INDEX(OCN_Increment,,5),1),0)</f>
        <v>#NUM!</v>
      </c>
      <c r="G356" s="46" t="e">
        <f>IF(G353=0,CEILING((INDEX(Original_Cost_New,,6)-INDEX(Max_OCN,,6))/INDEX(OCN_Increment,,6),1),0)</f>
        <v>#NUM!</v>
      </c>
      <c r="H356" s="42"/>
    </row>
    <row r="357" spans="1:8" s="34" customFormat="1" ht="12.75">
      <c r="A357" s="46" t="s">
        <v>1086</v>
      </c>
      <c r="B357" s="46">
        <f aca="true" t="shared" si="7" ref="B357:G357">IF(ISERROR(B356),0,B356)</f>
        <v>0</v>
      </c>
      <c r="C357" s="46">
        <f t="shared" si="7"/>
        <v>0</v>
      </c>
      <c r="D357" s="46">
        <f t="shared" si="7"/>
        <v>0</v>
      </c>
      <c r="E357" s="46">
        <f t="shared" si="7"/>
        <v>0</v>
      </c>
      <c r="F357" s="46">
        <f t="shared" si="7"/>
        <v>0</v>
      </c>
      <c r="G357" s="46">
        <f t="shared" si="7"/>
        <v>0</v>
      </c>
      <c r="H357" s="42"/>
    </row>
    <row r="358" spans="1:8" s="34" customFormat="1" ht="12.75">
      <c r="A358" s="46" t="s">
        <v>1087</v>
      </c>
      <c r="B358" s="46">
        <f>IF(B353=0,IF(INDEX(NC_RT_indicator,,1)=1,B354+B354*0.1*B357,B354+B355*B357),B353)</f>
        <v>0</v>
      </c>
      <c r="C358" s="46">
        <f>IF(C353=0,IF(INDEX(NC_RT_indicator,,2)=1,C354+C354*0.1*C357,C354+C355*C357),C353)</f>
        <v>0</v>
      </c>
      <c r="D358" s="46">
        <f>IF(D353=0,IF(INDEX(NC_RT_indicator,,3)=1,D354+D354*0.1*D357,D354+D355*D357),D353)</f>
        <v>0</v>
      </c>
      <c r="E358" s="46">
        <f>IF(E353=0,IF(INDEX(NC_RT_indicator,,4)=1,E354+E354*0.1*E357,E354+E355*E357),E353)</f>
        <v>0</v>
      </c>
      <c r="F358" s="46">
        <f>IF(F353=0,IF(INDEX(NC_RT_indicator,,5)=1,F354+F354*0.1*F357,F354+F355*F357),F353)</f>
        <v>0</v>
      </c>
      <c r="G358" s="46">
        <f>IF(G353=0,IF(INDEX(NC_RT_indicator,,6)=1,G354+G354*0.1*G357,G354+G355*G357),G353)</f>
        <v>0</v>
      </c>
      <c r="H358" s="42"/>
    </row>
    <row r="360" spans="1:8" s="34" customFormat="1" ht="12.75">
      <c r="A360" s="53" t="s">
        <v>1088</v>
      </c>
      <c r="B360" s="41"/>
      <c r="C360" s="41"/>
      <c r="D360" s="41"/>
      <c r="E360" s="41"/>
      <c r="F360" s="41"/>
      <c r="G360" s="41"/>
      <c r="H360" s="42" t="s">
        <v>1089</v>
      </c>
    </row>
    <row r="361" spans="1:8" s="34" customFormat="1" ht="12.75">
      <c r="A361" s="53" t="s">
        <v>1090</v>
      </c>
      <c r="B361" s="41"/>
      <c r="C361" s="41"/>
      <c r="D361" s="41"/>
      <c r="E361" s="41"/>
      <c r="F361" s="41"/>
      <c r="G361" s="41"/>
      <c r="H361" s="42" t="s">
        <v>1091</v>
      </c>
    </row>
    <row r="362" spans="1:8" s="34" customFormat="1" ht="12.75">
      <c r="A362" s="53" t="s">
        <v>1092</v>
      </c>
      <c r="B362" s="41"/>
      <c r="C362" s="41"/>
      <c r="D362" s="41"/>
      <c r="E362" s="41"/>
      <c r="F362" s="41"/>
      <c r="G362" s="41"/>
      <c r="H362" s="42" t="s">
        <v>1093</v>
      </c>
    </row>
    <row r="364" spans="1:8" ht="12.75">
      <c r="A364" s="67" t="s">
        <v>1094</v>
      </c>
      <c r="B364">
        <f aca="true" t="shared" si="8" ref="B364:G364">IF(AND(Insured_State="MI",OR(INDEX(Vehicle_Performance,,1)="S",INDEX(Vehicle_Performance,,1)="P")),1.5,1)</f>
        <v>1</v>
      </c>
      <c r="C364">
        <f t="shared" si="8"/>
        <v>1</v>
      </c>
      <c r="D364">
        <f t="shared" si="8"/>
        <v>1</v>
      </c>
      <c r="E364">
        <f t="shared" si="8"/>
        <v>1</v>
      </c>
      <c r="F364">
        <f t="shared" si="8"/>
        <v>1</v>
      </c>
      <c r="G364">
        <f t="shared" si="8"/>
        <v>1</v>
      </c>
      <c r="H364" s="36" t="s">
        <v>607</v>
      </c>
    </row>
  </sheetData>
  <printOptions/>
  <pageMargins left="0.75" right="0.75" top="1" bottom="1" header="0.5" footer="0.5"/>
  <pageSetup horizontalDpi="600" verticalDpi="600" orientation="portrait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BK170"/>
  <sheetViews>
    <sheetView zoomScale="75" zoomScaleNormal="75" workbookViewId="0" topLeftCell="A142">
      <selection activeCell="C171" sqref="C171"/>
    </sheetView>
  </sheetViews>
  <sheetFormatPr defaultColWidth="9.140625" defaultRowHeight="12.75"/>
  <cols>
    <col min="2" max="2" width="36.7109375" style="0" customWidth="1"/>
    <col min="9" max="9" width="15.28125" style="0" customWidth="1"/>
  </cols>
  <sheetData>
    <row r="1" spans="1:9" ht="20.25" customHeight="1">
      <c r="A1" s="103"/>
      <c r="B1" s="104" t="s">
        <v>1461</v>
      </c>
      <c r="C1" s="103"/>
      <c r="D1" s="103"/>
      <c r="E1" s="103"/>
      <c r="F1" s="102"/>
      <c r="G1" s="102"/>
      <c r="H1" s="102"/>
      <c r="I1" s="1"/>
    </row>
    <row r="2" spans="1:9" ht="20.25" customHeight="1">
      <c r="A2" s="103"/>
      <c r="B2" s="104"/>
      <c r="C2" s="103"/>
      <c r="D2" s="103"/>
      <c r="E2" s="103"/>
      <c r="F2" s="102"/>
      <c r="G2" s="102"/>
      <c r="H2" s="102"/>
      <c r="I2" s="1"/>
    </row>
    <row r="3" spans="1:9" ht="12.75">
      <c r="A3" s="106" t="s">
        <v>1206</v>
      </c>
      <c r="B3" s="106" t="s">
        <v>1207</v>
      </c>
      <c r="C3" s="106" t="s">
        <v>428</v>
      </c>
      <c r="D3" s="106" t="s">
        <v>429</v>
      </c>
      <c r="E3" s="106" t="s">
        <v>430</v>
      </c>
      <c r="F3" s="106" t="s">
        <v>431</v>
      </c>
      <c r="G3" s="106" t="s">
        <v>432</v>
      </c>
      <c r="H3" s="106" t="s">
        <v>433</v>
      </c>
      <c r="I3" s="6" t="s">
        <v>229</v>
      </c>
    </row>
    <row r="4" ht="12.75">
      <c r="I4" s="1"/>
    </row>
    <row r="5" spans="1:9" ht="12.75">
      <c r="A5" s="106" t="s">
        <v>1208</v>
      </c>
      <c r="B5" s="102" t="s">
        <v>1398</v>
      </c>
      <c r="C5" s="102">
        <f>INDEX(IF(CSL,CSL_Base_rate,BI_Base_rate),1,1)</f>
        <v>0</v>
      </c>
      <c r="D5" s="102">
        <f>INDEX(IF(CSL,CSL_Base_rate,BI_Base_rate),1,2)</f>
        <v>0</v>
      </c>
      <c r="E5" s="102">
        <f>INDEX(IF(CSL,CSL_Base_rate,BI_Base_rate),1,3)</f>
        <v>0</v>
      </c>
      <c r="F5" s="102">
        <f>INDEX(IF(CSL,CSL_Base_rate,BI_Base_rate),1,4)</f>
        <v>0</v>
      </c>
      <c r="G5" s="102">
        <f>INDEX(IF(CSL,CSL_Base_rate,BI_Base_rate),1,5)</f>
        <v>0</v>
      </c>
      <c r="H5" s="102">
        <f>INDEX(IF(CSL,CSL_Base_rate,BI_Base_rate),1,6)</f>
        <v>0</v>
      </c>
      <c r="I5" s="1"/>
    </row>
    <row r="6" spans="1:9" ht="12.75">
      <c r="A6" s="106"/>
      <c r="B6" s="102"/>
      <c r="C6" s="102"/>
      <c r="D6" s="102"/>
      <c r="E6" s="102"/>
      <c r="F6" s="102"/>
      <c r="G6" s="102"/>
      <c r="H6" s="102"/>
      <c r="I6" s="1"/>
    </row>
    <row r="7" spans="1:9" s="102" customFormat="1" ht="12.75">
      <c r="A7" s="106" t="s">
        <v>1212</v>
      </c>
      <c r="B7" s="107" t="s">
        <v>1403</v>
      </c>
      <c r="C7" s="102">
        <f aca="true" t="shared" si="0" ref="C7:H7">(C5*IF(Insured_State="NC",Company_Deviation_Factor_NC,IF(CSL,Company_Deviation_Factor_CSL,Company_Deviation_Factor_Split_BI))*Tier_Rating_Factor)</f>
        <v>0</v>
      </c>
      <c r="D7" s="102">
        <f t="shared" si="0"/>
        <v>0</v>
      </c>
      <c r="E7" s="102">
        <f t="shared" si="0"/>
        <v>0</v>
      </c>
      <c r="F7" s="102">
        <f t="shared" si="0"/>
        <v>0</v>
      </c>
      <c r="G7" s="102">
        <f t="shared" si="0"/>
        <v>0</v>
      </c>
      <c r="H7" s="102">
        <f t="shared" si="0"/>
        <v>0</v>
      </c>
      <c r="I7" s="1"/>
    </row>
    <row r="8" spans="1:9" s="102" customFormat="1" ht="12.75">
      <c r="A8" s="106"/>
      <c r="B8" s="107"/>
      <c r="I8" s="1"/>
    </row>
    <row r="9" spans="1:9" s="102" customFormat="1" ht="12.75">
      <c r="A9" s="106" t="s">
        <v>1214</v>
      </c>
      <c r="B9" s="102" t="s">
        <v>1404</v>
      </c>
      <c r="C9" s="102">
        <f>INDEX(IF(CSL,CSL_Increased_Limits_Factor,BI_Increased_Limits_Factor),1,1)</f>
        <v>0</v>
      </c>
      <c r="D9" s="102">
        <f>INDEX(IF(CSL,CSL_Increased_Limits_Factor,BI_Increased_Limits_Factor),1,2)</f>
        <v>0</v>
      </c>
      <c r="E9" s="102">
        <f>INDEX(IF(CSL,CSL_Increased_Limits_Factor,BI_Increased_Limits_Factor),1,3)</f>
        <v>0</v>
      </c>
      <c r="F9" s="102">
        <f>INDEX(IF(CSL,CSL_Increased_Limits_Factor,BI_Increased_Limits_Factor),1,4)</f>
        <v>0</v>
      </c>
      <c r="G9" s="102">
        <f>INDEX(IF(CSL,CSL_Increased_Limits_Factor,BI_Increased_Limits_Factor),1,5)</f>
        <v>0</v>
      </c>
      <c r="H9" s="102">
        <f>INDEX(IF(CSL,CSL_Increased_Limits_Factor,BI_Increased_Limits_Factor),1,6)</f>
        <v>0</v>
      </c>
      <c r="I9" s="1"/>
    </row>
    <row r="10" spans="2:9" s="102" customFormat="1" ht="12.75">
      <c r="B10" s="108" t="s">
        <v>1219</v>
      </c>
      <c r="C10" s="102">
        <f aca="true" t="shared" si="1" ref="C10:H10">(C7*C9)</f>
        <v>0</v>
      </c>
      <c r="D10" s="102">
        <f t="shared" si="1"/>
        <v>0</v>
      </c>
      <c r="E10" s="102">
        <f t="shared" si="1"/>
        <v>0</v>
      </c>
      <c r="F10" s="102">
        <f t="shared" si="1"/>
        <v>0</v>
      </c>
      <c r="G10" s="102">
        <f t="shared" si="1"/>
        <v>0</v>
      </c>
      <c r="H10" s="102">
        <f t="shared" si="1"/>
        <v>0</v>
      </c>
      <c r="I10" s="1"/>
    </row>
    <row r="11" spans="2:9" s="102" customFormat="1" ht="12.75">
      <c r="B11" s="108"/>
      <c r="I11" s="1"/>
    </row>
    <row r="12" spans="1:9" s="102" customFormat="1" ht="12.75">
      <c r="A12" s="106" t="s">
        <v>1334</v>
      </c>
      <c r="B12" s="108" t="s">
        <v>1462</v>
      </c>
      <c r="C12" s="102">
        <f>(C10*INDEX(MotorHome_Rating_Factor_Liability,,1))</f>
        <v>0</v>
      </c>
      <c r="D12" s="102">
        <f>(D10*INDEX(MotorHome_Rating_Factor_Liability,,2))</f>
        <v>0</v>
      </c>
      <c r="E12" s="102">
        <f>(E10*INDEX(MotorHome_Rating_Factor_Liability,,3))</f>
        <v>0</v>
      </c>
      <c r="F12" s="102">
        <f>(F10*INDEX(MotorHome_Rating_Factor_Liability,,4))</f>
        <v>0</v>
      </c>
      <c r="G12" s="102">
        <f>(G10*INDEX(MotorHome_Rating_Factor_Liability,,5))</f>
        <v>0</v>
      </c>
      <c r="H12" s="102">
        <f>(H10*INDEX(MotorHome_Rating_Factor_Liability,,6))</f>
        <v>0</v>
      </c>
      <c r="I12" s="1"/>
    </row>
    <row r="13" spans="2:9" s="102" customFormat="1" ht="12.75">
      <c r="B13" s="108"/>
      <c r="I13" s="1"/>
    </row>
    <row r="14" spans="1:9" s="102" customFormat="1" ht="12.75">
      <c r="A14" s="106" t="s">
        <v>1229</v>
      </c>
      <c r="B14" s="102" t="s">
        <v>1255</v>
      </c>
      <c r="C14" s="102">
        <f aca="true" t="shared" si="2" ref="C14:H14">C12-(C12*Valued_Customer_Discount_Factor)</f>
        <v>0</v>
      </c>
      <c r="D14" s="102">
        <f t="shared" si="2"/>
        <v>0</v>
      </c>
      <c r="E14" s="102">
        <f t="shared" si="2"/>
        <v>0</v>
      </c>
      <c r="F14" s="102">
        <f t="shared" si="2"/>
        <v>0</v>
      </c>
      <c r="G14" s="102">
        <f t="shared" si="2"/>
        <v>0</v>
      </c>
      <c r="H14" s="102">
        <f t="shared" si="2"/>
        <v>0</v>
      </c>
      <c r="I14" s="1"/>
    </row>
    <row r="15" spans="1:9" s="102" customFormat="1" ht="12.75">
      <c r="A15" s="106"/>
      <c r="B15" s="102" t="s">
        <v>1257</v>
      </c>
      <c r="C15" s="102">
        <f aca="true" t="shared" si="3" ref="C15:H15">C14*Policy_Period_Factor</f>
        <v>0</v>
      </c>
      <c r="D15" s="102">
        <f t="shared" si="3"/>
        <v>0</v>
      </c>
      <c r="E15" s="102">
        <f t="shared" si="3"/>
        <v>0</v>
      </c>
      <c r="F15" s="102">
        <f t="shared" si="3"/>
        <v>0</v>
      </c>
      <c r="G15" s="102">
        <f t="shared" si="3"/>
        <v>0</v>
      </c>
      <c r="H15" s="102">
        <f t="shared" si="3"/>
        <v>0</v>
      </c>
      <c r="I15" s="1"/>
    </row>
    <row r="16" spans="1:9" s="102" customFormat="1" ht="12.75">
      <c r="A16" s="106"/>
      <c r="B16" s="102" t="s">
        <v>1258</v>
      </c>
      <c r="C16" s="102">
        <f aca="true" t="shared" si="4" ref="C16:H16">C15-(C15*Fampak_Discount_Factor)</f>
        <v>0</v>
      </c>
      <c r="D16" s="102">
        <f t="shared" si="4"/>
        <v>0</v>
      </c>
      <c r="E16" s="102">
        <f t="shared" si="4"/>
        <v>0</v>
      </c>
      <c r="F16" s="102">
        <f t="shared" si="4"/>
        <v>0</v>
      </c>
      <c r="G16" s="102">
        <f t="shared" si="4"/>
        <v>0</v>
      </c>
      <c r="H16" s="102">
        <f t="shared" si="4"/>
        <v>0</v>
      </c>
      <c r="I16" s="1"/>
    </row>
    <row r="17" spans="1:9" s="102" customFormat="1" ht="12.75">
      <c r="A17" s="106"/>
      <c r="B17" s="112" t="s">
        <v>1259</v>
      </c>
      <c r="C17" s="102">
        <f aca="true" t="shared" si="5" ref="C17:H17">C16-(C16*Prime_Life_Discount_Factor)</f>
        <v>0</v>
      </c>
      <c r="D17" s="102">
        <f t="shared" si="5"/>
        <v>0</v>
      </c>
      <c r="E17" s="102">
        <f t="shared" si="5"/>
        <v>0</v>
      </c>
      <c r="F17" s="102">
        <f t="shared" si="5"/>
        <v>0</v>
      </c>
      <c r="G17" s="102">
        <f t="shared" si="5"/>
        <v>0</v>
      </c>
      <c r="H17" s="102">
        <f t="shared" si="5"/>
        <v>0</v>
      </c>
      <c r="I17" s="1"/>
    </row>
    <row r="18" spans="1:9" s="102" customFormat="1" ht="12.75">
      <c r="A18" s="106"/>
      <c r="B18" s="102" t="s">
        <v>1261</v>
      </c>
      <c r="C18" s="102">
        <f aca="true" t="shared" si="6" ref="C18:H18">IF(Insured_State="PA",Tort_Factor_Miscellaneous,1)</f>
        <v>1</v>
      </c>
      <c r="D18" s="102">
        <f t="shared" si="6"/>
        <v>1</v>
      </c>
      <c r="E18" s="102">
        <f t="shared" si="6"/>
        <v>1</v>
      </c>
      <c r="F18" s="102">
        <f t="shared" si="6"/>
        <v>1</v>
      </c>
      <c r="G18" s="102">
        <f t="shared" si="6"/>
        <v>1</v>
      </c>
      <c r="H18" s="102">
        <f t="shared" si="6"/>
        <v>1</v>
      </c>
      <c r="I18" s="1"/>
    </row>
    <row r="19" spans="1:9" s="102" customFormat="1" ht="12.75">
      <c r="A19" s="106"/>
      <c r="B19" s="102" t="s">
        <v>1262</v>
      </c>
      <c r="C19" s="102">
        <f aca="true" t="shared" si="7" ref="C19:H19">C17*C18</f>
        <v>0</v>
      </c>
      <c r="D19" s="102">
        <f t="shared" si="7"/>
        <v>0</v>
      </c>
      <c r="E19" s="102">
        <f t="shared" si="7"/>
        <v>0</v>
      </c>
      <c r="F19" s="102">
        <f t="shared" si="7"/>
        <v>0</v>
      </c>
      <c r="G19" s="102">
        <f t="shared" si="7"/>
        <v>0</v>
      </c>
      <c r="H19" s="102">
        <f t="shared" si="7"/>
        <v>0</v>
      </c>
      <c r="I19" s="1"/>
    </row>
    <row r="20" spans="1:9" s="102" customFormat="1" ht="12.75">
      <c r="A20" s="106"/>
      <c r="B20" s="112" t="s">
        <v>1263</v>
      </c>
      <c r="C20" s="102">
        <f>C19-(C19*INDEX(Mass_Merchandise_Factor,,1))</f>
        <v>0</v>
      </c>
      <c r="D20" s="102">
        <f>D19-(D19*INDEX(Mass_Merchandise_Factor,,2))</f>
        <v>0</v>
      </c>
      <c r="E20" s="102">
        <f>E19-(E19*INDEX(Mass_Merchandise_Factor,,3))</f>
        <v>0</v>
      </c>
      <c r="F20" s="102">
        <f>F19-(F19*INDEX(Mass_Merchandise_Factor,,4))</f>
        <v>0</v>
      </c>
      <c r="G20" s="102">
        <f>G19-(G19*INDEX(Mass_Merchandise_Factor,,5))</f>
        <v>0</v>
      </c>
      <c r="H20" s="102">
        <f>H19-(H19*INDEX(Mass_Merchandise_Factor,,6))</f>
        <v>0</v>
      </c>
      <c r="I20" s="1"/>
    </row>
    <row r="21" spans="1:9" s="102" customFormat="1" ht="12.75">
      <c r="A21" s="106"/>
      <c r="B21" s="112" t="s">
        <v>1264</v>
      </c>
      <c r="C21" s="102">
        <f aca="true" t="shared" si="8" ref="C21:H21">C20-(C20*IN_Standard_Agent_Commission_Factor)</f>
        <v>0</v>
      </c>
      <c r="D21" s="102">
        <f t="shared" si="8"/>
        <v>0</v>
      </c>
      <c r="E21" s="102">
        <f t="shared" si="8"/>
        <v>0</v>
      </c>
      <c r="F21" s="102">
        <f t="shared" si="8"/>
        <v>0</v>
      </c>
      <c r="G21" s="102">
        <f t="shared" si="8"/>
        <v>0</v>
      </c>
      <c r="H21" s="102">
        <f t="shared" si="8"/>
        <v>0</v>
      </c>
      <c r="I21" s="1"/>
    </row>
    <row r="22" spans="1:9" s="102" customFormat="1" ht="12.75">
      <c r="A22" s="106"/>
      <c r="B22" s="112" t="s">
        <v>1266</v>
      </c>
      <c r="C22" s="102">
        <f aca="true" t="shared" si="9" ref="C22:H22">C21</f>
        <v>0</v>
      </c>
      <c r="D22" s="102">
        <f t="shared" si="9"/>
        <v>0</v>
      </c>
      <c r="E22" s="102">
        <f t="shared" si="9"/>
        <v>0</v>
      </c>
      <c r="F22" s="102">
        <f t="shared" si="9"/>
        <v>0</v>
      </c>
      <c r="G22" s="102">
        <f t="shared" si="9"/>
        <v>0</v>
      </c>
      <c r="H22" s="102">
        <f t="shared" si="9"/>
        <v>0</v>
      </c>
      <c r="I22" s="1"/>
    </row>
    <row r="23" s="102" customFormat="1" ht="12.75">
      <c r="I23" s="1"/>
    </row>
    <row r="24" spans="1:9" s="31" customFormat="1" ht="12.75">
      <c r="A24" s="106"/>
      <c r="B24" s="106" t="s">
        <v>1463</v>
      </c>
      <c r="C24" s="106">
        <f aca="true" t="shared" si="10" ref="C24:H24">C22</f>
        <v>0</v>
      </c>
      <c r="D24" s="106">
        <f t="shared" si="10"/>
        <v>0</v>
      </c>
      <c r="E24" s="106">
        <f t="shared" si="10"/>
        <v>0</v>
      </c>
      <c r="F24" s="106">
        <f t="shared" si="10"/>
        <v>0</v>
      </c>
      <c r="G24" s="106">
        <f t="shared" si="10"/>
        <v>0</v>
      </c>
      <c r="H24" s="106">
        <f t="shared" si="10"/>
        <v>0</v>
      </c>
      <c r="I24" s="6"/>
    </row>
    <row r="25" spans="1:9" ht="12.75">
      <c r="A25" s="106"/>
      <c r="B25" s="102"/>
      <c r="C25" s="102"/>
      <c r="D25" s="102"/>
      <c r="E25" s="102"/>
      <c r="F25" s="102"/>
      <c r="G25" s="102"/>
      <c r="H25" s="102"/>
      <c r="I25" s="1"/>
    </row>
    <row r="26" spans="1:9" ht="12.75">
      <c r="A26" s="106" t="s">
        <v>1231</v>
      </c>
      <c r="B26" s="102" t="s">
        <v>1407</v>
      </c>
      <c r="C26" s="102">
        <f>IF(CSL,0,INDEX(PD_Base_rate,,1))</f>
        <v>0</v>
      </c>
      <c r="D26" s="102">
        <f>IF(CSL,0,INDEX(PD_Base_rate,,2))</f>
        <v>0</v>
      </c>
      <c r="E26" s="102">
        <f>IF(CSL,0,INDEX(PD_Base_rate,,3))</f>
        <v>0</v>
      </c>
      <c r="F26" s="102">
        <f>IF(CSL,0,INDEX(PD_Base_rate,,4))</f>
        <v>0</v>
      </c>
      <c r="G26" s="102">
        <f>IF(CSL,0,INDEX(PD_Base_rate,,5))</f>
        <v>0</v>
      </c>
      <c r="H26" s="102">
        <f>IF(CSL,0,INDEX(PD_Base_rate,,6))</f>
        <v>0</v>
      </c>
      <c r="I26" s="1"/>
    </row>
    <row r="27" spans="1:9" ht="12.75">
      <c r="A27" s="106"/>
      <c r="B27" s="102"/>
      <c r="C27" s="102"/>
      <c r="D27" s="102"/>
      <c r="E27" s="102"/>
      <c r="F27" s="102"/>
      <c r="G27" s="102"/>
      <c r="H27" s="102"/>
      <c r="I27" s="1"/>
    </row>
    <row r="28" spans="1:9" s="102" customFormat="1" ht="12.75">
      <c r="A28" s="106" t="s">
        <v>1412</v>
      </c>
      <c r="B28" s="107" t="s">
        <v>1410</v>
      </c>
      <c r="C28" s="102">
        <f aca="true" t="shared" si="11" ref="C28:H28">(C26*IF(Insured_State="NC",Company_Deviation_Factor_NC,Company_Deviation_Factor_Split_PD)*Tier_Rating_Factor)</f>
        <v>0</v>
      </c>
      <c r="D28" s="102">
        <f t="shared" si="11"/>
        <v>0</v>
      </c>
      <c r="E28" s="102">
        <f t="shared" si="11"/>
        <v>0</v>
      </c>
      <c r="F28" s="102">
        <f t="shared" si="11"/>
        <v>0</v>
      </c>
      <c r="G28" s="102">
        <f t="shared" si="11"/>
        <v>0</v>
      </c>
      <c r="H28" s="102">
        <f t="shared" si="11"/>
        <v>0</v>
      </c>
      <c r="I28" s="1"/>
    </row>
    <row r="29" spans="1:9" s="102" customFormat="1" ht="12.75">
      <c r="A29" s="106"/>
      <c r="B29" s="107"/>
      <c r="I29" s="1"/>
    </row>
    <row r="30" spans="1:9" s="102" customFormat="1" ht="12.75">
      <c r="A30" s="106" t="s">
        <v>1233</v>
      </c>
      <c r="B30" s="102" t="s">
        <v>1411</v>
      </c>
      <c r="C30" s="102">
        <f>IF(CSL,0,INDEX(PD_Increased_Limits_Factor,,1))</f>
        <v>0</v>
      </c>
      <c r="D30" s="102">
        <f>IF(CSL,0,INDEX(PD_Increased_Limits_Factor,,2))</f>
        <v>0</v>
      </c>
      <c r="E30" s="102">
        <f>IF(CSL,0,INDEX(PD_Increased_Limits_Factor,,3))</f>
        <v>0</v>
      </c>
      <c r="F30" s="102">
        <f>IF(CSL,0,INDEX(PD_Increased_Limits_Factor,,4))</f>
        <v>0</v>
      </c>
      <c r="G30" s="102">
        <f>IF(CSL,0,INDEX(PD_Increased_Limits_Factor,,5))</f>
        <v>0</v>
      </c>
      <c r="H30" s="102">
        <f>IF(CSL,0,INDEX(PD_Increased_Limits_Factor,,6))</f>
        <v>0</v>
      </c>
      <c r="I30" s="1"/>
    </row>
    <row r="31" spans="2:9" s="102" customFormat="1" ht="12.75">
      <c r="B31" s="108" t="s">
        <v>1219</v>
      </c>
      <c r="C31" s="102">
        <f aca="true" t="shared" si="12" ref="C31:H31">(C28*C30)</f>
        <v>0</v>
      </c>
      <c r="D31" s="102">
        <f t="shared" si="12"/>
        <v>0</v>
      </c>
      <c r="E31" s="102">
        <f t="shared" si="12"/>
        <v>0</v>
      </c>
      <c r="F31" s="102">
        <f t="shared" si="12"/>
        <v>0</v>
      </c>
      <c r="G31" s="102">
        <f t="shared" si="12"/>
        <v>0</v>
      </c>
      <c r="H31" s="102">
        <f t="shared" si="12"/>
        <v>0</v>
      </c>
      <c r="I31" s="1"/>
    </row>
    <row r="32" spans="2:9" s="102" customFormat="1" ht="12.75">
      <c r="B32" s="108"/>
      <c r="I32" s="1"/>
    </row>
    <row r="33" spans="1:9" s="102" customFormat="1" ht="12.75">
      <c r="A33" s="106" t="s">
        <v>1236</v>
      </c>
      <c r="B33" s="108" t="s">
        <v>1464</v>
      </c>
      <c r="C33" s="102">
        <f>(C31*INDEX(MotorHome_Rating_Factor_Liability,,1))</f>
        <v>0</v>
      </c>
      <c r="D33" s="102">
        <f>(D31*INDEX(MotorHome_Rating_Factor_Liability,,2))</f>
        <v>0</v>
      </c>
      <c r="E33" s="102">
        <f>(E31*INDEX(MotorHome_Rating_Factor_Liability,,3))</f>
        <v>0</v>
      </c>
      <c r="F33" s="102">
        <f>(F31*INDEX(MotorHome_Rating_Factor_Liability,,4))</f>
        <v>0</v>
      </c>
      <c r="G33" s="102">
        <f>(G31*INDEX(MotorHome_Rating_Factor_Liability,,5))</f>
        <v>0</v>
      </c>
      <c r="H33" s="102">
        <f>(H31*INDEX(MotorHome_Rating_Factor_Liability,,6))</f>
        <v>0</v>
      </c>
      <c r="I33" s="1"/>
    </row>
    <row r="34" spans="1:9" s="102" customFormat="1" ht="12.75">
      <c r="A34" s="106"/>
      <c r="B34" s="108"/>
      <c r="I34" s="1"/>
    </row>
    <row r="35" spans="1:9" s="102" customFormat="1" ht="12.75">
      <c r="A35" s="106" t="s">
        <v>1419</v>
      </c>
      <c r="B35" s="102" t="s">
        <v>1255</v>
      </c>
      <c r="C35" s="102">
        <f aca="true" t="shared" si="13" ref="C35:H35">C33-(C33*Valued_Customer_Discount_Factor)</f>
        <v>0</v>
      </c>
      <c r="D35" s="102">
        <f t="shared" si="13"/>
        <v>0</v>
      </c>
      <c r="E35" s="102">
        <f t="shared" si="13"/>
        <v>0</v>
      </c>
      <c r="F35" s="102">
        <f t="shared" si="13"/>
        <v>0</v>
      </c>
      <c r="G35" s="102">
        <f t="shared" si="13"/>
        <v>0</v>
      </c>
      <c r="H35" s="102">
        <f t="shared" si="13"/>
        <v>0</v>
      </c>
      <c r="I35" s="1"/>
    </row>
    <row r="36" spans="1:9" s="102" customFormat="1" ht="12.75">
      <c r="A36" s="106"/>
      <c r="B36" s="102" t="s">
        <v>1257</v>
      </c>
      <c r="C36" s="102">
        <f aca="true" t="shared" si="14" ref="C36:H36">C35*Policy_Period_Factor</f>
        <v>0</v>
      </c>
      <c r="D36" s="102">
        <f t="shared" si="14"/>
        <v>0</v>
      </c>
      <c r="E36" s="102">
        <f t="shared" si="14"/>
        <v>0</v>
      </c>
      <c r="F36" s="102">
        <f t="shared" si="14"/>
        <v>0</v>
      </c>
      <c r="G36" s="102">
        <f t="shared" si="14"/>
        <v>0</v>
      </c>
      <c r="H36" s="102">
        <f t="shared" si="14"/>
        <v>0</v>
      </c>
      <c r="I36" s="1"/>
    </row>
    <row r="37" spans="1:9" s="102" customFormat="1" ht="12.75">
      <c r="A37" s="106"/>
      <c r="B37" s="102" t="s">
        <v>1258</v>
      </c>
      <c r="C37" s="102">
        <f aca="true" t="shared" si="15" ref="C37:H37">C36-(C36*Fampak_Discount_Factor)</f>
        <v>0</v>
      </c>
      <c r="D37" s="102">
        <f t="shared" si="15"/>
        <v>0</v>
      </c>
      <c r="E37" s="102">
        <f t="shared" si="15"/>
        <v>0</v>
      </c>
      <c r="F37" s="102">
        <f t="shared" si="15"/>
        <v>0</v>
      </c>
      <c r="G37" s="102">
        <f t="shared" si="15"/>
        <v>0</v>
      </c>
      <c r="H37" s="102">
        <f t="shared" si="15"/>
        <v>0</v>
      </c>
      <c r="I37" s="1"/>
    </row>
    <row r="38" spans="1:9" s="102" customFormat="1" ht="12.75">
      <c r="A38" s="106"/>
      <c r="B38" s="112" t="s">
        <v>1259</v>
      </c>
      <c r="C38" s="102">
        <f aca="true" t="shared" si="16" ref="C38:H38">C37-(C37*Prime_Life_Discount_Factor)</f>
        <v>0</v>
      </c>
      <c r="D38" s="102">
        <f t="shared" si="16"/>
        <v>0</v>
      </c>
      <c r="E38" s="102">
        <f t="shared" si="16"/>
        <v>0</v>
      </c>
      <c r="F38" s="102">
        <f t="shared" si="16"/>
        <v>0</v>
      </c>
      <c r="G38" s="102">
        <f t="shared" si="16"/>
        <v>0</v>
      </c>
      <c r="H38" s="102">
        <f t="shared" si="16"/>
        <v>0</v>
      </c>
      <c r="I38" s="1"/>
    </row>
    <row r="39" spans="1:9" s="102" customFormat="1" ht="12.75">
      <c r="A39" s="106"/>
      <c r="B39" s="102" t="s">
        <v>1261</v>
      </c>
      <c r="C39" s="102">
        <f aca="true" t="shared" si="17" ref="C39:H39">IF(Insured_State="PA",Tort_Factor_Miscellaneous,1)</f>
        <v>1</v>
      </c>
      <c r="D39" s="102">
        <f t="shared" si="17"/>
        <v>1</v>
      </c>
      <c r="E39" s="102">
        <f t="shared" si="17"/>
        <v>1</v>
      </c>
      <c r="F39" s="102">
        <f t="shared" si="17"/>
        <v>1</v>
      </c>
      <c r="G39" s="102">
        <f t="shared" si="17"/>
        <v>1</v>
      </c>
      <c r="H39" s="102">
        <f t="shared" si="17"/>
        <v>1</v>
      </c>
      <c r="I39" s="1"/>
    </row>
    <row r="40" spans="1:9" s="102" customFormat="1" ht="12.75">
      <c r="A40" s="106"/>
      <c r="B40" s="102" t="s">
        <v>1262</v>
      </c>
      <c r="C40" s="102">
        <f aca="true" t="shared" si="18" ref="C40:H40">C38*C39</f>
        <v>0</v>
      </c>
      <c r="D40" s="102">
        <f t="shared" si="18"/>
        <v>0</v>
      </c>
      <c r="E40" s="102">
        <f t="shared" si="18"/>
        <v>0</v>
      </c>
      <c r="F40" s="102">
        <f t="shared" si="18"/>
        <v>0</v>
      </c>
      <c r="G40" s="102">
        <f t="shared" si="18"/>
        <v>0</v>
      </c>
      <c r="H40" s="102">
        <f t="shared" si="18"/>
        <v>0</v>
      </c>
      <c r="I40" s="1"/>
    </row>
    <row r="41" spans="1:9" s="102" customFormat="1" ht="12.75">
      <c r="A41" s="106"/>
      <c r="B41" s="112" t="s">
        <v>1263</v>
      </c>
      <c r="C41" s="102">
        <f>C40-(C40*INDEX(Mass_Merchandise_Factor,,1))</f>
        <v>0</v>
      </c>
      <c r="D41" s="102">
        <f>D40-(D40*INDEX(Mass_Merchandise_Factor,,2))</f>
        <v>0</v>
      </c>
      <c r="E41" s="102">
        <f>E40-(E40*INDEX(Mass_Merchandise_Factor,,3))</f>
        <v>0</v>
      </c>
      <c r="F41" s="102">
        <f>F40-(F40*INDEX(Mass_Merchandise_Factor,,4))</f>
        <v>0</v>
      </c>
      <c r="G41" s="102">
        <f>G40-(G40*INDEX(Mass_Merchandise_Factor,,5))</f>
        <v>0</v>
      </c>
      <c r="H41" s="102">
        <f>H40-(H40*INDEX(Mass_Merchandise_Factor,,6))</f>
        <v>0</v>
      </c>
      <c r="I41" s="1"/>
    </row>
    <row r="42" spans="1:9" s="102" customFormat="1" ht="12.75">
      <c r="A42" s="106"/>
      <c r="B42" s="112" t="s">
        <v>1264</v>
      </c>
      <c r="C42" s="102">
        <f aca="true" t="shared" si="19" ref="C42:H42">C41-(C41*IN_Standard_Agent_Commission_Factor)</f>
        <v>0</v>
      </c>
      <c r="D42" s="102">
        <f t="shared" si="19"/>
        <v>0</v>
      </c>
      <c r="E42" s="102">
        <f t="shared" si="19"/>
        <v>0</v>
      </c>
      <c r="F42" s="102">
        <f t="shared" si="19"/>
        <v>0</v>
      </c>
      <c r="G42" s="102">
        <f t="shared" si="19"/>
        <v>0</v>
      </c>
      <c r="H42" s="102">
        <f t="shared" si="19"/>
        <v>0</v>
      </c>
      <c r="I42" s="1"/>
    </row>
    <row r="43" spans="1:9" s="102" customFormat="1" ht="12.75">
      <c r="A43" s="106"/>
      <c r="B43" s="112" t="s">
        <v>1266</v>
      </c>
      <c r="C43" s="102">
        <f aca="true" t="shared" si="20" ref="C43:H43">C42</f>
        <v>0</v>
      </c>
      <c r="D43" s="102">
        <f t="shared" si="20"/>
        <v>0</v>
      </c>
      <c r="E43" s="102">
        <f t="shared" si="20"/>
        <v>0</v>
      </c>
      <c r="F43" s="102">
        <f t="shared" si="20"/>
        <v>0</v>
      </c>
      <c r="G43" s="102">
        <f t="shared" si="20"/>
        <v>0</v>
      </c>
      <c r="H43" s="102">
        <f t="shared" si="20"/>
        <v>0</v>
      </c>
      <c r="I43" s="1"/>
    </row>
    <row r="44" s="102" customFormat="1" ht="12.75">
      <c r="I44" s="1"/>
    </row>
    <row r="45" spans="1:9" s="106" customFormat="1" ht="12.75">
      <c r="A45" s="106" t="s">
        <v>1238</v>
      </c>
      <c r="B45" s="131" t="s">
        <v>1465</v>
      </c>
      <c r="C45" s="106">
        <f aca="true" t="shared" si="21" ref="C45:H45">C43</f>
        <v>0</v>
      </c>
      <c r="D45" s="106">
        <f t="shared" si="21"/>
        <v>0</v>
      </c>
      <c r="E45" s="106">
        <f t="shared" si="21"/>
        <v>0</v>
      </c>
      <c r="F45" s="106">
        <f t="shared" si="21"/>
        <v>0</v>
      </c>
      <c r="G45" s="106">
        <f t="shared" si="21"/>
        <v>0</v>
      </c>
      <c r="H45" s="106">
        <f t="shared" si="21"/>
        <v>0</v>
      </c>
      <c r="I45" s="6"/>
    </row>
    <row r="46" spans="1:9" s="102" customFormat="1" ht="12.75">
      <c r="A46" s="106"/>
      <c r="B46" s="107"/>
      <c r="I46" s="1"/>
    </row>
    <row r="47" spans="1:9" ht="12.75">
      <c r="A47" s="106" t="s">
        <v>1243</v>
      </c>
      <c r="B47" s="102" t="s">
        <v>701</v>
      </c>
      <c r="C47" s="102">
        <f>INDEX(Medical_PIP_Base_Rate,1,1)</f>
        <v>0</v>
      </c>
      <c r="D47" s="102">
        <f>INDEX(Medical_PIP_Base_Rate,1,2)</f>
        <v>0</v>
      </c>
      <c r="E47" s="102">
        <f>INDEX(Medical_PIP_Base_Rate,1,3)</f>
        <v>0</v>
      </c>
      <c r="F47" s="102">
        <f>INDEX(Medical_PIP_Base_Rate,1,4)</f>
        <v>0</v>
      </c>
      <c r="G47" s="102">
        <f>INDEX(Medical_PIP_Base_Rate,1,5)</f>
        <v>0</v>
      </c>
      <c r="H47" s="102">
        <f>INDEX(Medical_PIP_Base_Rate,1,6)</f>
        <v>0</v>
      </c>
      <c r="I47" s="1"/>
    </row>
    <row r="48" spans="1:9" ht="12.75">
      <c r="A48" s="106"/>
      <c r="B48" s="102"/>
      <c r="C48" s="102"/>
      <c r="D48" s="102"/>
      <c r="E48" s="102"/>
      <c r="F48" s="102"/>
      <c r="G48" s="102"/>
      <c r="H48" s="102"/>
      <c r="I48" s="1"/>
    </row>
    <row r="49" spans="1:9" s="102" customFormat="1" ht="12.75">
      <c r="A49" s="106" t="s">
        <v>1466</v>
      </c>
      <c r="B49" s="107" t="s">
        <v>1424</v>
      </c>
      <c r="C49" s="102">
        <f aca="true" t="shared" si="22" ref="C49:H49">(C47*IF(Insured_State="NC",Company_Deviation_Factor_NC,IF(PIP,Company_Deviation_Factor_PIP,Company_Deviation_Factor_Medical))*Tier_Rating_Factor)</f>
        <v>0</v>
      </c>
      <c r="D49" s="102">
        <f t="shared" si="22"/>
        <v>0</v>
      </c>
      <c r="E49" s="102">
        <f t="shared" si="22"/>
        <v>0</v>
      </c>
      <c r="F49" s="102">
        <f t="shared" si="22"/>
        <v>0</v>
      </c>
      <c r="G49" s="102">
        <f t="shared" si="22"/>
        <v>0</v>
      </c>
      <c r="H49" s="102">
        <f t="shared" si="22"/>
        <v>0</v>
      </c>
      <c r="I49" s="1"/>
    </row>
    <row r="50" spans="1:9" s="102" customFormat="1" ht="12.75">
      <c r="A50" s="106"/>
      <c r="B50" s="107"/>
      <c r="I50" s="1"/>
    </row>
    <row r="51" spans="1:9" s="102" customFormat="1" ht="12.75" customHeight="1">
      <c r="A51" s="106" t="s">
        <v>1247</v>
      </c>
      <c r="B51" s="107" t="s">
        <v>1467</v>
      </c>
      <c r="C51" s="102">
        <f>(C49*INDEX(PIP_Deductible_Copay_Factor,,1))</f>
        <v>0</v>
      </c>
      <c r="D51" s="102">
        <f>(D49*INDEX(PIP_Deductible_Copay_Factor,,2))</f>
        <v>0</v>
      </c>
      <c r="E51" s="102">
        <f>(E49*INDEX(PIP_Deductible_Copay_Factor,,3))</f>
        <v>0</v>
      </c>
      <c r="F51" s="102">
        <f>(F49*INDEX(PIP_Deductible_Copay_Factor,,4))</f>
        <v>0</v>
      </c>
      <c r="G51" s="102">
        <f>(G49*INDEX(PIP_Deductible_Copay_Factor,,5))</f>
        <v>0</v>
      </c>
      <c r="H51" s="102">
        <f>(H49*INDEX(PIP_Deductible_Copay_Factor,,6))</f>
        <v>0</v>
      </c>
      <c r="I51" s="1" t="s">
        <v>1468</v>
      </c>
    </row>
    <row r="52" spans="1:9" s="102" customFormat="1" ht="12.75">
      <c r="A52" s="106"/>
      <c r="B52" s="107" t="s">
        <v>1469</v>
      </c>
      <c r="C52" s="102">
        <f>IF(PIP,0,(C49*INDEX(Medical_Deductible_Copay_Factor,,1)))</f>
        <v>0</v>
      </c>
      <c r="D52" s="102">
        <f>IF(PIP,0,(D49*INDEX(Medical_Deductible_Copay_Factor,,2)))</f>
        <v>0</v>
      </c>
      <c r="E52" s="102">
        <f>IF(PIP,0,(E49*INDEX(Medical_Deductible_Copay_Factor,,3)))</f>
        <v>0</v>
      </c>
      <c r="F52" s="102">
        <f>IF(PIP,0,(F49*INDEX(Medical_Deductible_Copay_Factor,,4)))</f>
        <v>0</v>
      </c>
      <c r="G52" s="102">
        <f>IF(PIP,0,(G49*INDEX(Medical_Deductible_Copay_Factor,,5)))</f>
        <v>0</v>
      </c>
      <c r="H52" s="102">
        <f>IF(PIP,0,(H49*INDEX(Medical_Deductible_Copay_Factor,,6)))</f>
        <v>0</v>
      </c>
      <c r="I52" s="1" t="s">
        <v>1470</v>
      </c>
    </row>
    <row r="53" spans="1:9" s="102" customFormat="1" ht="12.75">
      <c r="A53" s="106"/>
      <c r="B53" s="107" t="s">
        <v>1294</v>
      </c>
      <c r="C53" s="102">
        <f aca="true" t="shared" si="23" ref="C53:H53">(C49-C51-C52)</f>
        <v>0</v>
      </c>
      <c r="D53" s="102">
        <f t="shared" si="23"/>
        <v>0</v>
      </c>
      <c r="E53" s="102">
        <f t="shared" si="23"/>
        <v>0</v>
      </c>
      <c r="F53" s="102">
        <f t="shared" si="23"/>
        <v>0</v>
      </c>
      <c r="G53" s="102">
        <f t="shared" si="23"/>
        <v>0</v>
      </c>
      <c r="H53" s="102">
        <f t="shared" si="23"/>
        <v>0</v>
      </c>
      <c r="I53" s="1"/>
    </row>
    <row r="54" spans="1:9" s="102" customFormat="1" ht="12.75">
      <c r="A54" s="106"/>
      <c r="B54" s="107" t="s">
        <v>1471</v>
      </c>
      <c r="C54" s="102">
        <f>IF(AND(PIP,Reject_Income_Loss="Y"),(C53*INDEX(Reject_Income_Loss_Factor,,1)),0)</f>
        <v>0</v>
      </c>
      <c r="D54" s="102">
        <f>IF(AND(PIP,Reject_Income_Loss="Y"),(D53*INDEX(Reject_Income_Loss_Factor,,2)),0)</f>
        <v>0</v>
      </c>
      <c r="E54" s="102">
        <f>IF(AND(PIP,Reject_Income_Loss="Y"),(E53*INDEX(Reject_Income_Loss_Factor,,3)),0)</f>
        <v>0</v>
      </c>
      <c r="F54" s="102">
        <f>IF(AND(PIP,Reject_Income_Loss="Y"),(F53*INDEX(Reject_Income_Loss_Factor,,4)),0)</f>
        <v>0</v>
      </c>
      <c r="G54" s="102">
        <f>IF(AND(PIP,Reject_Income_Loss="Y"),(G53*INDEX(Reject_Income_Loss_Factor,,5)),0)</f>
        <v>0</v>
      </c>
      <c r="H54" s="102">
        <f>IF(AND(PIP,Reject_Income_Loss="Y"),(H53*INDEX(Reject_Income_Loss_Factor,,6)),0)</f>
        <v>0</v>
      </c>
      <c r="I54" s="1" t="s">
        <v>1468</v>
      </c>
    </row>
    <row r="55" spans="1:9" s="102" customFormat="1" ht="12.75">
      <c r="A55" s="106"/>
      <c r="B55" s="107" t="s">
        <v>1296</v>
      </c>
      <c r="C55" s="102">
        <f aca="true" t="shared" si="24" ref="C55:H55">(C53-C54)</f>
        <v>0</v>
      </c>
      <c r="D55" s="102">
        <f t="shared" si="24"/>
        <v>0</v>
      </c>
      <c r="E55" s="102">
        <f t="shared" si="24"/>
        <v>0</v>
      </c>
      <c r="F55" s="102">
        <f t="shared" si="24"/>
        <v>0</v>
      </c>
      <c r="G55" s="102">
        <f t="shared" si="24"/>
        <v>0</v>
      </c>
      <c r="H55" s="102">
        <f t="shared" si="24"/>
        <v>0</v>
      </c>
      <c r="I55" s="1"/>
    </row>
    <row r="56" spans="1:9" s="102" customFormat="1" ht="12.75">
      <c r="A56" s="106"/>
      <c r="B56" s="107" t="s">
        <v>1297</v>
      </c>
      <c r="C56" s="102">
        <f>IF(Insured_State="MD",INDEX(Additional_PIP_Factor,,1),0)</f>
        <v>0</v>
      </c>
      <c r="D56" s="102">
        <f>IF(Insured_State="MD",INDEX(Additional_PIP_Factor,,2),0)</f>
        <v>0</v>
      </c>
      <c r="E56" s="102">
        <f>IF(Insured_State="MD",INDEX(Additional_PIP_Factor,,3),0)</f>
        <v>0</v>
      </c>
      <c r="F56" s="102">
        <f>IF(Insured_State="MD",INDEX(Additional_PIP_Factor,,4),0)</f>
        <v>0</v>
      </c>
      <c r="G56" s="102">
        <f>IF(Insured_State="MD",INDEX(Additional_PIP_Factor,,5),0)</f>
        <v>0</v>
      </c>
      <c r="H56" s="102">
        <f>IF(Insured_State="MD",INDEX(Additional_PIP_Factor,,6),0)</f>
        <v>0</v>
      </c>
      <c r="I56" s="1" t="s">
        <v>1472</v>
      </c>
    </row>
    <row r="57" spans="1:9" s="102" customFormat="1" ht="12.75">
      <c r="A57" s="106"/>
      <c r="B57" s="107" t="s">
        <v>1299</v>
      </c>
      <c r="C57" s="102">
        <f aca="true" t="shared" si="25" ref="C57:H57">(C55-C55*C56)</f>
        <v>0</v>
      </c>
      <c r="D57" s="102">
        <f t="shared" si="25"/>
        <v>0</v>
      </c>
      <c r="E57" s="102">
        <f t="shared" si="25"/>
        <v>0</v>
      </c>
      <c r="F57" s="102">
        <f t="shared" si="25"/>
        <v>0</v>
      </c>
      <c r="G57" s="102">
        <f t="shared" si="25"/>
        <v>0</v>
      </c>
      <c r="H57" s="102">
        <f t="shared" si="25"/>
        <v>0</v>
      </c>
      <c r="I57" s="1"/>
    </row>
    <row r="58" spans="1:9" s="102" customFormat="1" ht="12.75">
      <c r="A58" s="106"/>
      <c r="B58" s="107"/>
      <c r="I58" s="1"/>
    </row>
    <row r="59" spans="1:63" s="117" customFormat="1" ht="12.75" customHeight="1">
      <c r="A59" s="106" t="s">
        <v>1370</v>
      </c>
      <c r="B59" s="102" t="s">
        <v>1425</v>
      </c>
      <c r="C59" s="102">
        <f>IF(PIP,1,INDEX(Medical_Increased_Limits_Factor,,1))</f>
        <v>0</v>
      </c>
      <c r="D59" s="102">
        <f>IF(PIP,1,INDEX(Medical_Increased_Limits_Factor,,2))</f>
        <v>0</v>
      </c>
      <c r="E59" s="102">
        <f>IF(PIP,1,INDEX(Medical_Increased_Limits_Factor,,3))</f>
        <v>0</v>
      </c>
      <c r="F59" s="102">
        <f>IF(PIP,1,INDEX(Medical_Increased_Limits_Factor,,4))</f>
        <v>0</v>
      </c>
      <c r="G59" s="102">
        <f>IF(PIP,1,INDEX(Medical_Increased_Limits_Factor,,5))</f>
        <v>0</v>
      </c>
      <c r="H59" s="102">
        <f>IF(PIP,1,INDEX(Medical_Increased_Limits_Factor,,6))</f>
        <v>0</v>
      </c>
      <c r="I59" s="1" t="s">
        <v>1473</v>
      </c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47"/>
      <c r="AP59" s="47"/>
      <c r="AQ59" s="47"/>
      <c r="AR59" s="47"/>
      <c r="AS59" s="47"/>
      <c r="AT59" s="47"/>
      <c r="AU59" s="47"/>
      <c r="AV59" s="47"/>
      <c r="AW59" s="47"/>
      <c r="AX59" s="47"/>
      <c r="AY59" s="47"/>
      <c r="AZ59" s="47"/>
      <c r="BA59" s="47"/>
      <c r="BB59" s="47"/>
      <c r="BC59" s="47"/>
      <c r="BD59" s="47"/>
      <c r="BE59" s="47"/>
      <c r="BF59" s="47"/>
      <c r="BG59" s="47"/>
      <c r="BH59" s="47"/>
      <c r="BI59" s="47"/>
      <c r="BJ59" s="47"/>
      <c r="BK59" s="47"/>
    </row>
    <row r="60" spans="1:63" s="117" customFormat="1" ht="12.75">
      <c r="A60" s="102"/>
      <c r="B60" s="108" t="s">
        <v>1219</v>
      </c>
      <c r="C60" s="102">
        <f aca="true" t="shared" si="26" ref="C60:H60">(C57*C59)</f>
        <v>0</v>
      </c>
      <c r="D60" s="102">
        <f t="shared" si="26"/>
        <v>0</v>
      </c>
      <c r="E60" s="102">
        <f t="shared" si="26"/>
        <v>0</v>
      </c>
      <c r="F60" s="102">
        <f t="shared" si="26"/>
        <v>0</v>
      </c>
      <c r="G60" s="102">
        <f t="shared" si="26"/>
        <v>0</v>
      </c>
      <c r="H60" s="102">
        <f t="shared" si="26"/>
        <v>0</v>
      </c>
      <c r="I60" s="1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47"/>
      <c r="AR60" s="47"/>
      <c r="AS60" s="47"/>
      <c r="AT60" s="47"/>
      <c r="AU60" s="47"/>
      <c r="AV60" s="47"/>
      <c r="AW60" s="47"/>
      <c r="AX60" s="47"/>
      <c r="AY60" s="47"/>
      <c r="AZ60" s="47"/>
      <c r="BA60" s="47"/>
      <c r="BB60" s="47"/>
      <c r="BC60" s="47"/>
      <c r="BD60" s="47"/>
      <c r="BE60" s="47"/>
      <c r="BF60" s="47"/>
      <c r="BG60" s="47"/>
      <c r="BH60" s="47"/>
      <c r="BI60" s="47"/>
      <c r="BJ60" s="47"/>
      <c r="BK60" s="47"/>
    </row>
    <row r="61" spans="1:9" s="102" customFormat="1" ht="12.75">
      <c r="A61" s="106"/>
      <c r="B61" s="107"/>
      <c r="I61" s="1"/>
    </row>
    <row r="62" spans="1:9" s="102" customFormat="1" ht="12.75">
      <c r="A62" s="106" t="s">
        <v>1250</v>
      </c>
      <c r="B62" s="108" t="s">
        <v>1474</v>
      </c>
      <c r="C62" s="102">
        <f>(C60*INDEX(MotorHome_Rating_Factor_Liability,,1))</f>
        <v>0</v>
      </c>
      <c r="D62" s="102">
        <f>(D60*INDEX(MotorHome_Rating_Factor_Liability,,2))</f>
        <v>0</v>
      </c>
      <c r="E62" s="102">
        <f>(E60*INDEX(MotorHome_Rating_Factor_Liability,,3))</f>
        <v>0</v>
      </c>
      <c r="F62" s="102">
        <f>(F60*INDEX(MotorHome_Rating_Factor_Liability,,4))</f>
        <v>0</v>
      </c>
      <c r="G62" s="102">
        <f>(G60*INDEX(MotorHome_Rating_Factor_Liability,,5))</f>
        <v>0</v>
      </c>
      <c r="H62" s="102">
        <f>(H60*INDEX(MotorHome_Rating_Factor_Liability,,6))</f>
        <v>0</v>
      </c>
      <c r="I62" s="1"/>
    </row>
    <row r="63" spans="1:9" s="102" customFormat="1" ht="12.75">
      <c r="A63" s="106"/>
      <c r="B63" s="108"/>
      <c r="I63" s="1"/>
    </row>
    <row r="64" spans="1:9" s="102" customFormat="1" ht="12.75">
      <c r="A64" s="106" t="s">
        <v>1254</v>
      </c>
      <c r="B64" s="102" t="s">
        <v>1327</v>
      </c>
      <c r="C64" s="102">
        <f aca="true" t="shared" si="27" ref="C64:H64">C62-(C62*Loss_Free_Credit_Factor)</f>
        <v>0</v>
      </c>
      <c r="D64" s="102">
        <f t="shared" si="27"/>
        <v>0</v>
      </c>
      <c r="E64" s="102">
        <f t="shared" si="27"/>
        <v>0</v>
      </c>
      <c r="F64" s="102">
        <f t="shared" si="27"/>
        <v>0</v>
      </c>
      <c r="G64" s="102">
        <f t="shared" si="27"/>
        <v>0</v>
      </c>
      <c r="H64" s="102">
        <f t="shared" si="27"/>
        <v>0</v>
      </c>
      <c r="I64" s="1"/>
    </row>
    <row r="65" spans="1:9" s="102" customFormat="1" ht="12.75">
      <c r="A65" s="106"/>
      <c r="B65" s="102" t="s">
        <v>1255</v>
      </c>
      <c r="C65" s="102">
        <f aca="true" t="shared" si="28" ref="C65:H65">C64-(C64*Valued_Customer_Discount_Factor)</f>
        <v>0</v>
      </c>
      <c r="D65" s="102">
        <f t="shared" si="28"/>
        <v>0</v>
      </c>
      <c r="E65" s="102">
        <f t="shared" si="28"/>
        <v>0</v>
      </c>
      <c r="F65" s="102">
        <f t="shared" si="28"/>
        <v>0</v>
      </c>
      <c r="G65" s="102">
        <f t="shared" si="28"/>
        <v>0</v>
      </c>
      <c r="H65" s="102">
        <f t="shared" si="28"/>
        <v>0</v>
      </c>
      <c r="I65" s="1"/>
    </row>
    <row r="66" spans="1:9" s="102" customFormat="1" ht="12.75">
      <c r="A66" s="106"/>
      <c r="B66" s="102" t="s">
        <v>1257</v>
      </c>
      <c r="C66" s="102">
        <f aca="true" t="shared" si="29" ref="C66:H66">C65*Policy_Period_Factor</f>
        <v>0</v>
      </c>
      <c r="D66" s="102">
        <f t="shared" si="29"/>
        <v>0</v>
      </c>
      <c r="E66" s="102">
        <f t="shared" si="29"/>
        <v>0</v>
      </c>
      <c r="F66" s="102">
        <f t="shared" si="29"/>
        <v>0</v>
      </c>
      <c r="G66" s="102">
        <f t="shared" si="29"/>
        <v>0</v>
      </c>
      <c r="H66" s="102">
        <f t="shared" si="29"/>
        <v>0</v>
      </c>
      <c r="I66" s="1"/>
    </row>
    <row r="67" spans="1:9" s="102" customFormat="1" ht="12.75">
      <c r="A67" s="106"/>
      <c r="B67" s="102" t="s">
        <v>1258</v>
      </c>
      <c r="C67" s="102">
        <f aca="true" t="shared" si="30" ref="C67:H67">C66-(C66*Fampak_Discount_Factor)</f>
        <v>0</v>
      </c>
      <c r="D67" s="102">
        <f t="shared" si="30"/>
        <v>0</v>
      </c>
      <c r="E67" s="102">
        <f t="shared" si="30"/>
        <v>0</v>
      </c>
      <c r="F67" s="102">
        <f t="shared" si="30"/>
        <v>0</v>
      </c>
      <c r="G67" s="102">
        <f t="shared" si="30"/>
        <v>0</v>
      </c>
      <c r="H67" s="102">
        <f t="shared" si="30"/>
        <v>0</v>
      </c>
      <c r="I67" s="1"/>
    </row>
    <row r="68" spans="1:9" s="102" customFormat="1" ht="12.75">
      <c r="A68" s="106"/>
      <c r="B68" s="112" t="s">
        <v>1259</v>
      </c>
      <c r="C68" s="102">
        <f aca="true" t="shared" si="31" ref="C68:H68">C67-(C67*Prime_Life_Discount_Factor)</f>
        <v>0</v>
      </c>
      <c r="D68" s="102">
        <f t="shared" si="31"/>
        <v>0</v>
      </c>
      <c r="E68" s="102">
        <f t="shared" si="31"/>
        <v>0</v>
      </c>
      <c r="F68" s="102">
        <f t="shared" si="31"/>
        <v>0</v>
      </c>
      <c r="G68" s="102">
        <f t="shared" si="31"/>
        <v>0</v>
      </c>
      <c r="H68" s="102">
        <f t="shared" si="31"/>
        <v>0</v>
      </c>
      <c r="I68" s="1"/>
    </row>
    <row r="69" spans="1:9" s="102" customFormat="1" ht="12.75">
      <c r="A69" s="106"/>
      <c r="B69" s="112" t="s">
        <v>1263</v>
      </c>
      <c r="C69" s="102">
        <f>C68-(C68*INDEX(Mass_Merchandise_Factor,,1))</f>
        <v>0</v>
      </c>
      <c r="D69" s="102">
        <f>D68-(D68*INDEX(Mass_Merchandise_Factor,,2))</f>
        <v>0</v>
      </c>
      <c r="E69" s="102">
        <f>E68-(E68*INDEX(Mass_Merchandise_Factor,,3))</f>
        <v>0</v>
      </c>
      <c r="F69" s="102">
        <f>F68-(F68*INDEX(Mass_Merchandise_Factor,,4))</f>
        <v>0</v>
      </c>
      <c r="G69" s="102">
        <f>G68-(G68*INDEX(Mass_Merchandise_Factor,,5))</f>
        <v>0</v>
      </c>
      <c r="H69" s="102">
        <f>H68-(H68*INDEX(Mass_Merchandise_Factor,,6))</f>
        <v>0</v>
      </c>
      <c r="I69" s="1"/>
    </row>
    <row r="70" spans="1:9" s="102" customFormat="1" ht="12.75">
      <c r="A70" s="106"/>
      <c r="B70" s="112" t="s">
        <v>1264</v>
      </c>
      <c r="C70" s="102">
        <f aca="true" t="shared" si="32" ref="C70:H70">C69-(C69*IN_Standard_Agent_Commission_Factor)</f>
        <v>0</v>
      </c>
      <c r="D70" s="102">
        <f t="shared" si="32"/>
        <v>0</v>
      </c>
      <c r="E70" s="102">
        <f t="shared" si="32"/>
        <v>0</v>
      </c>
      <c r="F70" s="102">
        <f t="shared" si="32"/>
        <v>0</v>
      </c>
      <c r="G70" s="102">
        <f t="shared" si="32"/>
        <v>0</v>
      </c>
      <c r="H70" s="102">
        <f t="shared" si="32"/>
        <v>0</v>
      </c>
      <c r="I70" s="1"/>
    </row>
    <row r="71" spans="1:9" s="102" customFormat="1" ht="12.75">
      <c r="A71" s="106" t="s">
        <v>1265</v>
      </c>
      <c r="B71" s="112" t="s">
        <v>1266</v>
      </c>
      <c r="C71" s="102">
        <f aca="true" t="shared" si="33" ref="C71:H71">C70</f>
        <v>0</v>
      </c>
      <c r="D71" s="102">
        <f t="shared" si="33"/>
        <v>0</v>
      </c>
      <c r="E71" s="102">
        <f t="shared" si="33"/>
        <v>0</v>
      </c>
      <c r="F71" s="102">
        <f t="shared" si="33"/>
        <v>0</v>
      </c>
      <c r="G71" s="102">
        <f t="shared" si="33"/>
        <v>0</v>
      </c>
      <c r="H71" s="102">
        <f t="shared" si="33"/>
        <v>0</v>
      </c>
      <c r="I71" s="1"/>
    </row>
    <row r="72" s="102" customFormat="1" ht="12.75">
      <c r="I72" s="1"/>
    </row>
    <row r="73" spans="1:9" s="106" customFormat="1" ht="12.75">
      <c r="A73" s="106" t="s">
        <v>1475</v>
      </c>
      <c r="B73" s="131" t="s">
        <v>1476</v>
      </c>
      <c r="C73" s="106">
        <f aca="true" t="shared" si="34" ref="C73:H73">C71</f>
        <v>0</v>
      </c>
      <c r="D73" s="106">
        <f t="shared" si="34"/>
        <v>0</v>
      </c>
      <c r="E73" s="106">
        <f t="shared" si="34"/>
        <v>0</v>
      </c>
      <c r="F73" s="106">
        <f t="shared" si="34"/>
        <v>0</v>
      </c>
      <c r="G73" s="106">
        <f t="shared" si="34"/>
        <v>0</v>
      </c>
      <c r="H73" s="106">
        <f t="shared" si="34"/>
        <v>0</v>
      </c>
      <c r="I73" s="6"/>
    </row>
    <row r="74" spans="1:9" s="102" customFormat="1" ht="12.75">
      <c r="A74" s="106"/>
      <c r="B74" s="107"/>
      <c r="I74" s="1"/>
    </row>
    <row r="75" spans="1:9" ht="12.75">
      <c r="A75" s="106" t="s">
        <v>1477</v>
      </c>
      <c r="B75" s="102" t="s">
        <v>1478</v>
      </c>
      <c r="C75" s="102">
        <f>INDEX(IF(CSL,UM_CSL_Base_Rate,UM_BI_Base_rate),1,1)</f>
        <v>0</v>
      </c>
      <c r="D75" s="102">
        <f>INDEX(IF(CSL,UM_CSL_Base_Rate,UM_BI_Base_rate),1,2)</f>
        <v>0</v>
      </c>
      <c r="E75" s="102">
        <f>INDEX(IF(CSL,UM_CSL_Base_Rate,UM_BI_Base_rate),1,3)</f>
        <v>0</v>
      </c>
      <c r="F75" s="102">
        <f>INDEX(IF(CSL,UM_CSL_Base_Rate,UM_BI_Base_rate),1,4)</f>
        <v>0</v>
      </c>
      <c r="G75" s="102">
        <f>INDEX(IF(CSL,UM_CSL_Base_Rate,UM_BI_Base_rate),1,5)</f>
        <v>0</v>
      </c>
      <c r="H75" s="102">
        <f>INDEX(IF(CSL,UM_CSL_Base_Rate,UM_BI_Base_rate),1,6)</f>
        <v>0</v>
      </c>
      <c r="I75" s="1"/>
    </row>
    <row r="76" spans="1:9" ht="12.75">
      <c r="A76" s="106"/>
      <c r="B76" s="102"/>
      <c r="C76" s="102"/>
      <c r="D76" s="102"/>
      <c r="E76" s="102"/>
      <c r="F76" s="102"/>
      <c r="G76" s="102"/>
      <c r="H76" s="102"/>
      <c r="I76" s="1"/>
    </row>
    <row r="77" spans="1:9" s="102" customFormat="1" ht="12.75">
      <c r="A77" s="106" t="s">
        <v>1479</v>
      </c>
      <c r="B77" s="107" t="s">
        <v>1480</v>
      </c>
      <c r="C77" s="102">
        <f aca="true" t="shared" si="35" ref="C77:H77">(C75*IF(Insured_State="NC",Company_Deviation_Factor_NC,IF(CSL,Company_Deviation_Factor_UMUIM_CSL,Company_Deviation_Factor_UMUIM_Split_BI))*Tier_Rating_Factor)</f>
        <v>0</v>
      </c>
      <c r="D77" s="102">
        <f t="shared" si="35"/>
        <v>0</v>
      </c>
      <c r="E77" s="102">
        <f t="shared" si="35"/>
        <v>0</v>
      </c>
      <c r="F77" s="102">
        <f t="shared" si="35"/>
        <v>0</v>
      </c>
      <c r="G77" s="102">
        <f t="shared" si="35"/>
        <v>0</v>
      </c>
      <c r="H77" s="102">
        <f t="shared" si="35"/>
        <v>0</v>
      </c>
      <c r="I77" s="1"/>
    </row>
    <row r="78" spans="1:9" s="102" customFormat="1" ht="12.75">
      <c r="A78" s="106"/>
      <c r="B78" s="107"/>
      <c r="I78" s="1"/>
    </row>
    <row r="79" spans="1:9" s="102" customFormat="1" ht="12.75">
      <c r="A79" s="106" t="s">
        <v>1481</v>
      </c>
      <c r="B79" s="102" t="s">
        <v>1482</v>
      </c>
      <c r="C79" s="102">
        <f>INDEX(IF(CSL,UM_CSL_Increased_Limits_Factor,UM_BI_Increased_Limits_Factor),1,1)</f>
        <v>0</v>
      </c>
      <c r="D79" s="102">
        <f>INDEX(IF(CSL,UM_CSL_Increased_Limits_Factor,UM_BI_Increased_Limits_Factor),1,2)</f>
        <v>0</v>
      </c>
      <c r="E79" s="102">
        <f>INDEX(IF(CSL,UM_CSL_Increased_Limits_Factor,UM_BI_Increased_Limits_Factor),1,3)</f>
        <v>0</v>
      </c>
      <c r="F79" s="102">
        <f>INDEX(IF(CSL,UM_CSL_Increased_Limits_Factor,UM_BI_Increased_Limits_Factor),1,4)</f>
        <v>0</v>
      </c>
      <c r="G79" s="102">
        <f>INDEX(IF(CSL,UM_CSL_Increased_Limits_Factor,UM_BI_Increased_Limits_Factor),1,5)</f>
        <v>0</v>
      </c>
      <c r="H79" s="102">
        <f>INDEX(IF(CSL,UM_CSL_Increased_Limits_Factor,UM_BI_Increased_Limits_Factor),1,6)</f>
        <v>0</v>
      </c>
      <c r="I79" s="1"/>
    </row>
    <row r="80" spans="2:9" s="102" customFormat="1" ht="12.75">
      <c r="B80" s="108" t="s">
        <v>1219</v>
      </c>
      <c r="C80" s="102">
        <f aca="true" t="shared" si="36" ref="C80:H80">(C77*C79)</f>
        <v>0</v>
      </c>
      <c r="D80" s="102">
        <f t="shared" si="36"/>
        <v>0</v>
      </c>
      <c r="E80" s="102">
        <f t="shared" si="36"/>
        <v>0</v>
      </c>
      <c r="F80" s="102">
        <f t="shared" si="36"/>
        <v>0</v>
      </c>
      <c r="G80" s="102">
        <f t="shared" si="36"/>
        <v>0</v>
      </c>
      <c r="H80" s="102">
        <f t="shared" si="36"/>
        <v>0</v>
      </c>
      <c r="I80" s="1"/>
    </row>
    <row r="81" spans="2:9" s="102" customFormat="1" ht="12.75">
      <c r="B81" s="108"/>
      <c r="I81" s="1"/>
    </row>
    <row r="82" spans="1:9" s="102" customFormat="1" ht="12.75">
      <c r="A82" s="106" t="s">
        <v>1306</v>
      </c>
      <c r="B82" s="108" t="s">
        <v>1483</v>
      </c>
      <c r="C82" s="102">
        <f>(C80*INDEX(MotorHome_Rating_Factor_Liability,,1))</f>
        <v>0</v>
      </c>
      <c r="D82" s="102">
        <f>(D80*INDEX(MotorHome_Rating_Factor_Liability,,2))</f>
        <v>0</v>
      </c>
      <c r="E82" s="102">
        <f>(E80*INDEX(MotorHome_Rating_Factor_Liability,,3))</f>
        <v>0</v>
      </c>
      <c r="F82" s="102">
        <f>(F80*INDEX(MotorHome_Rating_Factor_Liability,,4))</f>
        <v>0</v>
      </c>
      <c r="G82" s="102">
        <f>(G80*INDEX(MotorHome_Rating_Factor_Liability,,5))</f>
        <v>0</v>
      </c>
      <c r="H82" s="102">
        <f>(H80*INDEX(MotorHome_Rating_Factor_Liability,,6))</f>
        <v>0</v>
      </c>
      <c r="I82" s="1"/>
    </row>
    <row r="83" spans="2:9" s="102" customFormat="1" ht="12.75">
      <c r="B83" s="108"/>
      <c r="I83" s="1"/>
    </row>
    <row r="84" spans="1:9" s="102" customFormat="1" ht="12.75">
      <c r="A84" s="106" t="s">
        <v>1484</v>
      </c>
      <c r="B84" s="102" t="s">
        <v>1255</v>
      </c>
      <c r="C84" s="102">
        <f aca="true" t="shared" si="37" ref="C84:H84">C82-(C82*Valued_Customer_Discount_Factor)</f>
        <v>0</v>
      </c>
      <c r="D84" s="102">
        <f t="shared" si="37"/>
        <v>0</v>
      </c>
      <c r="E84" s="102">
        <f t="shared" si="37"/>
        <v>0</v>
      </c>
      <c r="F84" s="102">
        <f t="shared" si="37"/>
        <v>0</v>
      </c>
      <c r="G84" s="102">
        <f t="shared" si="37"/>
        <v>0</v>
      </c>
      <c r="H84" s="102">
        <f t="shared" si="37"/>
        <v>0</v>
      </c>
      <c r="I84" s="1"/>
    </row>
    <row r="85" spans="1:9" s="102" customFormat="1" ht="12.75">
      <c r="A85" s="106"/>
      <c r="B85" s="102" t="s">
        <v>1257</v>
      </c>
      <c r="C85" s="102">
        <f aca="true" t="shared" si="38" ref="C85:H85">C84*Policy_Period_Factor</f>
        <v>0</v>
      </c>
      <c r="D85" s="102">
        <f t="shared" si="38"/>
        <v>0</v>
      </c>
      <c r="E85" s="102">
        <f t="shared" si="38"/>
        <v>0</v>
      </c>
      <c r="F85" s="102">
        <f t="shared" si="38"/>
        <v>0</v>
      </c>
      <c r="G85" s="102">
        <f t="shared" si="38"/>
        <v>0</v>
      </c>
      <c r="H85" s="102">
        <f t="shared" si="38"/>
        <v>0</v>
      </c>
      <c r="I85" s="1"/>
    </row>
    <row r="86" spans="1:9" s="102" customFormat="1" ht="12.75">
      <c r="A86" s="106"/>
      <c r="B86" s="102" t="s">
        <v>1258</v>
      </c>
      <c r="C86" s="102">
        <f aca="true" t="shared" si="39" ref="C86:H86">C85-(C85*Fampak_Discount_Factor)</f>
        <v>0</v>
      </c>
      <c r="D86" s="102">
        <f t="shared" si="39"/>
        <v>0</v>
      </c>
      <c r="E86" s="102">
        <f t="shared" si="39"/>
        <v>0</v>
      </c>
      <c r="F86" s="102">
        <f t="shared" si="39"/>
        <v>0</v>
      </c>
      <c r="G86" s="102">
        <f t="shared" si="39"/>
        <v>0</v>
      </c>
      <c r="H86" s="102">
        <f t="shared" si="39"/>
        <v>0</v>
      </c>
      <c r="I86" s="1"/>
    </row>
    <row r="87" spans="1:9" s="102" customFormat="1" ht="12.75">
      <c r="A87" s="106"/>
      <c r="B87" s="112" t="s">
        <v>1259</v>
      </c>
      <c r="C87" s="102">
        <f aca="true" t="shared" si="40" ref="C87:H87">C86-(C86*Prime_Life_Discount_Factor)</f>
        <v>0</v>
      </c>
      <c r="D87" s="102">
        <f t="shared" si="40"/>
        <v>0</v>
      </c>
      <c r="E87" s="102">
        <f t="shared" si="40"/>
        <v>0</v>
      </c>
      <c r="F87" s="102">
        <f t="shared" si="40"/>
        <v>0</v>
      </c>
      <c r="G87" s="102">
        <f t="shared" si="40"/>
        <v>0</v>
      </c>
      <c r="H87" s="102">
        <f t="shared" si="40"/>
        <v>0</v>
      </c>
      <c r="I87" s="1"/>
    </row>
    <row r="88" spans="1:9" s="102" customFormat="1" ht="12.75">
      <c r="A88" s="106"/>
      <c r="B88" s="102" t="s">
        <v>1261</v>
      </c>
      <c r="C88" s="102">
        <f aca="true" t="shared" si="41" ref="C88:H88">IF(Insured_State="PA",Tort_Factor_Miscellaneous,1)</f>
        <v>1</v>
      </c>
      <c r="D88" s="102">
        <f t="shared" si="41"/>
        <v>1</v>
      </c>
      <c r="E88" s="102">
        <f t="shared" si="41"/>
        <v>1</v>
      </c>
      <c r="F88" s="102">
        <f t="shared" si="41"/>
        <v>1</v>
      </c>
      <c r="G88" s="102">
        <f t="shared" si="41"/>
        <v>1</v>
      </c>
      <c r="H88" s="102">
        <f t="shared" si="41"/>
        <v>1</v>
      </c>
      <c r="I88" s="1"/>
    </row>
    <row r="89" spans="1:9" s="102" customFormat="1" ht="12.75">
      <c r="A89" s="106"/>
      <c r="B89" s="102" t="s">
        <v>1262</v>
      </c>
      <c r="C89" s="102">
        <f aca="true" t="shared" si="42" ref="C89:H89">C87*C88</f>
        <v>0</v>
      </c>
      <c r="D89" s="102">
        <f t="shared" si="42"/>
        <v>0</v>
      </c>
      <c r="E89" s="102">
        <f t="shared" si="42"/>
        <v>0</v>
      </c>
      <c r="F89" s="102">
        <f t="shared" si="42"/>
        <v>0</v>
      </c>
      <c r="G89" s="102">
        <f t="shared" si="42"/>
        <v>0</v>
      </c>
      <c r="H89" s="102">
        <f t="shared" si="42"/>
        <v>0</v>
      </c>
      <c r="I89" s="1"/>
    </row>
    <row r="90" spans="1:9" s="102" customFormat="1" ht="12.75">
      <c r="A90" s="106"/>
      <c r="B90" s="112" t="s">
        <v>1263</v>
      </c>
      <c r="C90" s="102">
        <f>C89-(C89*INDEX(Mass_Merchandise_Factor,,1))</f>
        <v>0</v>
      </c>
      <c r="D90" s="102">
        <f>D89-(D89*INDEX(Mass_Merchandise_Factor,,2))</f>
        <v>0</v>
      </c>
      <c r="E90" s="102">
        <f>E89-(E89*INDEX(Mass_Merchandise_Factor,,3))</f>
        <v>0</v>
      </c>
      <c r="F90" s="102">
        <f>F89-(F89*INDEX(Mass_Merchandise_Factor,,4))</f>
        <v>0</v>
      </c>
      <c r="G90" s="102">
        <f>G89-(G89*INDEX(Mass_Merchandise_Factor,,5))</f>
        <v>0</v>
      </c>
      <c r="H90" s="102">
        <f>H89-(H89*INDEX(Mass_Merchandise_Factor,,6))</f>
        <v>0</v>
      </c>
      <c r="I90" s="1"/>
    </row>
    <row r="91" spans="1:9" s="102" customFormat="1" ht="12.75">
      <c r="A91" s="106"/>
      <c r="B91" s="112" t="s">
        <v>1264</v>
      </c>
      <c r="C91" s="102">
        <f aca="true" t="shared" si="43" ref="C91:H91">C90-(C90*IN_Standard_Agent_Commission_Factor)</f>
        <v>0</v>
      </c>
      <c r="D91" s="102">
        <f t="shared" si="43"/>
        <v>0</v>
      </c>
      <c r="E91" s="102">
        <f t="shared" si="43"/>
        <v>0</v>
      </c>
      <c r="F91" s="102">
        <f t="shared" si="43"/>
        <v>0</v>
      </c>
      <c r="G91" s="102">
        <f t="shared" si="43"/>
        <v>0</v>
      </c>
      <c r="H91" s="102">
        <f t="shared" si="43"/>
        <v>0</v>
      </c>
      <c r="I91" s="1"/>
    </row>
    <row r="92" spans="1:9" s="102" customFormat="1" ht="12.75">
      <c r="A92" s="106"/>
      <c r="B92" s="112" t="s">
        <v>1266</v>
      </c>
      <c r="C92" s="102">
        <f aca="true" t="shared" si="44" ref="C92:H92">C91</f>
        <v>0</v>
      </c>
      <c r="D92" s="102">
        <f t="shared" si="44"/>
        <v>0</v>
      </c>
      <c r="E92" s="102">
        <f t="shared" si="44"/>
        <v>0</v>
      </c>
      <c r="F92" s="102">
        <f t="shared" si="44"/>
        <v>0</v>
      </c>
      <c r="G92" s="102">
        <f t="shared" si="44"/>
        <v>0</v>
      </c>
      <c r="H92" s="102">
        <f t="shared" si="44"/>
        <v>0</v>
      </c>
      <c r="I92" s="1"/>
    </row>
    <row r="93" s="102" customFormat="1" ht="12.75">
      <c r="I93" s="1"/>
    </row>
    <row r="94" spans="1:9" s="31" customFormat="1" ht="12.75">
      <c r="A94" s="106"/>
      <c r="B94" s="106" t="s">
        <v>1505</v>
      </c>
      <c r="C94" s="106">
        <f aca="true" t="shared" si="45" ref="C94:H94">C92</f>
        <v>0</v>
      </c>
      <c r="D94" s="106">
        <f t="shared" si="45"/>
        <v>0</v>
      </c>
      <c r="E94" s="106">
        <f t="shared" si="45"/>
        <v>0</v>
      </c>
      <c r="F94" s="106">
        <f t="shared" si="45"/>
        <v>0</v>
      </c>
      <c r="G94" s="106">
        <f t="shared" si="45"/>
        <v>0</v>
      </c>
      <c r="H94" s="106">
        <f t="shared" si="45"/>
        <v>0</v>
      </c>
      <c r="I94" s="6"/>
    </row>
    <row r="95" spans="1:9" ht="12.75">
      <c r="A95" s="106"/>
      <c r="B95" s="102"/>
      <c r="C95" s="102"/>
      <c r="D95" s="102"/>
      <c r="E95" s="102"/>
      <c r="F95" s="102"/>
      <c r="G95" s="102"/>
      <c r="H95" s="102"/>
      <c r="I95" s="1"/>
    </row>
    <row r="96" spans="1:9" ht="12.75">
      <c r="A96" s="106" t="s">
        <v>1312</v>
      </c>
      <c r="B96" s="102" t="s">
        <v>1506</v>
      </c>
      <c r="C96" s="102">
        <f>INDEX(COMP_Base_Rate,,1)</f>
        <v>0</v>
      </c>
      <c r="D96" s="102">
        <f>INDEX(COMP_Base_Rate,,2)</f>
        <v>0</v>
      </c>
      <c r="E96" s="102">
        <f>INDEX(COMP_Base_Rate,,3)</f>
        <v>0</v>
      </c>
      <c r="F96" s="102">
        <f>INDEX(COMP_Base_Rate,,4)</f>
        <v>0</v>
      </c>
      <c r="G96" s="102">
        <f>INDEX(COMP_Base_Rate,,5)</f>
        <v>0</v>
      </c>
      <c r="H96" s="102">
        <f>INDEX(COMP_Base_Rate,,6)</f>
        <v>0</v>
      </c>
      <c r="I96" s="1"/>
    </row>
    <row r="97" spans="1:9" ht="12.75">
      <c r="A97" s="106"/>
      <c r="B97" s="102"/>
      <c r="C97" s="102"/>
      <c r="D97" s="102"/>
      <c r="E97" s="102"/>
      <c r="F97" s="102"/>
      <c r="G97" s="102"/>
      <c r="H97" s="102"/>
      <c r="I97" s="1"/>
    </row>
    <row r="98" spans="1:9" ht="12.75">
      <c r="A98" s="106" t="s">
        <v>1507</v>
      </c>
      <c r="B98" s="102" t="s">
        <v>1353</v>
      </c>
      <c r="C98" s="102">
        <f>INDEX(COMP_Vehicle_Symbol_Factor,,1)</f>
        <v>0</v>
      </c>
      <c r="D98" s="102">
        <f>INDEX(COMP_Vehicle_Symbol_Factor,,2)</f>
        <v>0</v>
      </c>
      <c r="E98" s="102">
        <f>INDEX(COMP_Vehicle_Symbol_Factor,,3)</f>
        <v>0</v>
      </c>
      <c r="F98" s="102">
        <f>INDEX(COMP_Vehicle_Symbol_Factor,,4)</f>
        <v>0</v>
      </c>
      <c r="G98" s="102">
        <f>INDEX(COMP_Vehicle_Symbol_Factor,,5)</f>
        <v>0</v>
      </c>
      <c r="H98" s="102">
        <f>INDEX(COMP_Vehicle_Symbol_Factor,,6)</f>
        <v>0</v>
      </c>
      <c r="I98" s="1"/>
    </row>
    <row r="99" spans="1:9" ht="12.75">
      <c r="A99" s="102"/>
      <c r="B99" s="109"/>
      <c r="C99" s="102"/>
      <c r="D99" s="102"/>
      <c r="E99" s="102"/>
      <c r="F99" s="102"/>
      <c r="G99" s="102"/>
      <c r="H99" s="102"/>
      <c r="I99" s="1"/>
    </row>
    <row r="100" spans="1:9" ht="12.75">
      <c r="A100" s="106" t="s">
        <v>1508</v>
      </c>
      <c r="B100" s="102" t="s">
        <v>1355</v>
      </c>
      <c r="C100" s="102">
        <f>INDEX(COMP_Age_Factor,,1)</f>
        <v>0</v>
      </c>
      <c r="D100" s="102">
        <f>INDEX(COMP_Age_Factor,,2)</f>
        <v>0</v>
      </c>
      <c r="E100" s="102">
        <f>INDEX(COMP_Age_Factor,,3)</f>
        <v>0</v>
      </c>
      <c r="F100" s="102">
        <f>INDEX(COMP_Age_Factor,,4)</f>
        <v>0</v>
      </c>
      <c r="G100" s="102">
        <f>INDEX(COMP_Age_Factor,,5)</f>
        <v>0</v>
      </c>
      <c r="H100" s="102">
        <f>INDEX(COMP_Age_Factor,,6)</f>
        <v>0</v>
      </c>
      <c r="I100" s="1"/>
    </row>
    <row r="101" spans="1:9" ht="12.75">
      <c r="A101" s="102"/>
      <c r="B101" s="102"/>
      <c r="C101" s="102"/>
      <c r="D101" s="102"/>
      <c r="E101" s="102"/>
      <c r="F101" s="102"/>
      <c r="G101" s="102"/>
      <c r="H101" s="102"/>
      <c r="I101" s="1"/>
    </row>
    <row r="102" spans="1:9" ht="12.75">
      <c r="A102" s="106" t="s">
        <v>1509</v>
      </c>
      <c r="B102" s="108" t="s">
        <v>1357</v>
      </c>
      <c r="C102" s="102">
        <f>INDEX(COMP_Deductible_Factor,,1)</f>
        <v>0</v>
      </c>
      <c r="D102" s="102">
        <f>INDEX(COMP_Deductible_Factor,,2)</f>
        <v>0</v>
      </c>
      <c r="E102" s="102">
        <f>INDEX(COMP_Deductible_Factor,,3)</f>
        <v>0</v>
      </c>
      <c r="F102" s="102">
        <f>INDEX(COMP_Deductible_Factor,,4)</f>
        <v>0</v>
      </c>
      <c r="G102" s="102">
        <f>INDEX(COMP_Deductible_Factor,,5)</f>
        <v>0</v>
      </c>
      <c r="H102" s="102">
        <f>INDEX(COMP_Deductible_Factor,,6)</f>
        <v>0</v>
      </c>
      <c r="I102" s="1"/>
    </row>
    <row r="103" spans="1:9" ht="12.75">
      <c r="A103" s="106"/>
      <c r="B103" s="108"/>
      <c r="C103" s="102"/>
      <c r="D103" s="102"/>
      <c r="E103" s="102"/>
      <c r="F103" s="102"/>
      <c r="G103" s="102"/>
      <c r="H103" s="102"/>
      <c r="I103" s="1"/>
    </row>
    <row r="104" spans="1:9" ht="12.75">
      <c r="A104" s="106" t="s">
        <v>1510</v>
      </c>
      <c r="B104" s="102" t="s">
        <v>1361</v>
      </c>
      <c r="C104" s="102">
        <f aca="true" t="shared" si="46" ref="C104:H104">(C96*C98*C100*C102)</f>
        <v>0</v>
      </c>
      <c r="D104" s="102">
        <f t="shared" si="46"/>
        <v>0</v>
      </c>
      <c r="E104" s="102">
        <f t="shared" si="46"/>
        <v>0</v>
      </c>
      <c r="F104" s="102">
        <f t="shared" si="46"/>
        <v>0</v>
      </c>
      <c r="G104" s="102">
        <f t="shared" si="46"/>
        <v>0</v>
      </c>
      <c r="H104" s="102">
        <f t="shared" si="46"/>
        <v>0</v>
      </c>
      <c r="I104" s="1"/>
    </row>
    <row r="105" spans="1:9" ht="12.75">
      <c r="A105" s="102"/>
      <c r="B105" s="102"/>
      <c r="C105" s="102"/>
      <c r="D105" s="102"/>
      <c r="E105" s="102"/>
      <c r="F105" s="102"/>
      <c r="G105" s="102"/>
      <c r="H105" s="102"/>
      <c r="I105" s="1"/>
    </row>
    <row r="106" spans="1:9" ht="12.75">
      <c r="A106" s="106" t="s">
        <v>1511</v>
      </c>
      <c r="B106" s="102" t="s">
        <v>1512</v>
      </c>
      <c r="C106" s="102">
        <f aca="true" t="shared" si="47" ref="C106:H106">C104*IF(Insured_State="NC",Company_Deviation_Factor_NC,Company_Deviation_Factor_COMP)*Tier_Rating_Factor</f>
        <v>0</v>
      </c>
      <c r="D106" s="102">
        <f t="shared" si="47"/>
        <v>0</v>
      </c>
      <c r="E106" s="102">
        <f t="shared" si="47"/>
        <v>0</v>
      </c>
      <c r="F106" s="102">
        <f t="shared" si="47"/>
        <v>0</v>
      </c>
      <c r="G106" s="102">
        <f t="shared" si="47"/>
        <v>0</v>
      </c>
      <c r="H106" s="102">
        <f t="shared" si="47"/>
        <v>0</v>
      </c>
      <c r="I106" s="1"/>
    </row>
    <row r="107" spans="1:9" ht="12.75">
      <c r="A107" s="102"/>
      <c r="B107" s="102"/>
      <c r="C107" s="102"/>
      <c r="D107" s="102"/>
      <c r="E107" s="102"/>
      <c r="F107" s="102"/>
      <c r="G107" s="102"/>
      <c r="H107" s="102"/>
      <c r="I107" s="1"/>
    </row>
    <row r="108" spans="1:9" s="102" customFormat="1" ht="12.75">
      <c r="A108" s="106" t="s">
        <v>1513</v>
      </c>
      <c r="B108" s="108" t="s">
        <v>1514</v>
      </c>
      <c r="C108" s="102">
        <f>(C106*INDEX(MotorHome_Rating_Factor_COMP,,1))</f>
        <v>0</v>
      </c>
      <c r="D108" s="102">
        <f>(D106*INDEX(MotorHome_Rating_Factor_COMP,,2))</f>
        <v>0</v>
      </c>
      <c r="E108" s="102">
        <f>(E106*INDEX(MotorHome_Rating_Factor_COMP,,3))</f>
        <v>0</v>
      </c>
      <c r="F108" s="102">
        <f>(F106*INDEX(MotorHome_Rating_Factor_COMP,,4))</f>
        <v>0</v>
      </c>
      <c r="G108" s="102">
        <f>(G106*INDEX(MotorHome_Rating_Factor_COMP,,5))</f>
        <v>0</v>
      </c>
      <c r="H108" s="102">
        <f>(H106*INDEX(MotorHome_Rating_Factor_COMP,,6))</f>
        <v>0</v>
      </c>
      <c r="I108" s="1"/>
    </row>
    <row r="109" spans="1:9" ht="12.75">
      <c r="A109" s="102"/>
      <c r="B109" s="102"/>
      <c r="C109" s="102"/>
      <c r="D109" s="102"/>
      <c r="E109" s="102"/>
      <c r="F109" s="102"/>
      <c r="G109" s="102"/>
      <c r="H109" s="102"/>
      <c r="I109" s="1"/>
    </row>
    <row r="110" spans="1:9" s="102" customFormat="1" ht="12.75">
      <c r="A110" s="106" t="s">
        <v>1515</v>
      </c>
      <c r="B110" s="102" t="s">
        <v>1255</v>
      </c>
      <c r="C110" s="102">
        <f aca="true" t="shared" si="48" ref="C110:H110">C108-(C108*Valued_Customer_Discount_Factor)</f>
        <v>0</v>
      </c>
      <c r="D110" s="102">
        <f t="shared" si="48"/>
        <v>0</v>
      </c>
      <c r="E110" s="102">
        <f t="shared" si="48"/>
        <v>0</v>
      </c>
      <c r="F110" s="102">
        <f t="shared" si="48"/>
        <v>0</v>
      </c>
      <c r="G110" s="102">
        <f t="shared" si="48"/>
        <v>0</v>
      </c>
      <c r="H110" s="102">
        <f t="shared" si="48"/>
        <v>0</v>
      </c>
      <c r="I110" s="1"/>
    </row>
    <row r="111" spans="1:9" s="102" customFormat="1" ht="12.75">
      <c r="A111" s="106"/>
      <c r="B111" s="102" t="s">
        <v>1258</v>
      </c>
      <c r="C111" s="102">
        <f aca="true" t="shared" si="49" ref="C111:H111">C110-(C110*Fampak_Discount_Factor)</f>
        <v>0</v>
      </c>
      <c r="D111" s="102">
        <f t="shared" si="49"/>
        <v>0</v>
      </c>
      <c r="E111" s="102">
        <f t="shared" si="49"/>
        <v>0</v>
      </c>
      <c r="F111" s="102">
        <f t="shared" si="49"/>
        <v>0</v>
      </c>
      <c r="G111" s="102">
        <f t="shared" si="49"/>
        <v>0</v>
      </c>
      <c r="H111" s="102">
        <f t="shared" si="49"/>
        <v>0</v>
      </c>
      <c r="I111" s="1"/>
    </row>
    <row r="112" spans="1:9" s="102" customFormat="1" ht="12.75">
      <c r="A112" s="106"/>
      <c r="B112" s="112" t="s">
        <v>1259</v>
      </c>
      <c r="C112" s="102">
        <f aca="true" t="shared" si="50" ref="C112:H112">C111-(C111*Prime_Life_Discount_Factor)</f>
        <v>0</v>
      </c>
      <c r="D112" s="102">
        <f t="shared" si="50"/>
        <v>0</v>
      </c>
      <c r="E112" s="102">
        <f t="shared" si="50"/>
        <v>0</v>
      </c>
      <c r="F112" s="102">
        <f t="shared" si="50"/>
        <v>0</v>
      </c>
      <c r="G112" s="102">
        <f t="shared" si="50"/>
        <v>0</v>
      </c>
      <c r="H112" s="102">
        <f t="shared" si="50"/>
        <v>0</v>
      </c>
      <c r="I112" s="1"/>
    </row>
    <row r="113" spans="1:9" s="102" customFormat="1" ht="12.75">
      <c r="A113" s="106"/>
      <c r="B113" s="102" t="s">
        <v>1261</v>
      </c>
      <c r="C113" s="102">
        <f aca="true" t="shared" si="51" ref="C113:H113">IF(Insured_State="PA",Tort_Factor_Miscellaneous,1)</f>
        <v>1</v>
      </c>
      <c r="D113" s="102">
        <f t="shared" si="51"/>
        <v>1</v>
      </c>
      <c r="E113" s="102">
        <f t="shared" si="51"/>
        <v>1</v>
      </c>
      <c r="F113" s="102">
        <f t="shared" si="51"/>
        <v>1</v>
      </c>
      <c r="G113" s="102">
        <f t="shared" si="51"/>
        <v>1</v>
      </c>
      <c r="H113" s="102">
        <f t="shared" si="51"/>
        <v>1</v>
      </c>
      <c r="I113" s="1"/>
    </row>
    <row r="114" spans="1:9" s="102" customFormat="1" ht="12.75">
      <c r="A114" s="106"/>
      <c r="B114" s="102" t="s">
        <v>1262</v>
      </c>
      <c r="C114" s="102">
        <f aca="true" t="shared" si="52" ref="C114:H114">C112*C113</f>
        <v>0</v>
      </c>
      <c r="D114" s="102">
        <f t="shared" si="52"/>
        <v>0</v>
      </c>
      <c r="E114" s="102">
        <f t="shared" si="52"/>
        <v>0</v>
      </c>
      <c r="F114" s="102">
        <f t="shared" si="52"/>
        <v>0</v>
      </c>
      <c r="G114" s="102">
        <f t="shared" si="52"/>
        <v>0</v>
      </c>
      <c r="H114" s="102">
        <f t="shared" si="52"/>
        <v>0</v>
      </c>
      <c r="I114" s="1"/>
    </row>
    <row r="115" spans="1:9" s="102" customFormat="1" ht="12.75">
      <c r="A115" s="106"/>
      <c r="B115" s="112" t="s">
        <v>1263</v>
      </c>
      <c r="C115" s="102">
        <f>C114-(C114*INDEX(Mass_Merchandise_Factor,,1))</f>
        <v>0</v>
      </c>
      <c r="D115" s="102">
        <f>D114-(D114*INDEX(Mass_Merchandise_Factor,,2))</f>
        <v>0</v>
      </c>
      <c r="E115" s="102">
        <f>E114-(E114*INDEX(Mass_Merchandise_Factor,,3))</f>
        <v>0</v>
      </c>
      <c r="F115" s="102">
        <f>F114-(F114*INDEX(Mass_Merchandise_Factor,,4))</f>
        <v>0</v>
      </c>
      <c r="G115" s="102">
        <f>G114-(G114*INDEX(Mass_Merchandise_Factor,,5))</f>
        <v>0</v>
      </c>
      <c r="H115" s="102">
        <f>H114-(H114*INDEX(Mass_Merchandise_Factor,,6))</f>
        <v>0</v>
      </c>
      <c r="I115" s="1"/>
    </row>
    <row r="116" spans="1:9" s="102" customFormat="1" ht="12.75">
      <c r="A116" s="106"/>
      <c r="B116" s="112" t="s">
        <v>1264</v>
      </c>
      <c r="C116" s="102">
        <f aca="true" t="shared" si="53" ref="C116:H116">C115-(C115*IN_Standard_Agent_Commission_Factor)</f>
        <v>0</v>
      </c>
      <c r="D116" s="102">
        <f t="shared" si="53"/>
        <v>0</v>
      </c>
      <c r="E116" s="102">
        <f t="shared" si="53"/>
        <v>0</v>
      </c>
      <c r="F116" s="102">
        <f t="shared" si="53"/>
        <v>0</v>
      </c>
      <c r="G116" s="102">
        <f t="shared" si="53"/>
        <v>0</v>
      </c>
      <c r="H116" s="102">
        <f t="shared" si="53"/>
        <v>0</v>
      </c>
      <c r="I116" s="1"/>
    </row>
    <row r="117" spans="1:9" s="102" customFormat="1" ht="12.75">
      <c r="A117" s="106" t="s">
        <v>1516</v>
      </c>
      <c r="B117" s="112" t="s">
        <v>1266</v>
      </c>
      <c r="C117" s="102">
        <f aca="true" t="shared" si="54" ref="C117:H117">C116</f>
        <v>0</v>
      </c>
      <c r="D117" s="102">
        <f t="shared" si="54"/>
        <v>0</v>
      </c>
      <c r="E117" s="102">
        <f t="shared" si="54"/>
        <v>0</v>
      </c>
      <c r="F117" s="102">
        <f t="shared" si="54"/>
        <v>0</v>
      </c>
      <c r="G117" s="102">
        <f t="shared" si="54"/>
        <v>0</v>
      </c>
      <c r="H117" s="102">
        <f t="shared" si="54"/>
        <v>0</v>
      </c>
      <c r="I117" s="1"/>
    </row>
    <row r="118" s="102" customFormat="1" ht="12.75">
      <c r="I118" s="1"/>
    </row>
    <row r="119" spans="1:9" s="31" customFormat="1" ht="12.75">
      <c r="A119" s="106"/>
      <c r="B119" s="106" t="s">
        <v>1517</v>
      </c>
      <c r="C119" s="106">
        <f aca="true" t="shared" si="55" ref="C119:H119">C117</f>
        <v>0</v>
      </c>
      <c r="D119" s="106">
        <f t="shared" si="55"/>
        <v>0</v>
      </c>
      <c r="E119" s="106">
        <f t="shared" si="55"/>
        <v>0</v>
      </c>
      <c r="F119" s="106">
        <f t="shared" si="55"/>
        <v>0</v>
      </c>
      <c r="G119" s="106">
        <f t="shared" si="55"/>
        <v>0</v>
      </c>
      <c r="H119" s="106">
        <f t="shared" si="55"/>
        <v>0</v>
      </c>
      <c r="I119" s="6"/>
    </row>
    <row r="120" spans="1:9" s="31" customFormat="1" ht="12.75">
      <c r="A120" s="106"/>
      <c r="B120" s="106"/>
      <c r="C120" s="106"/>
      <c r="D120" s="106"/>
      <c r="E120" s="106"/>
      <c r="F120" s="106"/>
      <c r="G120" s="106"/>
      <c r="H120" s="106"/>
      <c r="I120" s="6"/>
    </row>
    <row r="121" spans="1:9" ht="12.75">
      <c r="A121" s="106" t="s">
        <v>1518</v>
      </c>
      <c r="B121" s="102" t="s">
        <v>1519</v>
      </c>
      <c r="C121" s="102">
        <f>INDEX(COLL_Base_Rate,1,1)*(IF(INDEX(Use_of_Vehicle,,1)="PL",0.35,1))</f>
        <v>0</v>
      </c>
      <c r="D121" s="102">
        <f>INDEX(COLL_Base_Rate,1,2)*(IF(INDEX(Use_of_Vehicle,,2)="PL",0.35,1))</f>
        <v>0</v>
      </c>
      <c r="E121" s="102">
        <f>INDEX(COLL_Base_Rate,1,3)*(IF(INDEX(Use_of_Vehicle,,3)="PL",0.35,1))</f>
        <v>0</v>
      </c>
      <c r="F121" s="102">
        <f>INDEX(COLL_Base_Rate,1,4)*(IF(INDEX(Use_of_Vehicle,,4)="PL",0.35,1))</f>
        <v>0</v>
      </c>
      <c r="G121" s="102">
        <f>INDEX(COLL_Base_Rate,1,5)*(IF(INDEX(Use_of_Vehicle,,5)="PL",0.35,1))</f>
        <v>0</v>
      </c>
      <c r="H121" s="102">
        <f>INDEX(COLL_Base_Rate,1,6)*(IF(INDEX(Use_of_Vehicle,,6)="PL",0.35,1))</f>
        <v>0</v>
      </c>
      <c r="I121" s="1"/>
    </row>
    <row r="122" spans="1:9" ht="12.75">
      <c r="A122" s="106"/>
      <c r="B122" s="102"/>
      <c r="C122" s="102"/>
      <c r="D122" s="102"/>
      <c r="E122" s="102"/>
      <c r="F122" s="102"/>
      <c r="G122" s="102"/>
      <c r="H122" s="102"/>
      <c r="I122" s="1"/>
    </row>
    <row r="123" spans="1:9" ht="12.75">
      <c r="A123" s="106" t="s">
        <v>1520</v>
      </c>
      <c r="B123" s="102" t="s">
        <v>1353</v>
      </c>
      <c r="C123" s="102">
        <f>INDEX(COLL_Vehicle_Symbol_Factor,,1)</f>
        <v>0</v>
      </c>
      <c r="D123" s="102">
        <f>INDEX(COLL_Vehicle_Symbol_Factor,,2)</f>
        <v>0</v>
      </c>
      <c r="E123" s="102">
        <f>INDEX(COLL_Vehicle_Symbol_Factor,,3)</f>
        <v>0</v>
      </c>
      <c r="F123" s="102">
        <f>INDEX(COLL_Vehicle_Symbol_Factor,,4)</f>
        <v>0</v>
      </c>
      <c r="G123" s="102">
        <f>INDEX(COLL_Vehicle_Symbol_Factor,,5)</f>
        <v>0</v>
      </c>
      <c r="H123" s="102">
        <f>INDEX(COLL_Vehicle_Symbol_Factor,,6)</f>
        <v>0</v>
      </c>
      <c r="I123" s="1"/>
    </row>
    <row r="124" spans="1:9" ht="12.75">
      <c r="A124" s="102"/>
      <c r="B124" s="109"/>
      <c r="C124" s="102"/>
      <c r="D124" s="102"/>
      <c r="E124" s="102"/>
      <c r="F124" s="102"/>
      <c r="G124" s="102"/>
      <c r="H124" s="102"/>
      <c r="I124" s="1"/>
    </row>
    <row r="125" spans="1:9" ht="12.75">
      <c r="A125" s="106" t="s">
        <v>1521</v>
      </c>
      <c r="B125" s="102" t="s">
        <v>1355</v>
      </c>
      <c r="C125" s="102">
        <f>INDEX(COLL_Age_Factor,,1)</f>
        <v>0</v>
      </c>
      <c r="D125" s="102">
        <f>INDEX(COLL_Age_Factor,,2)</f>
        <v>0</v>
      </c>
      <c r="E125" s="102">
        <f>INDEX(COLL_Age_Factor,,3)</f>
        <v>0</v>
      </c>
      <c r="F125" s="102">
        <f>INDEX(COLL_Age_Factor,,4)</f>
        <v>0</v>
      </c>
      <c r="G125" s="102">
        <f>INDEX(COLL_Age_Factor,,5)</f>
        <v>0</v>
      </c>
      <c r="H125" s="102">
        <f>INDEX(COLL_Age_Factor,,6)</f>
        <v>0</v>
      </c>
      <c r="I125" s="1"/>
    </row>
    <row r="126" spans="1:9" ht="12.75">
      <c r="A126" s="102"/>
      <c r="B126" s="102"/>
      <c r="C126" s="102"/>
      <c r="D126" s="102"/>
      <c r="E126" s="102"/>
      <c r="F126" s="102"/>
      <c r="G126" s="102"/>
      <c r="H126" s="102"/>
      <c r="I126" s="1"/>
    </row>
    <row r="127" spans="1:9" ht="12.75">
      <c r="A127" s="106" t="s">
        <v>1522</v>
      </c>
      <c r="B127" s="108" t="s">
        <v>1357</v>
      </c>
      <c r="C127" s="102">
        <f>INDEX(COLL_Deductible_Factor,,1)</f>
        <v>0</v>
      </c>
      <c r="D127" s="102">
        <f>INDEX(COLL_Deductible_Factor,,2)</f>
        <v>0</v>
      </c>
      <c r="E127" s="102">
        <f>INDEX(COLL_Deductible_Factor,,3)</f>
        <v>0</v>
      </c>
      <c r="F127" s="102">
        <f>INDEX(COLL_Deductible_Factor,,4)</f>
        <v>0</v>
      </c>
      <c r="G127" s="102">
        <f>INDEX(COLL_Deductible_Factor,,5)</f>
        <v>0</v>
      </c>
      <c r="H127" s="102">
        <f>INDEX(COLL_Deductible_Factor,,6)</f>
        <v>0</v>
      </c>
      <c r="I127" s="1"/>
    </row>
    <row r="128" spans="1:9" ht="12.75">
      <c r="A128" s="106"/>
      <c r="B128" s="108"/>
      <c r="C128" s="102"/>
      <c r="D128" s="102"/>
      <c r="E128" s="102"/>
      <c r="F128" s="102"/>
      <c r="G128" s="102"/>
      <c r="H128" s="102"/>
      <c r="I128" s="1"/>
    </row>
    <row r="129" spans="1:9" ht="12.75">
      <c r="A129" s="106" t="s">
        <v>1523</v>
      </c>
      <c r="B129" s="102" t="s">
        <v>1361</v>
      </c>
      <c r="C129" s="102">
        <f aca="true" t="shared" si="56" ref="C129:H129">(C121*C123*C125*C127)</f>
        <v>0</v>
      </c>
      <c r="D129" s="102">
        <f t="shared" si="56"/>
        <v>0</v>
      </c>
      <c r="E129" s="102">
        <f t="shared" si="56"/>
        <v>0</v>
      </c>
      <c r="F129" s="102">
        <f t="shared" si="56"/>
        <v>0</v>
      </c>
      <c r="G129" s="102">
        <f t="shared" si="56"/>
        <v>0</v>
      </c>
      <c r="H129" s="102">
        <f t="shared" si="56"/>
        <v>0</v>
      </c>
      <c r="I129" s="1"/>
    </row>
    <row r="130" spans="1:9" ht="12.75">
      <c r="A130" s="106"/>
      <c r="B130" s="102"/>
      <c r="C130" s="102"/>
      <c r="D130" s="102"/>
      <c r="E130" s="102"/>
      <c r="F130" s="102"/>
      <c r="G130" s="102"/>
      <c r="H130" s="102"/>
      <c r="I130" s="1"/>
    </row>
    <row r="131" spans="1:9" ht="12.75">
      <c r="A131" s="106" t="s">
        <v>1524</v>
      </c>
      <c r="B131" s="102" t="s">
        <v>1525</v>
      </c>
      <c r="C131" s="102">
        <f aca="true" t="shared" si="57" ref="C131:H131">C129*IF(Insured_State="NC",Company_Deviation_Factor_NC,Company_Deviation_Factor_COLL)*Tier_Rating_Factor</f>
        <v>0</v>
      </c>
      <c r="D131" s="102">
        <f t="shared" si="57"/>
        <v>0</v>
      </c>
      <c r="E131" s="102">
        <f t="shared" si="57"/>
        <v>0</v>
      </c>
      <c r="F131" s="102">
        <f t="shared" si="57"/>
        <v>0</v>
      </c>
      <c r="G131" s="102">
        <f t="shared" si="57"/>
        <v>0</v>
      </c>
      <c r="H131" s="102">
        <f t="shared" si="57"/>
        <v>0</v>
      </c>
      <c r="I131" s="1"/>
    </row>
    <row r="132" spans="1:9" ht="12.75">
      <c r="A132" s="102"/>
      <c r="B132" s="102"/>
      <c r="C132" s="102"/>
      <c r="D132" s="102"/>
      <c r="E132" s="102"/>
      <c r="F132" s="102"/>
      <c r="G132" s="102"/>
      <c r="H132" s="102"/>
      <c r="I132" s="1"/>
    </row>
    <row r="133" spans="1:9" s="102" customFormat="1" ht="12.75">
      <c r="A133" s="106" t="s">
        <v>1526</v>
      </c>
      <c r="B133" s="108" t="s">
        <v>1527</v>
      </c>
      <c r="C133" s="102">
        <f>(C131*INDEX(MotorHome_Rating_Factor_COLL,,1))</f>
        <v>0</v>
      </c>
      <c r="D133" s="102">
        <f>(D131*INDEX(MotorHome_Rating_Factor_COLL,,2))</f>
        <v>0</v>
      </c>
      <c r="E133" s="102">
        <f>(E131*INDEX(MotorHome_Rating_Factor_COLL,,3))</f>
        <v>0</v>
      </c>
      <c r="F133" s="102">
        <f>(F131*INDEX(MotorHome_Rating_Factor_COLL,,4))</f>
        <v>0</v>
      </c>
      <c r="G133" s="102">
        <f>(G131*INDEX(MotorHome_Rating_Factor_COLL,,5))</f>
        <v>0</v>
      </c>
      <c r="H133" s="102">
        <f>(H131*INDEX(MotorHome_Rating_Factor_COLL,,6))</f>
        <v>0</v>
      </c>
      <c r="I133" s="1"/>
    </row>
    <row r="134" spans="1:9" ht="12.75">
      <c r="A134" s="102"/>
      <c r="B134" s="102"/>
      <c r="C134" s="102"/>
      <c r="D134" s="102"/>
      <c r="E134" s="102"/>
      <c r="F134" s="102"/>
      <c r="G134" s="102"/>
      <c r="H134" s="102"/>
      <c r="I134" s="1"/>
    </row>
    <row r="135" spans="1:9" s="102" customFormat="1" ht="12.75">
      <c r="A135" s="106" t="s">
        <v>1528</v>
      </c>
      <c r="B135" s="102" t="s">
        <v>1255</v>
      </c>
      <c r="C135" s="102">
        <f aca="true" t="shared" si="58" ref="C135:H135">C133-(C133*Valued_Customer_Discount_Factor)</f>
        <v>0</v>
      </c>
      <c r="D135" s="102">
        <f t="shared" si="58"/>
        <v>0</v>
      </c>
      <c r="E135" s="102">
        <f t="shared" si="58"/>
        <v>0</v>
      </c>
      <c r="F135" s="102">
        <f t="shared" si="58"/>
        <v>0</v>
      </c>
      <c r="G135" s="102">
        <f t="shared" si="58"/>
        <v>0</v>
      </c>
      <c r="H135" s="102">
        <f t="shared" si="58"/>
        <v>0</v>
      </c>
      <c r="I135" s="1"/>
    </row>
    <row r="136" spans="1:9" s="102" customFormat="1" ht="12.75">
      <c r="A136" s="106"/>
      <c r="B136" s="102" t="s">
        <v>1258</v>
      </c>
      <c r="C136" s="102">
        <f aca="true" t="shared" si="59" ref="C136:H136">C135-(C135*Fampak_Discount_Factor)</f>
        <v>0</v>
      </c>
      <c r="D136" s="102">
        <f t="shared" si="59"/>
        <v>0</v>
      </c>
      <c r="E136" s="102">
        <f t="shared" si="59"/>
        <v>0</v>
      </c>
      <c r="F136" s="102">
        <f t="shared" si="59"/>
        <v>0</v>
      </c>
      <c r="G136" s="102">
        <f t="shared" si="59"/>
        <v>0</v>
      </c>
      <c r="H136" s="102">
        <f t="shared" si="59"/>
        <v>0</v>
      </c>
      <c r="I136" s="1"/>
    </row>
    <row r="137" spans="1:9" s="102" customFormat="1" ht="12.75">
      <c r="A137" s="106"/>
      <c r="B137" s="112" t="s">
        <v>1259</v>
      </c>
      <c r="C137" s="102">
        <f aca="true" t="shared" si="60" ref="C137:H137">C136-(C136*Prime_Life_Discount_Factor)</f>
        <v>0</v>
      </c>
      <c r="D137" s="102">
        <f t="shared" si="60"/>
        <v>0</v>
      </c>
      <c r="E137" s="102">
        <f t="shared" si="60"/>
        <v>0</v>
      </c>
      <c r="F137" s="102">
        <f t="shared" si="60"/>
        <v>0</v>
      </c>
      <c r="G137" s="102">
        <f t="shared" si="60"/>
        <v>0</v>
      </c>
      <c r="H137" s="102">
        <f t="shared" si="60"/>
        <v>0</v>
      </c>
      <c r="I137" s="1"/>
    </row>
    <row r="138" spans="1:9" s="102" customFormat="1" ht="12.75">
      <c r="A138" s="106"/>
      <c r="B138" s="102" t="s">
        <v>1261</v>
      </c>
      <c r="C138" s="102">
        <f aca="true" t="shared" si="61" ref="C138:H138">IF(Insured_State="PA",Tort_Factor_Miscellaneous,1)</f>
        <v>1</v>
      </c>
      <c r="D138" s="102">
        <f t="shared" si="61"/>
        <v>1</v>
      </c>
      <c r="E138" s="102">
        <f t="shared" si="61"/>
        <v>1</v>
      </c>
      <c r="F138" s="102">
        <f t="shared" si="61"/>
        <v>1</v>
      </c>
      <c r="G138" s="102">
        <f t="shared" si="61"/>
        <v>1</v>
      </c>
      <c r="H138" s="102">
        <f t="shared" si="61"/>
        <v>1</v>
      </c>
      <c r="I138" s="1"/>
    </row>
    <row r="139" spans="1:9" s="102" customFormat="1" ht="12.75">
      <c r="A139" s="106"/>
      <c r="B139" s="102" t="s">
        <v>1262</v>
      </c>
      <c r="C139" s="102">
        <f aca="true" t="shared" si="62" ref="C139:H139">C137*C138</f>
        <v>0</v>
      </c>
      <c r="D139" s="102">
        <f t="shared" si="62"/>
        <v>0</v>
      </c>
      <c r="E139" s="102">
        <f t="shared" si="62"/>
        <v>0</v>
      </c>
      <c r="F139" s="102">
        <f t="shared" si="62"/>
        <v>0</v>
      </c>
      <c r="G139" s="102">
        <f t="shared" si="62"/>
        <v>0</v>
      </c>
      <c r="H139" s="102">
        <f t="shared" si="62"/>
        <v>0</v>
      </c>
      <c r="I139" s="1"/>
    </row>
    <row r="140" spans="1:9" s="102" customFormat="1" ht="12.75">
      <c r="A140" s="106"/>
      <c r="B140" s="112" t="s">
        <v>1263</v>
      </c>
      <c r="C140" s="102">
        <f>C139-(C139*INDEX(Mass_Merchandise_Factor,,1))</f>
        <v>0</v>
      </c>
      <c r="D140" s="102">
        <f>D139-(D139*INDEX(Mass_Merchandise_Factor,,2))</f>
        <v>0</v>
      </c>
      <c r="E140" s="102">
        <f>E139-(E139*INDEX(Mass_Merchandise_Factor,,3))</f>
        <v>0</v>
      </c>
      <c r="F140" s="102">
        <f>F139-(F139*INDEX(Mass_Merchandise_Factor,,4))</f>
        <v>0</v>
      </c>
      <c r="G140" s="102">
        <f>G139-(G139*INDEX(Mass_Merchandise_Factor,,5))</f>
        <v>0</v>
      </c>
      <c r="H140" s="102">
        <f>H139-(H139*INDEX(Mass_Merchandise_Factor,,6))</f>
        <v>0</v>
      </c>
      <c r="I140" s="1"/>
    </row>
    <row r="141" spans="1:9" s="102" customFormat="1" ht="12.75">
      <c r="A141" s="106"/>
      <c r="B141" s="112" t="s">
        <v>1264</v>
      </c>
      <c r="C141" s="102">
        <f aca="true" t="shared" si="63" ref="C141:H141">C140-(C140*IN_Standard_Agent_Commission_Factor)</f>
        <v>0</v>
      </c>
      <c r="D141" s="102">
        <f t="shared" si="63"/>
        <v>0</v>
      </c>
      <c r="E141" s="102">
        <f t="shared" si="63"/>
        <v>0</v>
      </c>
      <c r="F141" s="102">
        <f t="shared" si="63"/>
        <v>0</v>
      </c>
      <c r="G141" s="102">
        <f t="shared" si="63"/>
        <v>0</v>
      </c>
      <c r="H141" s="102">
        <f t="shared" si="63"/>
        <v>0</v>
      </c>
      <c r="I141" s="1"/>
    </row>
    <row r="142" spans="1:9" s="102" customFormat="1" ht="12.75">
      <c r="A142" s="106" t="s">
        <v>1529</v>
      </c>
      <c r="B142" s="112" t="s">
        <v>1266</v>
      </c>
      <c r="C142" s="102">
        <f aca="true" t="shared" si="64" ref="C142:H142">C141</f>
        <v>0</v>
      </c>
      <c r="D142" s="102">
        <f t="shared" si="64"/>
        <v>0</v>
      </c>
      <c r="E142" s="102">
        <f t="shared" si="64"/>
        <v>0</v>
      </c>
      <c r="F142" s="102">
        <f t="shared" si="64"/>
        <v>0</v>
      </c>
      <c r="G142" s="102">
        <f t="shared" si="64"/>
        <v>0</v>
      </c>
      <c r="H142" s="102">
        <f t="shared" si="64"/>
        <v>0</v>
      </c>
      <c r="I142" s="1"/>
    </row>
    <row r="143" s="102" customFormat="1" ht="12.75">
      <c r="I143" s="1"/>
    </row>
    <row r="144" spans="1:9" s="31" customFormat="1" ht="12.75">
      <c r="A144" s="106"/>
      <c r="B144" s="106" t="s">
        <v>1530</v>
      </c>
      <c r="C144" s="106">
        <f aca="true" t="shared" si="65" ref="C144:H144">C142</f>
        <v>0</v>
      </c>
      <c r="D144" s="106">
        <f t="shared" si="65"/>
        <v>0</v>
      </c>
      <c r="E144" s="106">
        <f t="shared" si="65"/>
        <v>0</v>
      </c>
      <c r="F144" s="106">
        <f t="shared" si="65"/>
        <v>0</v>
      </c>
      <c r="G144" s="106">
        <f t="shared" si="65"/>
        <v>0</v>
      </c>
      <c r="H144" s="106">
        <f t="shared" si="65"/>
        <v>0</v>
      </c>
      <c r="I144" s="6"/>
    </row>
    <row r="145" spans="1:9" s="31" customFormat="1" ht="12.75">
      <c r="A145" s="106"/>
      <c r="B145" s="106"/>
      <c r="C145" s="106"/>
      <c r="D145" s="106"/>
      <c r="E145" s="106"/>
      <c r="F145" s="106"/>
      <c r="G145" s="106"/>
      <c r="H145" s="106"/>
      <c r="I145" s="6"/>
    </row>
    <row r="146" spans="1:9" ht="12.75">
      <c r="A146" s="106" t="s">
        <v>1531</v>
      </c>
      <c r="B146" s="102" t="s">
        <v>1532</v>
      </c>
      <c r="C146" s="102">
        <f>INDEX(MotorHome_COMP_Premium,,1)*MotorHome_Rental_Factor</f>
        <v>0</v>
      </c>
      <c r="D146" s="102">
        <f>INDEX(MotorHome_COMP_Premium,,2)*MotorHome_Rental_Factor</f>
        <v>0</v>
      </c>
      <c r="E146" s="102">
        <f>INDEX(MotorHome_COMP_Premium,,3)*MotorHome_Rental_Factor</f>
        <v>0</v>
      </c>
      <c r="F146" s="102">
        <f>INDEX(MotorHome_COMP_Premium,,4)*MotorHome_Rental_Factor</f>
        <v>0</v>
      </c>
      <c r="G146" s="102">
        <f>INDEX(MotorHome_COMP_Premium,,5)*MotorHome_Rental_Factor</f>
        <v>0</v>
      </c>
      <c r="H146" s="102">
        <f>INDEX(MotorHome_COMP_Premium,,6)*MotorHome_Rental_Factor</f>
        <v>0</v>
      </c>
      <c r="I146" s="1"/>
    </row>
    <row r="147" spans="1:9" ht="12.75">
      <c r="A147" s="106"/>
      <c r="B147" s="102" t="s">
        <v>1533</v>
      </c>
      <c r="C147" s="102">
        <f>INDEX(MotorHome_COLL_Premium,,1)*MotorHome_Rental_Factor</f>
        <v>0</v>
      </c>
      <c r="D147" s="102">
        <f>INDEX(MotorHome_COLL_Premium,,2)*MotorHome_Rental_Factor</f>
        <v>0</v>
      </c>
      <c r="E147" s="102">
        <f>INDEX(MotorHome_COLL_Premium,,3)*MotorHome_Rental_Factor</f>
        <v>0</v>
      </c>
      <c r="F147" s="102">
        <f>INDEX(MotorHome_COLL_Premium,,4)*MotorHome_Rental_Factor</f>
        <v>0</v>
      </c>
      <c r="G147" s="102">
        <f>INDEX(MotorHome_COLL_Premium,,5)*MotorHome_Rental_Factor</f>
        <v>0</v>
      </c>
      <c r="H147" s="102">
        <f>INDEX(MotorHome_COLL_Premium,,6)*MotorHome_Rental_Factor</f>
        <v>0</v>
      </c>
      <c r="I147" s="1"/>
    </row>
    <row r="148" spans="1:9" ht="12.75">
      <c r="A148" s="106"/>
      <c r="B148" s="102" t="s">
        <v>1219</v>
      </c>
      <c r="C148" s="102">
        <f aca="true" t="shared" si="66" ref="C148:H148">(C146+C147)</f>
        <v>0</v>
      </c>
      <c r="D148" s="102">
        <f t="shared" si="66"/>
        <v>0</v>
      </c>
      <c r="E148" s="102">
        <f t="shared" si="66"/>
        <v>0</v>
      </c>
      <c r="F148" s="102">
        <f t="shared" si="66"/>
        <v>0</v>
      </c>
      <c r="G148" s="102">
        <f t="shared" si="66"/>
        <v>0</v>
      </c>
      <c r="H148" s="102">
        <f t="shared" si="66"/>
        <v>0</v>
      </c>
      <c r="I148" s="1"/>
    </row>
    <row r="149" spans="1:9" ht="12.75">
      <c r="A149" s="106"/>
      <c r="B149" s="102"/>
      <c r="C149" s="102"/>
      <c r="D149" s="102"/>
      <c r="E149" s="102"/>
      <c r="F149" s="102"/>
      <c r="G149" s="102"/>
      <c r="H149" s="102"/>
      <c r="I149" s="1"/>
    </row>
    <row r="150" spans="1:9" s="102" customFormat="1" ht="12.75">
      <c r="A150" s="106" t="s">
        <v>1534</v>
      </c>
      <c r="B150" s="102" t="s">
        <v>1255</v>
      </c>
      <c r="C150" s="102">
        <f aca="true" t="shared" si="67" ref="C150:H150">C148-(C148*Valued_Customer_Discount_Factor)</f>
        <v>0</v>
      </c>
      <c r="D150" s="102">
        <f t="shared" si="67"/>
        <v>0</v>
      </c>
      <c r="E150" s="102">
        <f t="shared" si="67"/>
        <v>0</v>
      </c>
      <c r="F150" s="102">
        <f t="shared" si="67"/>
        <v>0</v>
      </c>
      <c r="G150" s="102">
        <f t="shared" si="67"/>
        <v>0</v>
      </c>
      <c r="H150" s="102">
        <f t="shared" si="67"/>
        <v>0</v>
      </c>
      <c r="I150" s="1"/>
    </row>
    <row r="151" spans="1:9" s="102" customFormat="1" ht="12.75">
      <c r="A151" s="106"/>
      <c r="B151" s="102" t="s">
        <v>1258</v>
      </c>
      <c r="C151" s="102">
        <f aca="true" t="shared" si="68" ref="C151:H151">C150-(C150*Fampak_Discount_Factor)</f>
        <v>0</v>
      </c>
      <c r="D151" s="102">
        <f t="shared" si="68"/>
        <v>0</v>
      </c>
      <c r="E151" s="102">
        <f t="shared" si="68"/>
        <v>0</v>
      </c>
      <c r="F151" s="102">
        <f t="shared" si="68"/>
        <v>0</v>
      </c>
      <c r="G151" s="102">
        <f t="shared" si="68"/>
        <v>0</v>
      </c>
      <c r="H151" s="102">
        <f t="shared" si="68"/>
        <v>0</v>
      </c>
      <c r="I151" s="1"/>
    </row>
    <row r="152" spans="1:9" s="102" customFormat="1" ht="12.75">
      <c r="A152" s="106"/>
      <c r="B152" s="112" t="s">
        <v>1259</v>
      </c>
      <c r="C152" s="102">
        <f aca="true" t="shared" si="69" ref="C152:H152">C151-(C151*Prime_Life_Discount_Factor)</f>
        <v>0</v>
      </c>
      <c r="D152" s="102">
        <f t="shared" si="69"/>
        <v>0</v>
      </c>
      <c r="E152" s="102">
        <f t="shared" si="69"/>
        <v>0</v>
      </c>
      <c r="F152" s="102">
        <f t="shared" si="69"/>
        <v>0</v>
      </c>
      <c r="G152" s="102">
        <f t="shared" si="69"/>
        <v>0</v>
      </c>
      <c r="H152" s="102">
        <f t="shared" si="69"/>
        <v>0</v>
      </c>
      <c r="I152" s="1"/>
    </row>
    <row r="153" spans="1:9" s="102" customFormat="1" ht="12.75">
      <c r="A153" s="106"/>
      <c r="B153" s="102" t="s">
        <v>1261</v>
      </c>
      <c r="C153" s="102">
        <f aca="true" t="shared" si="70" ref="C153:H153">IF(Insured_State="PA",Tort_Factor_Miscellaneous,1)</f>
        <v>1</v>
      </c>
      <c r="D153" s="102">
        <f t="shared" si="70"/>
        <v>1</v>
      </c>
      <c r="E153" s="102">
        <f t="shared" si="70"/>
        <v>1</v>
      </c>
      <c r="F153" s="102">
        <f t="shared" si="70"/>
        <v>1</v>
      </c>
      <c r="G153" s="102">
        <f t="shared" si="70"/>
        <v>1</v>
      </c>
      <c r="H153" s="102">
        <f t="shared" si="70"/>
        <v>1</v>
      </c>
      <c r="I153" s="1"/>
    </row>
    <row r="154" spans="1:9" s="102" customFormat="1" ht="12.75">
      <c r="A154" s="106"/>
      <c r="B154" s="102" t="s">
        <v>1262</v>
      </c>
      <c r="C154" s="102">
        <f aca="true" t="shared" si="71" ref="C154:H154">C152*C153</f>
        <v>0</v>
      </c>
      <c r="D154" s="102">
        <f t="shared" si="71"/>
        <v>0</v>
      </c>
      <c r="E154" s="102">
        <f t="shared" si="71"/>
        <v>0</v>
      </c>
      <c r="F154" s="102">
        <f t="shared" si="71"/>
        <v>0</v>
      </c>
      <c r="G154" s="102">
        <f t="shared" si="71"/>
        <v>0</v>
      </c>
      <c r="H154" s="102">
        <f t="shared" si="71"/>
        <v>0</v>
      </c>
      <c r="I154" s="1"/>
    </row>
    <row r="155" spans="1:9" s="102" customFormat="1" ht="12.75">
      <c r="A155" s="106"/>
      <c r="B155" s="112" t="s">
        <v>1263</v>
      </c>
      <c r="C155" s="102">
        <f>C154-(C154*INDEX(Mass_Merchandise_Factor,,1))</f>
        <v>0</v>
      </c>
      <c r="D155" s="102">
        <f>D154-(D154*INDEX(Mass_Merchandise_Factor,,2))</f>
        <v>0</v>
      </c>
      <c r="E155" s="102">
        <f>E154-(E154*INDEX(Mass_Merchandise_Factor,,3))</f>
        <v>0</v>
      </c>
      <c r="F155" s="102">
        <f>F154-(F154*INDEX(Mass_Merchandise_Factor,,4))</f>
        <v>0</v>
      </c>
      <c r="G155" s="102">
        <f>G154-(G154*INDEX(Mass_Merchandise_Factor,,5))</f>
        <v>0</v>
      </c>
      <c r="H155" s="102">
        <f>H154-(H154*INDEX(Mass_Merchandise_Factor,,6))</f>
        <v>0</v>
      </c>
      <c r="I155" s="1"/>
    </row>
    <row r="156" spans="1:9" s="102" customFormat="1" ht="12.75">
      <c r="A156" s="106"/>
      <c r="B156" s="112" t="s">
        <v>1264</v>
      </c>
      <c r="C156" s="102">
        <f aca="true" t="shared" si="72" ref="C156:H156">C155-(C155*IN_Standard_Agent_Commission_Factor)</f>
        <v>0</v>
      </c>
      <c r="D156" s="102">
        <f t="shared" si="72"/>
        <v>0</v>
      </c>
      <c r="E156" s="102">
        <f t="shared" si="72"/>
        <v>0</v>
      </c>
      <c r="F156" s="102">
        <f t="shared" si="72"/>
        <v>0</v>
      </c>
      <c r="G156" s="102">
        <f t="shared" si="72"/>
        <v>0</v>
      </c>
      <c r="H156" s="102">
        <f t="shared" si="72"/>
        <v>0</v>
      </c>
      <c r="I156" s="1"/>
    </row>
    <row r="157" spans="1:9" s="102" customFormat="1" ht="12.75">
      <c r="A157" s="106" t="s">
        <v>1535</v>
      </c>
      <c r="B157" s="112" t="s">
        <v>1266</v>
      </c>
      <c r="C157" s="102">
        <f aca="true" t="shared" si="73" ref="C157:H157">C156</f>
        <v>0</v>
      </c>
      <c r="D157" s="102">
        <f t="shared" si="73"/>
        <v>0</v>
      </c>
      <c r="E157" s="102">
        <f t="shared" si="73"/>
        <v>0</v>
      </c>
      <c r="F157" s="102">
        <f t="shared" si="73"/>
        <v>0</v>
      </c>
      <c r="G157" s="102">
        <f t="shared" si="73"/>
        <v>0</v>
      </c>
      <c r="H157" s="102">
        <f t="shared" si="73"/>
        <v>0</v>
      </c>
      <c r="I157" s="1"/>
    </row>
    <row r="158" s="102" customFormat="1" ht="12.75">
      <c r="I158" s="1"/>
    </row>
    <row r="159" spans="1:9" s="31" customFormat="1" ht="12.75">
      <c r="A159" s="106"/>
      <c r="B159" s="106" t="s">
        <v>1536</v>
      </c>
      <c r="C159" s="106">
        <f aca="true" t="shared" si="74" ref="C159:H159">C157</f>
        <v>0</v>
      </c>
      <c r="D159" s="106">
        <f t="shared" si="74"/>
        <v>0</v>
      </c>
      <c r="E159" s="106">
        <f t="shared" si="74"/>
        <v>0</v>
      </c>
      <c r="F159" s="106">
        <f t="shared" si="74"/>
        <v>0</v>
      </c>
      <c r="G159" s="106">
        <f t="shared" si="74"/>
        <v>0</v>
      </c>
      <c r="H159" s="106">
        <f t="shared" si="74"/>
        <v>0</v>
      </c>
      <c r="I159" s="6"/>
    </row>
    <row r="160" spans="1:9" s="31" customFormat="1" ht="12.75">
      <c r="A160" s="106"/>
      <c r="B160" s="106"/>
      <c r="C160" s="106"/>
      <c r="D160" s="106"/>
      <c r="E160" s="106"/>
      <c r="F160" s="106"/>
      <c r="G160" s="106"/>
      <c r="H160" s="106"/>
      <c r="I160" s="6"/>
    </row>
    <row r="161" spans="1:9" s="102" customFormat="1" ht="12.75">
      <c r="A161" s="106"/>
      <c r="B161" s="102" t="s">
        <v>1267</v>
      </c>
      <c r="C161" s="102">
        <f>INDEX(Is_MotorHome_Applicable_For_Vehicle,,1)</f>
        <v>0</v>
      </c>
      <c r="D161" s="102">
        <f>INDEX(Is_MotorHome_Applicable_For_Vehicle,,2)</f>
        <v>0</v>
      </c>
      <c r="E161" s="102">
        <f>INDEX(Is_MotorHome_Applicable_For_Vehicle,,3)</f>
        <v>0</v>
      </c>
      <c r="F161" s="102">
        <f>INDEX(Is_MotorHome_Applicable_For_Vehicle,,4)</f>
        <v>0</v>
      </c>
      <c r="G161" s="102">
        <f>INDEX(Is_MotorHome_Applicable_For_Vehicle,,5)</f>
        <v>0</v>
      </c>
      <c r="H161" s="102">
        <f>INDEX(Is_MotorHome_Applicable_For_Vehicle,,6)</f>
        <v>0</v>
      </c>
      <c r="I161" s="1"/>
    </row>
    <row r="162" spans="1:9" s="102" customFormat="1" ht="12.75">
      <c r="A162" s="106"/>
      <c r="I162" s="1"/>
    </row>
    <row r="163" spans="3:9" s="112" customFormat="1" ht="12.75">
      <c r="C163" s="102"/>
      <c r="D163" s="102"/>
      <c r="E163" s="102"/>
      <c r="F163" s="102"/>
      <c r="G163" s="102"/>
      <c r="H163" s="102"/>
      <c r="I163" s="15"/>
    </row>
    <row r="164" spans="1:8" ht="12.75">
      <c r="A164" s="106" t="s">
        <v>1270</v>
      </c>
      <c r="B164" s="119" t="s">
        <v>1537</v>
      </c>
      <c r="C164" s="112">
        <f aca="true" t="shared" si="75" ref="C164:H164">IF(OR(ISERROR(C24),C24&lt;=0,C161=0),0,ROUND(C24,2))</f>
        <v>0</v>
      </c>
      <c r="D164" s="112">
        <f t="shared" si="75"/>
        <v>0</v>
      </c>
      <c r="E164" s="112">
        <f t="shared" si="75"/>
        <v>0</v>
      </c>
      <c r="F164" s="112">
        <f t="shared" si="75"/>
        <v>0</v>
      </c>
      <c r="G164" s="112">
        <f t="shared" si="75"/>
        <v>0</v>
      </c>
      <c r="H164" s="112">
        <f t="shared" si="75"/>
        <v>0</v>
      </c>
    </row>
    <row r="165" spans="2:8" ht="12.75">
      <c r="B165" s="119" t="s">
        <v>1538</v>
      </c>
      <c r="C165" s="112">
        <f aca="true" t="shared" si="76" ref="C165:H165">IF(OR(ISERROR(C45),C45&lt;=0,C161=0),0,ROUND(C45,2))</f>
        <v>0</v>
      </c>
      <c r="D165" s="112">
        <f t="shared" si="76"/>
        <v>0</v>
      </c>
      <c r="E165" s="112">
        <f t="shared" si="76"/>
        <v>0</v>
      </c>
      <c r="F165" s="112">
        <f t="shared" si="76"/>
        <v>0</v>
      </c>
      <c r="G165" s="112">
        <f t="shared" si="76"/>
        <v>0</v>
      </c>
      <c r="H165" s="112">
        <f t="shared" si="76"/>
        <v>0</v>
      </c>
    </row>
    <row r="166" spans="2:8" ht="12.75">
      <c r="B166" s="119" t="s">
        <v>1539</v>
      </c>
      <c r="C166" s="112">
        <f aca="true" t="shared" si="77" ref="C166:H166">IF(OR(ISERROR(C73),C73&lt;=0,C161=0),0,ROUND(C73,2))</f>
        <v>0</v>
      </c>
      <c r="D166" s="112">
        <f t="shared" si="77"/>
        <v>0</v>
      </c>
      <c r="E166" s="112">
        <f t="shared" si="77"/>
        <v>0</v>
      </c>
      <c r="F166" s="112">
        <f t="shared" si="77"/>
        <v>0</v>
      </c>
      <c r="G166" s="112">
        <f t="shared" si="77"/>
        <v>0</v>
      </c>
      <c r="H166" s="112">
        <f t="shared" si="77"/>
        <v>0</v>
      </c>
    </row>
    <row r="167" spans="2:8" ht="12.75">
      <c r="B167" s="119" t="s">
        <v>1540</v>
      </c>
      <c r="C167" s="112">
        <f aca="true" t="shared" si="78" ref="C167:H167">IF(OR(ISERROR(C94),C94&lt;=0,C161=0),0,ROUND(C94,2))</f>
        <v>0</v>
      </c>
      <c r="D167" s="112">
        <f t="shared" si="78"/>
        <v>0</v>
      </c>
      <c r="E167" s="112">
        <f t="shared" si="78"/>
        <v>0</v>
      </c>
      <c r="F167" s="112">
        <f t="shared" si="78"/>
        <v>0</v>
      </c>
      <c r="G167" s="112">
        <f t="shared" si="78"/>
        <v>0</v>
      </c>
      <c r="H167" s="112">
        <f t="shared" si="78"/>
        <v>0</v>
      </c>
    </row>
    <row r="168" spans="2:8" ht="12.75">
      <c r="B168" s="119" t="s">
        <v>1541</v>
      </c>
      <c r="C168" s="112">
        <f aca="true" t="shared" si="79" ref="C168:H168">IF(OR(ISERROR(C119),C119&lt;=0,C161=0),0,ROUND(C119,2))</f>
        <v>0</v>
      </c>
      <c r="D168" s="112">
        <f t="shared" si="79"/>
        <v>0</v>
      </c>
      <c r="E168" s="112">
        <f t="shared" si="79"/>
        <v>0</v>
      </c>
      <c r="F168" s="112">
        <f t="shared" si="79"/>
        <v>0</v>
      </c>
      <c r="G168" s="112">
        <f t="shared" si="79"/>
        <v>0</v>
      </c>
      <c r="H168" s="112">
        <f t="shared" si="79"/>
        <v>0</v>
      </c>
    </row>
    <row r="169" spans="2:8" ht="12.75">
      <c r="B169" s="119" t="s">
        <v>1542</v>
      </c>
      <c r="C169" s="112">
        <f aca="true" t="shared" si="80" ref="C169:H169">IF(OR(ISERROR(C144),C144&lt;=0,C161=0),0,ROUND(C144,2))</f>
        <v>0</v>
      </c>
      <c r="D169" s="112">
        <f t="shared" si="80"/>
        <v>0</v>
      </c>
      <c r="E169" s="112">
        <f t="shared" si="80"/>
        <v>0</v>
      </c>
      <c r="F169" s="112">
        <f t="shared" si="80"/>
        <v>0</v>
      </c>
      <c r="G169" s="112">
        <f t="shared" si="80"/>
        <v>0</v>
      </c>
      <c r="H169" s="112">
        <f t="shared" si="80"/>
        <v>0</v>
      </c>
    </row>
    <row r="170" spans="2:8" ht="12.75">
      <c r="B170" s="119" t="s">
        <v>1543</v>
      </c>
      <c r="C170" s="112">
        <f aca="true" t="shared" si="81" ref="C170:H170">IF(OR(ISERROR(C159),C159&lt;=0,C161=0),0,ROUND(C159,2))</f>
        <v>0</v>
      </c>
      <c r="D170" s="112">
        <f t="shared" si="81"/>
        <v>0</v>
      </c>
      <c r="E170" s="112">
        <f t="shared" si="81"/>
        <v>0</v>
      </c>
      <c r="F170" s="112">
        <f t="shared" si="81"/>
        <v>0</v>
      </c>
      <c r="G170" s="112">
        <f t="shared" si="81"/>
        <v>0</v>
      </c>
      <c r="H170" s="112">
        <f t="shared" si="81"/>
        <v>0</v>
      </c>
    </row>
  </sheetData>
  <printOptions/>
  <pageMargins left="0.75" right="0.75" top="1" bottom="1" header="0.5" footer="0.5"/>
  <pageSetup horizontalDpi="600" verticalDpi="6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40"/>
  <sheetViews>
    <sheetView zoomScale="75" zoomScaleNormal="75" workbookViewId="0" topLeftCell="A1">
      <selection activeCell="H17" sqref="H17"/>
    </sheetView>
  </sheetViews>
  <sheetFormatPr defaultColWidth="9.140625" defaultRowHeight="12.75"/>
  <cols>
    <col min="2" max="2" width="41.8515625" style="0" customWidth="1"/>
  </cols>
  <sheetData>
    <row r="1" spans="1:9" ht="20.25" customHeight="1">
      <c r="A1" s="103"/>
      <c r="B1" s="104" t="s">
        <v>1544</v>
      </c>
      <c r="C1" s="103"/>
      <c r="D1" s="103"/>
      <c r="E1" s="103"/>
      <c r="F1" s="102"/>
      <c r="G1" s="102"/>
      <c r="H1" s="102"/>
      <c r="I1" s="1"/>
    </row>
    <row r="3" spans="1:9" ht="12.75">
      <c r="A3" s="106" t="s">
        <v>1206</v>
      </c>
      <c r="B3" s="106" t="s">
        <v>1207</v>
      </c>
      <c r="C3" s="106" t="s">
        <v>428</v>
      </c>
      <c r="D3" s="106" t="s">
        <v>429</v>
      </c>
      <c r="E3" s="106" t="s">
        <v>430</v>
      </c>
      <c r="F3" s="106" t="s">
        <v>431</v>
      </c>
      <c r="G3" s="106" t="s">
        <v>432</v>
      </c>
      <c r="H3" s="106" t="s">
        <v>433</v>
      </c>
      <c r="I3" s="6" t="s">
        <v>229</v>
      </c>
    </row>
    <row r="4" ht="12.75">
      <c r="I4" s="1"/>
    </row>
    <row r="5" spans="1:9" ht="12.75">
      <c r="A5" s="106" t="s">
        <v>1208</v>
      </c>
      <c r="B5" s="102" t="s">
        <v>1506</v>
      </c>
      <c r="C5" s="102">
        <f>INDEX(COMP_RT_Base_Rate,,1)</f>
        <v>1</v>
      </c>
      <c r="D5" s="102">
        <f>INDEX(COMP_RT_Base_Rate,,2)</f>
        <v>1</v>
      </c>
      <c r="E5" s="102">
        <f>INDEX(COMP_RT_Base_Rate,,3)</f>
        <v>1</v>
      </c>
      <c r="F5" s="102">
        <f>INDEX(COMP_RT_Base_Rate,,4)</f>
        <v>1</v>
      </c>
      <c r="G5" s="102">
        <f>INDEX(COMP_RT_Base_Rate,,5)</f>
        <v>1</v>
      </c>
      <c r="H5" s="102">
        <f>INDEX(COMP_RT_Base_Rate,,6)</f>
        <v>1</v>
      </c>
      <c r="I5" s="1"/>
    </row>
    <row r="6" spans="1:9" ht="12.75">
      <c r="A6" s="106"/>
      <c r="B6" s="102" t="s">
        <v>1519</v>
      </c>
      <c r="C6" s="102">
        <f>INDEX(COLL_RT_Base_Rate,,1)</f>
        <v>1</v>
      </c>
      <c r="D6" s="102">
        <f>INDEX(COLL_RT_Base_Rate,,2)</f>
        <v>1</v>
      </c>
      <c r="E6" s="102">
        <f>INDEX(COLL_RT_Base_Rate,,3)</f>
        <v>1</v>
      </c>
      <c r="F6" s="102">
        <f>INDEX(COLL_RT_Base_Rate,,4)</f>
        <v>1</v>
      </c>
      <c r="G6" s="102">
        <f>INDEX(COLL_RT_Base_Rate,,5)</f>
        <v>1</v>
      </c>
      <c r="H6" s="102">
        <f>INDEX(COLL_RT_Base_Rate,,6)</f>
        <v>1</v>
      </c>
      <c r="I6" s="1"/>
    </row>
    <row r="7" spans="1:9" s="102" customFormat="1" ht="12.75" customHeight="1">
      <c r="A7" s="106"/>
      <c r="B7" s="108" t="s">
        <v>1237</v>
      </c>
      <c r="C7" s="111">
        <f>INDEX(Accident_Prevention_Discount_Factor,,1)</f>
        <v>0</v>
      </c>
      <c r="D7" s="111">
        <f>INDEX(Accident_Prevention_Discount_Factor,,2)</f>
        <v>0</v>
      </c>
      <c r="E7" s="111">
        <f>INDEX(Accident_Prevention_Discount_Factor,,3)</f>
        <v>0</v>
      </c>
      <c r="F7" s="111">
        <f>INDEX(Accident_Prevention_Discount_Factor,,4)</f>
        <v>0</v>
      </c>
      <c r="G7" s="111">
        <f>INDEX(Accident_Prevention_Discount_Factor,,5)</f>
        <v>0</v>
      </c>
      <c r="H7" s="111">
        <f>INDEX(Accident_Prevention_Discount_Factor,,6)</f>
        <v>0</v>
      </c>
      <c r="I7" s="1"/>
    </row>
    <row r="9" spans="1:9" ht="12.75">
      <c r="A9" s="106" t="s">
        <v>1214</v>
      </c>
      <c r="B9" s="102" t="s">
        <v>1545</v>
      </c>
      <c r="C9" s="102">
        <f>INDEX(COMP_RT_Deductible_Factor,,1)</f>
        <v>0</v>
      </c>
      <c r="D9" s="102">
        <f>INDEX(COMP_RT_Deductible_Factor,,2)</f>
        <v>0</v>
      </c>
      <c r="E9" s="102">
        <f>INDEX(COMP_RT_Deductible_Factor,,3)</f>
        <v>0</v>
      </c>
      <c r="F9" s="102">
        <f>INDEX(COMP_RT_Deductible_Factor,,4)</f>
        <v>0</v>
      </c>
      <c r="G9" s="102">
        <f>INDEX(COMP_RT_Deductible_Factor,,5)</f>
        <v>0</v>
      </c>
      <c r="H9" s="102">
        <f>INDEX(COMP_RT_Deductible_Factor,,6)</f>
        <v>0</v>
      </c>
      <c r="I9" s="1"/>
    </row>
    <row r="10" spans="1:9" ht="12.75">
      <c r="A10" s="106"/>
      <c r="B10" s="102" t="s">
        <v>1546</v>
      </c>
      <c r="C10" s="102">
        <f>INDEX(COLL_RT_Deductible_Factor,,1)</f>
        <v>0</v>
      </c>
      <c r="D10" s="102">
        <f>INDEX(COLL_RT_Deductible_Factor,,2)</f>
        <v>0</v>
      </c>
      <c r="E10" s="102">
        <f>INDEX(COLL_RT_Deductible_Factor,,3)</f>
        <v>0</v>
      </c>
      <c r="F10" s="102">
        <f>INDEX(COLL_RT_Deductible_Factor,,4)</f>
        <v>0</v>
      </c>
      <c r="G10" s="102">
        <f>INDEX(COLL_RT_Deductible_Factor,,5)</f>
        <v>0</v>
      </c>
      <c r="H10" s="102">
        <f>INDEX(COLL_RT_Deductible_Factor,,6)</f>
        <v>0</v>
      </c>
      <c r="I10" s="1"/>
    </row>
    <row r="11" spans="1:9" ht="12.75">
      <c r="A11" s="106"/>
      <c r="B11" s="102" t="s">
        <v>1547</v>
      </c>
      <c r="C11" s="102">
        <f aca="true" t="shared" si="0" ref="C11:H11">(C5*C9)</f>
        <v>0</v>
      </c>
      <c r="D11" s="102">
        <f t="shared" si="0"/>
        <v>0</v>
      </c>
      <c r="E11" s="102">
        <f t="shared" si="0"/>
        <v>0</v>
      </c>
      <c r="F11" s="102">
        <f t="shared" si="0"/>
        <v>0</v>
      </c>
      <c r="G11" s="102">
        <f t="shared" si="0"/>
        <v>0</v>
      </c>
      <c r="H11" s="102">
        <f t="shared" si="0"/>
        <v>0</v>
      </c>
      <c r="I11" s="1"/>
    </row>
    <row r="12" spans="1:9" ht="12.75">
      <c r="A12" s="106"/>
      <c r="B12" s="102"/>
      <c r="C12" s="102"/>
      <c r="D12" s="102"/>
      <c r="E12" s="102"/>
      <c r="F12" s="102"/>
      <c r="G12" s="102"/>
      <c r="H12" s="102"/>
      <c r="I12" s="1"/>
    </row>
    <row r="13" spans="1:9" s="102" customFormat="1" ht="12.75">
      <c r="A13" s="106" t="s">
        <v>1218</v>
      </c>
      <c r="B13" s="102" t="s">
        <v>1255</v>
      </c>
      <c r="C13" s="102">
        <f aca="true" t="shared" si="1" ref="C13:H13">C11-(C11*Valued_Customer_Discount_Factor)</f>
        <v>0</v>
      </c>
      <c r="D13" s="102">
        <f t="shared" si="1"/>
        <v>0</v>
      </c>
      <c r="E13" s="102">
        <f t="shared" si="1"/>
        <v>0</v>
      </c>
      <c r="F13" s="102">
        <f t="shared" si="1"/>
        <v>0</v>
      </c>
      <c r="G13" s="102">
        <f t="shared" si="1"/>
        <v>0</v>
      </c>
      <c r="H13" s="102">
        <f t="shared" si="1"/>
        <v>0</v>
      </c>
      <c r="I13" s="1"/>
    </row>
    <row r="14" spans="1:9" s="102" customFormat="1" ht="12.75">
      <c r="A14" s="106"/>
      <c r="B14" s="102" t="s">
        <v>1256</v>
      </c>
      <c r="C14" s="102">
        <f aca="true" t="shared" si="2" ref="C14:H14">IF(Insured_State="MI",C13-(C13*C7),C13)</f>
        <v>0</v>
      </c>
      <c r="D14" s="102">
        <f t="shared" si="2"/>
        <v>0</v>
      </c>
      <c r="E14" s="102">
        <f t="shared" si="2"/>
        <v>0</v>
      </c>
      <c r="F14" s="102">
        <f t="shared" si="2"/>
        <v>0</v>
      </c>
      <c r="G14" s="102">
        <f t="shared" si="2"/>
        <v>0</v>
      </c>
      <c r="H14" s="102">
        <f t="shared" si="2"/>
        <v>0</v>
      </c>
      <c r="I14" s="1"/>
    </row>
    <row r="15" spans="1:9" s="102" customFormat="1" ht="12.75">
      <c r="A15" s="106"/>
      <c r="B15" s="102" t="s">
        <v>1258</v>
      </c>
      <c r="C15" s="102">
        <f aca="true" t="shared" si="3" ref="C15:H15">C14-(C14*Fampak_Discount_Factor)</f>
        <v>0</v>
      </c>
      <c r="D15" s="102">
        <f t="shared" si="3"/>
        <v>0</v>
      </c>
      <c r="E15" s="102">
        <f t="shared" si="3"/>
        <v>0</v>
      </c>
      <c r="F15" s="102">
        <f t="shared" si="3"/>
        <v>0</v>
      </c>
      <c r="G15" s="102">
        <f t="shared" si="3"/>
        <v>0</v>
      </c>
      <c r="H15" s="102">
        <f t="shared" si="3"/>
        <v>0</v>
      </c>
      <c r="I15" s="1"/>
    </row>
    <row r="16" spans="1:9" s="102" customFormat="1" ht="12.75">
      <c r="A16" s="106"/>
      <c r="B16" s="112" t="s">
        <v>1259</v>
      </c>
      <c r="C16" s="102">
        <f aca="true" t="shared" si="4" ref="C16:H16">C15-(C15*Prime_Life_Discount_Factor)</f>
        <v>0</v>
      </c>
      <c r="D16" s="102">
        <f t="shared" si="4"/>
        <v>0</v>
      </c>
      <c r="E16" s="102">
        <f t="shared" si="4"/>
        <v>0</v>
      </c>
      <c r="F16" s="102">
        <f t="shared" si="4"/>
        <v>0</v>
      </c>
      <c r="G16" s="102">
        <f t="shared" si="4"/>
        <v>0</v>
      </c>
      <c r="H16" s="102">
        <f t="shared" si="4"/>
        <v>0</v>
      </c>
      <c r="I16" s="1"/>
    </row>
    <row r="17" spans="1:9" s="102" customFormat="1" ht="12.75">
      <c r="A17" s="106"/>
      <c r="B17" s="102" t="s">
        <v>1260</v>
      </c>
      <c r="C17" s="102">
        <f aca="true" t="shared" si="5" ref="C17:H17">IF(Insured_State="PA",C16-(C16*C7),C16)</f>
        <v>0</v>
      </c>
      <c r="D17" s="102">
        <f t="shared" si="5"/>
        <v>0</v>
      </c>
      <c r="E17" s="102">
        <f t="shared" si="5"/>
        <v>0</v>
      </c>
      <c r="F17" s="102">
        <f t="shared" si="5"/>
        <v>0</v>
      </c>
      <c r="G17" s="102">
        <f t="shared" si="5"/>
        <v>0</v>
      </c>
      <c r="H17" s="102">
        <f t="shared" si="5"/>
        <v>0</v>
      </c>
      <c r="I17" s="1"/>
    </row>
    <row r="18" spans="1:9" s="102" customFormat="1" ht="12.75">
      <c r="A18" s="106"/>
      <c r="B18" s="102" t="s">
        <v>1261</v>
      </c>
      <c r="C18" s="102">
        <f aca="true" t="shared" si="6" ref="C18:H18">IF(Insured_State="PA",Tort_Factor_Miscellaneous,1)</f>
        <v>1</v>
      </c>
      <c r="D18" s="102">
        <f t="shared" si="6"/>
        <v>1</v>
      </c>
      <c r="E18" s="102">
        <f t="shared" si="6"/>
        <v>1</v>
      </c>
      <c r="F18" s="102">
        <f t="shared" si="6"/>
        <v>1</v>
      </c>
      <c r="G18" s="102">
        <f t="shared" si="6"/>
        <v>1</v>
      </c>
      <c r="H18" s="102">
        <f t="shared" si="6"/>
        <v>1</v>
      </c>
      <c r="I18" s="1"/>
    </row>
    <row r="19" spans="1:9" s="102" customFormat="1" ht="12.75">
      <c r="A19" s="106"/>
      <c r="B19" s="102" t="s">
        <v>1262</v>
      </c>
      <c r="C19" s="102">
        <f aca="true" t="shared" si="7" ref="C19:H19">C17*C18</f>
        <v>0</v>
      </c>
      <c r="D19" s="102">
        <f t="shared" si="7"/>
        <v>0</v>
      </c>
      <c r="E19" s="102">
        <f t="shared" si="7"/>
        <v>0</v>
      </c>
      <c r="F19" s="102">
        <f t="shared" si="7"/>
        <v>0</v>
      </c>
      <c r="G19" s="102">
        <f t="shared" si="7"/>
        <v>0</v>
      </c>
      <c r="H19" s="102">
        <f t="shared" si="7"/>
        <v>0</v>
      </c>
      <c r="I19" s="1"/>
    </row>
    <row r="20" spans="1:9" s="102" customFormat="1" ht="12.75">
      <c r="A20" s="106"/>
      <c r="B20" s="112" t="s">
        <v>1263</v>
      </c>
      <c r="C20" s="102">
        <f>C19-(C19*INDEX(Mass_Merchandise_Factor,,1))</f>
        <v>0</v>
      </c>
      <c r="D20" s="102">
        <f>D19-(D19*INDEX(Mass_Merchandise_Factor,,2))</f>
        <v>0</v>
      </c>
      <c r="E20" s="102">
        <f>E19-(E19*INDEX(Mass_Merchandise_Factor,,3))</f>
        <v>0</v>
      </c>
      <c r="F20" s="102">
        <f>F19-(F19*INDEX(Mass_Merchandise_Factor,,4))</f>
        <v>0</v>
      </c>
      <c r="G20" s="102">
        <f>G19-(G19*INDEX(Mass_Merchandise_Factor,,5))</f>
        <v>0</v>
      </c>
      <c r="H20" s="102">
        <f>H19-(H19*INDEX(Mass_Merchandise_Factor,,6))</f>
        <v>0</v>
      </c>
      <c r="I20" s="1"/>
    </row>
    <row r="21" spans="1:9" s="102" customFormat="1" ht="12.75">
      <c r="A21" s="106"/>
      <c r="B21" s="112" t="s">
        <v>1264</v>
      </c>
      <c r="C21" s="102">
        <f aca="true" t="shared" si="8" ref="C21:H21">C20-(C20*IN_Standard_Agent_Commission_Factor)</f>
        <v>0</v>
      </c>
      <c r="D21" s="102">
        <f t="shared" si="8"/>
        <v>0</v>
      </c>
      <c r="E21" s="102">
        <f t="shared" si="8"/>
        <v>0</v>
      </c>
      <c r="F21" s="102">
        <f t="shared" si="8"/>
        <v>0</v>
      </c>
      <c r="G21" s="102">
        <f t="shared" si="8"/>
        <v>0</v>
      </c>
      <c r="H21" s="102">
        <f t="shared" si="8"/>
        <v>0</v>
      </c>
      <c r="I21" s="1"/>
    </row>
    <row r="22" spans="1:9" s="102" customFormat="1" ht="12.75">
      <c r="A22" s="106" t="s">
        <v>1354</v>
      </c>
      <c r="B22" s="112" t="s">
        <v>1266</v>
      </c>
      <c r="C22" s="102">
        <f aca="true" t="shared" si="9" ref="C22:H22">C21</f>
        <v>0</v>
      </c>
      <c r="D22" s="102">
        <f t="shared" si="9"/>
        <v>0</v>
      </c>
      <c r="E22" s="102">
        <f t="shared" si="9"/>
        <v>0</v>
      </c>
      <c r="F22" s="102">
        <f t="shared" si="9"/>
        <v>0</v>
      </c>
      <c r="G22" s="102">
        <f t="shared" si="9"/>
        <v>0</v>
      </c>
      <c r="H22" s="102">
        <f t="shared" si="9"/>
        <v>0</v>
      </c>
      <c r="I22" s="1"/>
    </row>
    <row r="23" s="102" customFormat="1" ht="12.75">
      <c r="I23" s="1"/>
    </row>
    <row r="24" spans="1:9" ht="12.75">
      <c r="A24" s="106"/>
      <c r="B24" s="102" t="s">
        <v>1548</v>
      </c>
      <c r="C24" s="102">
        <f aca="true" t="shared" si="10" ref="C24:H24">(C6*C10)</f>
        <v>0</v>
      </c>
      <c r="D24" s="102">
        <f t="shared" si="10"/>
        <v>0</v>
      </c>
      <c r="E24" s="102">
        <f t="shared" si="10"/>
        <v>0</v>
      </c>
      <c r="F24" s="102">
        <f t="shared" si="10"/>
        <v>0</v>
      </c>
      <c r="G24" s="102">
        <f t="shared" si="10"/>
        <v>0</v>
      </c>
      <c r="H24" s="102">
        <f t="shared" si="10"/>
        <v>0</v>
      </c>
      <c r="I24" s="1"/>
    </row>
    <row r="25" spans="1:9" ht="12.75">
      <c r="A25" s="106"/>
      <c r="B25" s="102"/>
      <c r="C25" s="102"/>
      <c r="D25" s="102"/>
      <c r="E25" s="102"/>
      <c r="F25" s="102"/>
      <c r="G25" s="102"/>
      <c r="H25" s="102"/>
      <c r="I25" s="1"/>
    </row>
    <row r="26" spans="1:9" s="102" customFormat="1" ht="12.75">
      <c r="A26" s="106" t="s">
        <v>1356</v>
      </c>
      <c r="B26" s="102" t="s">
        <v>1255</v>
      </c>
      <c r="C26" s="102">
        <f aca="true" t="shared" si="11" ref="C26:H26">C24-(C24*Valued_Customer_Discount_Factor)</f>
        <v>0</v>
      </c>
      <c r="D26" s="102">
        <f t="shared" si="11"/>
        <v>0</v>
      </c>
      <c r="E26" s="102">
        <f t="shared" si="11"/>
        <v>0</v>
      </c>
      <c r="F26" s="102">
        <f t="shared" si="11"/>
        <v>0</v>
      </c>
      <c r="G26" s="102">
        <f t="shared" si="11"/>
        <v>0</v>
      </c>
      <c r="H26" s="102">
        <f t="shared" si="11"/>
        <v>0</v>
      </c>
      <c r="I26" s="1"/>
    </row>
    <row r="27" spans="1:9" s="102" customFormat="1" ht="12.75">
      <c r="A27" s="106"/>
      <c r="B27" s="102" t="s">
        <v>1256</v>
      </c>
      <c r="C27" s="102">
        <f aca="true" t="shared" si="12" ref="C27:H27">IF(Insured_State="MI",C26-(C26*C7),C26)</f>
        <v>0</v>
      </c>
      <c r="D27" s="102">
        <f t="shared" si="12"/>
        <v>0</v>
      </c>
      <c r="E27" s="102">
        <f t="shared" si="12"/>
        <v>0</v>
      </c>
      <c r="F27" s="102">
        <f t="shared" si="12"/>
        <v>0</v>
      </c>
      <c r="G27" s="102">
        <f t="shared" si="12"/>
        <v>0</v>
      </c>
      <c r="H27" s="102">
        <f t="shared" si="12"/>
        <v>0</v>
      </c>
      <c r="I27" s="1"/>
    </row>
    <row r="28" spans="1:9" s="102" customFormat="1" ht="12.75">
      <c r="A28" s="106"/>
      <c r="B28" s="102" t="s">
        <v>1258</v>
      </c>
      <c r="C28" s="102">
        <f aca="true" t="shared" si="13" ref="C28:H28">C27-(C27*Fampak_Discount_Factor)</f>
        <v>0</v>
      </c>
      <c r="D28" s="102">
        <f t="shared" si="13"/>
        <v>0</v>
      </c>
      <c r="E28" s="102">
        <f t="shared" si="13"/>
        <v>0</v>
      </c>
      <c r="F28" s="102">
        <f t="shared" si="13"/>
        <v>0</v>
      </c>
      <c r="G28" s="102">
        <f t="shared" si="13"/>
        <v>0</v>
      </c>
      <c r="H28" s="102">
        <f t="shared" si="13"/>
        <v>0</v>
      </c>
      <c r="I28" s="1"/>
    </row>
    <row r="29" spans="1:9" s="102" customFormat="1" ht="12.75">
      <c r="A29" s="106"/>
      <c r="B29" s="112" t="s">
        <v>1259</v>
      </c>
      <c r="C29" s="102">
        <f aca="true" t="shared" si="14" ref="C29:H29">C28-(C28*Prime_Life_Discount_Factor)</f>
        <v>0</v>
      </c>
      <c r="D29" s="102">
        <f t="shared" si="14"/>
        <v>0</v>
      </c>
      <c r="E29" s="102">
        <f t="shared" si="14"/>
        <v>0</v>
      </c>
      <c r="F29" s="102">
        <f t="shared" si="14"/>
        <v>0</v>
      </c>
      <c r="G29" s="102">
        <f t="shared" si="14"/>
        <v>0</v>
      </c>
      <c r="H29" s="102">
        <f t="shared" si="14"/>
        <v>0</v>
      </c>
      <c r="I29" s="1"/>
    </row>
    <row r="30" spans="1:9" s="102" customFormat="1" ht="12.75">
      <c r="A30" s="106"/>
      <c r="B30" s="102" t="s">
        <v>1260</v>
      </c>
      <c r="C30" s="102">
        <f aca="true" t="shared" si="15" ref="C30:H30">IF(Insured_State="PA",C29-(C29*C7),C29)</f>
        <v>0</v>
      </c>
      <c r="D30" s="102">
        <f t="shared" si="15"/>
        <v>0</v>
      </c>
      <c r="E30" s="102">
        <f t="shared" si="15"/>
        <v>0</v>
      </c>
      <c r="F30" s="102">
        <f t="shared" si="15"/>
        <v>0</v>
      </c>
      <c r="G30" s="102">
        <f t="shared" si="15"/>
        <v>0</v>
      </c>
      <c r="H30" s="102">
        <f t="shared" si="15"/>
        <v>0</v>
      </c>
      <c r="I30" s="1"/>
    </row>
    <row r="31" spans="1:9" s="102" customFormat="1" ht="12.75">
      <c r="A31" s="106"/>
      <c r="B31" s="102" t="s">
        <v>1261</v>
      </c>
      <c r="C31" s="102">
        <f aca="true" t="shared" si="16" ref="C31:H31">IF(Insured_State="PA",Tort_Factor_Miscellaneous,1)</f>
        <v>1</v>
      </c>
      <c r="D31" s="102">
        <f t="shared" si="16"/>
        <v>1</v>
      </c>
      <c r="E31" s="102">
        <f t="shared" si="16"/>
        <v>1</v>
      </c>
      <c r="F31" s="102">
        <f t="shared" si="16"/>
        <v>1</v>
      </c>
      <c r="G31" s="102">
        <f t="shared" si="16"/>
        <v>1</v>
      </c>
      <c r="H31" s="102">
        <f t="shared" si="16"/>
        <v>1</v>
      </c>
      <c r="I31" s="1"/>
    </row>
    <row r="32" spans="1:9" s="102" customFormat="1" ht="12.75">
      <c r="A32" s="106"/>
      <c r="B32" s="102" t="s">
        <v>1262</v>
      </c>
      <c r="C32" s="102">
        <f aca="true" t="shared" si="17" ref="C32:H32">C30*C31</f>
        <v>0</v>
      </c>
      <c r="D32" s="102">
        <f t="shared" si="17"/>
        <v>0</v>
      </c>
      <c r="E32" s="102">
        <f t="shared" si="17"/>
        <v>0</v>
      </c>
      <c r="F32" s="102">
        <f t="shared" si="17"/>
        <v>0</v>
      </c>
      <c r="G32" s="102">
        <f t="shared" si="17"/>
        <v>0</v>
      </c>
      <c r="H32" s="102">
        <f t="shared" si="17"/>
        <v>0</v>
      </c>
      <c r="I32" s="1"/>
    </row>
    <row r="33" spans="1:9" s="102" customFormat="1" ht="12.75">
      <c r="A33" s="106"/>
      <c r="B33" s="112" t="s">
        <v>1263</v>
      </c>
      <c r="C33" s="102">
        <f>C32-(C32*INDEX(Mass_Merchandise_Factor,,1))</f>
        <v>0</v>
      </c>
      <c r="D33" s="102">
        <f>D32-(D32*INDEX(Mass_Merchandise_Factor,,2))</f>
        <v>0</v>
      </c>
      <c r="E33" s="102">
        <f>E32-(E32*INDEX(Mass_Merchandise_Factor,,3))</f>
        <v>0</v>
      </c>
      <c r="F33" s="102">
        <f>F32-(F32*INDEX(Mass_Merchandise_Factor,,4))</f>
        <v>0</v>
      </c>
      <c r="G33" s="102">
        <f>G32-(G32*INDEX(Mass_Merchandise_Factor,,5))</f>
        <v>0</v>
      </c>
      <c r="H33" s="102">
        <f>H32-(H32*INDEX(Mass_Merchandise_Factor,,6))</f>
        <v>0</v>
      </c>
      <c r="I33" s="1"/>
    </row>
    <row r="34" spans="1:9" s="102" customFormat="1" ht="12.75">
      <c r="A34" s="106"/>
      <c r="B34" s="112" t="s">
        <v>1264</v>
      </c>
      <c r="C34" s="102">
        <f aca="true" t="shared" si="18" ref="C34:H34">C33-(C33*IN_Standard_Agent_Commission_Factor)</f>
        <v>0</v>
      </c>
      <c r="D34" s="102">
        <f t="shared" si="18"/>
        <v>0</v>
      </c>
      <c r="E34" s="102">
        <f t="shared" si="18"/>
        <v>0</v>
      </c>
      <c r="F34" s="102">
        <f t="shared" si="18"/>
        <v>0</v>
      </c>
      <c r="G34" s="102">
        <f t="shared" si="18"/>
        <v>0</v>
      </c>
      <c r="H34" s="102">
        <f t="shared" si="18"/>
        <v>0</v>
      </c>
      <c r="I34" s="1"/>
    </row>
    <row r="35" spans="1:9" s="102" customFormat="1" ht="12.75">
      <c r="A35" s="106" t="s">
        <v>1360</v>
      </c>
      <c r="B35" s="112" t="s">
        <v>1266</v>
      </c>
      <c r="C35" s="102">
        <f aca="true" t="shared" si="19" ref="C35:H35">C34</f>
        <v>0</v>
      </c>
      <c r="D35" s="102">
        <f t="shared" si="19"/>
        <v>0</v>
      </c>
      <c r="E35" s="102">
        <f t="shared" si="19"/>
        <v>0</v>
      </c>
      <c r="F35" s="102">
        <f t="shared" si="19"/>
        <v>0</v>
      </c>
      <c r="G35" s="102">
        <f t="shared" si="19"/>
        <v>0</v>
      </c>
      <c r="H35" s="102">
        <f t="shared" si="19"/>
        <v>0</v>
      </c>
      <c r="I35" s="1"/>
    </row>
    <row r="36" s="102" customFormat="1" ht="12.75">
      <c r="I36" s="1"/>
    </row>
    <row r="37" spans="1:9" s="102" customFormat="1" ht="12.75">
      <c r="A37" s="106"/>
      <c r="B37" s="102" t="s">
        <v>1267</v>
      </c>
      <c r="C37" s="102">
        <f>IF(AND(INDEX(Is_RT_Applicable_For_Vehicle,,1),Insured_State&lt;&gt;"NC"),1,0)</f>
        <v>0</v>
      </c>
      <c r="D37" s="102">
        <f>IF(AND(INDEX(Is_RT_Applicable_For_Vehicle,,2),Insured_State&lt;&gt;"NC"),1,0)</f>
        <v>0</v>
      </c>
      <c r="E37" s="102">
        <f>IF(AND(INDEX(Is_RT_Applicable_For_Vehicle,,3),Insured_State&lt;&gt;"NC"),1,0)</f>
        <v>0</v>
      </c>
      <c r="F37" s="102">
        <f>IF(AND(INDEX(Is_RT_Applicable_For_Vehicle,,4),Insured_State&lt;&gt;"NC"),1,0)</f>
        <v>0</v>
      </c>
      <c r="G37" s="102">
        <f>IF(AND(INDEX(Is_RT_Applicable_For_Vehicle,,5),Insured_State&lt;&gt;"NC"),1,0)</f>
        <v>0</v>
      </c>
      <c r="H37" s="102">
        <f>IF(AND(INDEX(Is_RT_Applicable_For_Vehicle,,6),Insured_State&lt;&gt;"NC"),1,0)</f>
        <v>0</v>
      </c>
      <c r="I37" s="1"/>
    </row>
    <row r="38" spans="1:9" s="102" customFormat="1" ht="12.75">
      <c r="A38" s="106"/>
      <c r="I38" s="1"/>
    </row>
    <row r="39" spans="1:9" s="112" customFormat="1" ht="12.75">
      <c r="A39" s="106" t="s">
        <v>1270</v>
      </c>
      <c r="B39" s="119" t="s">
        <v>1549</v>
      </c>
      <c r="C39" s="112">
        <f aca="true" t="shared" si="20" ref="C39:H39">IF(OR(ISERROR(C22),C22&lt;=0,C37=0),0,ROUND(C22,2))</f>
        <v>0</v>
      </c>
      <c r="D39" s="112">
        <f t="shared" si="20"/>
        <v>0</v>
      </c>
      <c r="E39" s="112">
        <f t="shared" si="20"/>
        <v>0</v>
      </c>
      <c r="F39" s="112">
        <f t="shared" si="20"/>
        <v>0</v>
      </c>
      <c r="G39" s="112">
        <f t="shared" si="20"/>
        <v>0</v>
      </c>
      <c r="H39" s="112">
        <f t="shared" si="20"/>
        <v>0</v>
      </c>
      <c r="I39" s="15"/>
    </row>
    <row r="40" spans="2:8" ht="12.75">
      <c r="B40" s="119" t="s">
        <v>1550</v>
      </c>
      <c r="C40" s="112">
        <f aca="true" t="shared" si="21" ref="C40:H40">IF(OR(ISERROR(C35),C35&lt;=0,C37=0),0,ROUND(C35,2))</f>
        <v>0</v>
      </c>
      <c r="D40" s="112">
        <f t="shared" si="21"/>
        <v>0</v>
      </c>
      <c r="E40" s="112">
        <f t="shared" si="21"/>
        <v>0</v>
      </c>
      <c r="F40" s="112">
        <f t="shared" si="21"/>
        <v>0</v>
      </c>
      <c r="G40" s="112">
        <f t="shared" si="21"/>
        <v>0</v>
      </c>
      <c r="H40" s="112">
        <f t="shared" si="21"/>
        <v>0</v>
      </c>
    </row>
  </sheetData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76"/>
  <sheetViews>
    <sheetView zoomScale="75" zoomScaleNormal="75" workbookViewId="0" topLeftCell="A1">
      <selection activeCell="C10" sqref="C10"/>
    </sheetView>
  </sheetViews>
  <sheetFormatPr defaultColWidth="9.140625" defaultRowHeight="12.75"/>
  <cols>
    <col min="2" max="2" width="37.421875" style="0" customWidth="1"/>
  </cols>
  <sheetData>
    <row r="1" spans="1:9" ht="20.25" customHeight="1">
      <c r="A1" s="103"/>
      <c r="B1" s="129" t="s">
        <v>1046</v>
      </c>
      <c r="C1" s="103"/>
      <c r="D1" s="103"/>
      <c r="E1" s="103"/>
      <c r="F1" s="102"/>
      <c r="G1" s="102"/>
      <c r="H1" s="102"/>
      <c r="I1" s="1"/>
    </row>
    <row r="3" spans="1:9" ht="12.75">
      <c r="A3" s="106" t="s">
        <v>1206</v>
      </c>
      <c r="B3" s="106" t="s">
        <v>1207</v>
      </c>
      <c r="C3" s="106" t="s">
        <v>428</v>
      </c>
      <c r="D3" s="106" t="s">
        <v>429</v>
      </c>
      <c r="E3" s="106" t="s">
        <v>430</v>
      </c>
      <c r="F3" s="106" t="s">
        <v>431</v>
      </c>
      <c r="G3" s="106" t="s">
        <v>432</v>
      </c>
      <c r="H3" s="106" t="s">
        <v>433</v>
      </c>
      <c r="I3" s="6" t="s">
        <v>229</v>
      </c>
    </row>
    <row r="4" ht="12.75">
      <c r="I4" s="1"/>
    </row>
    <row r="5" spans="1:9" ht="12.75">
      <c r="A5" s="106" t="s">
        <v>1399</v>
      </c>
      <c r="B5" s="102" t="s">
        <v>1551</v>
      </c>
      <c r="C5" s="102">
        <f>ROUND(INDEX(NC_Adjusted_Medical_Rate,,1)*3,2)</f>
        <v>0</v>
      </c>
      <c r="D5" s="102">
        <f>ROUND(INDEX(NC_Adjusted_Medical_Rate,,2)*3,2)</f>
        <v>0</v>
      </c>
      <c r="E5" s="102">
        <f>ROUND(INDEX(NC_Adjusted_Medical_Rate,,3)*3,2)</f>
        <v>0</v>
      </c>
      <c r="F5" s="102">
        <f>ROUND(INDEX(NC_Adjusted_Medical_Rate,,4)*3,2)</f>
        <v>0</v>
      </c>
      <c r="G5" s="102">
        <f>ROUND(INDEX(NC_Adjusted_Medical_Rate,,5)*3,2)</f>
        <v>0</v>
      </c>
      <c r="H5" s="102">
        <f>ROUND(INDEX(NC_Adjusted_Medical_Rate,,6)*3,2)</f>
        <v>0</v>
      </c>
      <c r="I5" s="1"/>
    </row>
    <row r="7" spans="1:9" ht="12.75">
      <c r="A7" s="106" t="s">
        <v>1300</v>
      </c>
      <c r="B7" s="102" t="s">
        <v>860</v>
      </c>
      <c r="C7" s="102">
        <f aca="true" t="shared" si="0" ref="C7:H7">Policy_Period_Factor</f>
        <v>0</v>
      </c>
      <c r="D7" s="102">
        <f t="shared" si="0"/>
        <v>0</v>
      </c>
      <c r="E7" s="102">
        <f t="shared" si="0"/>
        <v>0</v>
      </c>
      <c r="F7" s="102">
        <f t="shared" si="0"/>
        <v>0</v>
      </c>
      <c r="G7" s="102">
        <f t="shared" si="0"/>
        <v>0</v>
      </c>
      <c r="H7" s="102">
        <f t="shared" si="0"/>
        <v>0</v>
      </c>
      <c r="I7" s="1"/>
    </row>
    <row r="8" spans="1:9" ht="12.75">
      <c r="A8" s="106"/>
      <c r="B8" s="102" t="s">
        <v>1552</v>
      </c>
      <c r="C8" s="102">
        <f aca="true" t="shared" si="1" ref="C8:H8">C5*C7</f>
        <v>0</v>
      </c>
      <c r="D8" s="102">
        <f t="shared" si="1"/>
        <v>0</v>
      </c>
      <c r="E8" s="102">
        <f t="shared" si="1"/>
        <v>0</v>
      </c>
      <c r="F8" s="102">
        <f t="shared" si="1"/>
        <v>0</v>
      </c>
      <c r="G8" s="102">
        <f t="shared" si="1"/>
        <v>0</v>
      </c>
      <c r="H8" s="102">
        <f t="shared" si="1"/>
        <v>0</v>
      </c>
      <c r="I8" s="1"/>
    </row>
    <row r="9" spans="1:9" ht="12.75">
      <c r="A9" s="106"/>
      <c r="B9" s="102"/>
      <c r="C9" s="102"/>
      <c r="D9" s="102"/>
      <c r="E9" s="102"/>
      <c r="F9" s="102"/>
      <c r="G9" s="102"/>
      <c r="H9" s="102"/>
      <c r="I9" s="1"/>
    </row>
    <row r="10" spans="1:9" ht="12.75">
      <c r="A10" s="106" t="s">
        <v>1214</v>
      </c>
      <c r="B10" s="102" t="s">
        <v>1553</v>
      </c>
      <c r="C10" s="102">
        <f>IF(ISERROR(INDEX(Original_Cost_New,,1)/100),0,INDEX(Original_Cost_New,,1)/100)</f>
        <v>0</v>
      </c>
      <c r="D10" s="102">
        <f>IF(ISERROR(INDEX(Original_Cost_New,,2)/100),0,INDEX(Original_Cost_New,,2)/100)</f>
        <v>0</v>
      </c>
      <c r="E10" s="102">
        <f>IF(ISERROR(INDEX(Original_Cost_New,,3)/100),0,INDEX(Original_Cost_New,,3)/100)</f>
        <v>0</v>
      </c>
      <c r="F10" s="102">
        <f>IF(ISERROR(INDEX(Original_Cost_New,,4)/100),0,INDEX(Original_Cost_New,,4)/100)</f>
        <v>0</v>
      </c>
      <c r="G10" s="102">
        <f>IF(ISERROR(INDEX(Original_Cost_New,,5)/100),0,INDEX(Original_Cost_New,,5)/100)</f>
        <v>0</v>
      </c>
      <c r="H10" s="102">
        <f>IF(ISERROR(INDEX(Original_Cost_New,,6)/100),0,INDEX(Original_Cost_New,,6)/100)</f>
        <v>0</v>
      </c>
      <c r="I10" s="1"/>
    </row>
    <row r="12" spans="1:9" ht="12.75">
      <c r="A12" s="106" t="s">
        <v>1334</v>
      </c>
      <c r="B12" s="102" t="s">
        <v>1554</v>
      </c>
      <c r="C12" s="102">
        <f>IF(AND(INDEX(NC_RT_indicator,,1)=1,INDEX(Coverage_for_Recreational_Trailer_Contents,,1)="Y"),1,0)</f>
        <v>0</v>
      </c>
      <c r="D12" s="102">
        <f>IF(AND(INDEX(NC_RT_indicator,,2)=1,INDEX(Coverage_for_Recreational_Trailer_Contents,,2)="Y"),1,0)</f>
        <v>0</v>
      </c>
      <c r="E12" s="102">
        <f>IF(AND(INDEX(NC_RT_indicator,,3)=1,INDEX(Coverage_for_Recreational_Trailer_Contents,,3)="Y"),1,0)</f>
        <v>0</v>
      </c>
      <c r="F12" s="102">
        <f>IF(AND(INDEX(NC_RT_indicator,,4)=1,INDEX(Coverage_for_Recreational_Trailer_Contents,,4)="Y"),1,0)</f>
        <v>0</v>
      </c>
      <c r="G12" s="102">
        <f>IF(AND(INDEX(NC_RT_indicator,,5)=1,INDEX(Coverage_for_Recreational_Trailer_Contents,,5)="Y"),1,0)</f>
        <v>0</v>
      </c>
      <c r="H12" s="102">
        <f>IF(AND(INDEX(NC_RT_indicator,,6)=1,INDEX(Coverage_for_Recreational_Trailer_Contents,,6)="Y"),1,0)</f>
        <v>0</v>
      </c>
      <c r="I12" s="1"/>
    </row>
    <row r="13" spans="1:9" ht="12.75">
      <c r="A13" s="106"/>
      <c r="B13" s="102" t="s">
        <v>0</v>
      </c>
      <c r="C13" s="102">
        <f>C10*C12*INDEX(RT_Contents_Fire_Rate,,1)</f>
        <v>0</v>
      </c>
      <c r="D13" s="102">
        <f>D10*D12*INDEX(RT_Contents_Fire_Rate,,2)</f>
        <v>0</v>
      </c>
      <c r="E13" s="102">
        <f>E10*E12*INDEX(RT_Contents_Fire_Rate,,3)</f>
        <v>0</v>
      </c>
      <c r="F13" s="102">
        <f>F10*F12*INDEX(RT_Contents_Fire_Rate,,4)</f>
        <v>0</v>
      </c>
      <c r="G13" s="102">
        <f>G10*G12*INDEX(RT_Contents_Fire_Rate,,5)</f>
        <v>0</v>
      </c>
      <c r="H13" s="102">
        <f>H10*H12*INDEX(RT_Contents_Fire_Rate,,6)</f>
        <v>0</v>
      </c>
      <c r="I13" s="1"/>
    </row>
    <row r="14" spans="1:9" ht="12.75">
      <c r="A14" s="106"/>
      <c r="B14" s="102" t="s">
        <v>1</v>
      </c>
      <c r="C14" s="102">
        <f>C10*C12*INDEX(RT_Contents_CAC_with_VMM_Rate,,1)*IF(INDEX(CAC_Option,,1)=1,1,0)</f>
        <v>0</v>
      </c>
      <c r="D14" s="102">
        <f>D10*D12*INDEX(RT_Contents_CAC_with_VMM_Rate,,2)*IF(INDEX(CAC_Option,,2)=1,1,0)</f>
        <v>0</v>
      </c>
      <c r="E14" s="102">
        <f>E10*E12*INDEX(RT_Contents_CAC_with_VMM_Rate,,3)*IF(INDEX(CAC_Option,,3)=1,1,0)</f>
        <v>0</v>
      </c>
      <c r="F14" s="102">
        <f>F10*F12*INDEX(RT_Contents_CAC_with_VMM_Rate,,4)*IF(INDEX(CAC_Option,,4)=1,1,0)</f>
        <v>0</v>
      </c>
      <c r="G14" s="102">
        <f>G10*G12*INDEX(RT_Contents_CAC_with_VMM_Rate,,5)*IF(INDEX(CAC_Option,,5)=1,1,0)</f>
        <v>0</v>
      </c>
      <c r="H14" s="102">
        <f>H10*H12*INDEX(RT_Contents_CAC_with_VMM_Rate,,6)*IF(INDEX(CAC_Option,,6)=1,1,0)</f>
        <v>0</v>
      </c>
      <c r="I14" s="1"/>
    </row>
    <row r="15" spans="1:9" ht="12.75">
      <c r="A15" s="106"/>
      <c r="B15" s="102" t="s">
        <v>2</v>
      </c>
      <c r="C15" s="102">
        <f>C10*C12*INDEX(RT_Contents_CAC_without_VMM_Rate,,1)*IF(INDEX(CAC_Option,,1)=2,1,0)</f>
        <v>0</v>
      </c>
      <c r="D15" s="102">
        <f>D10*D12*INDEX(RT_Contents_CAC_without_VMM_Rate,,2)*IF(INDEX(CAC_Option,,2)=2,1,0)</f>
        <v>0</v>
      </c>
      <c r="E15" s="102">
        <f>E10*E12*INDEX(RT_Contents_CAC_without_VMM_Rate,,3)*IF(INDEX(CAC_Option,,3)=2,1,0)</f>
        <v>0</v>
      </c>
      <c r="F15" s="102">
        <f>F10*F12*INDEX(RT_Contents_CAC_without_VMM_Rate,,4)*IF(INDEX(CAC_Option,,4)=2,1,0)</f>
        <v>0</v>
      </c>
      <c r="G15" s="102">
        <f>G10*G12*INDEX(RT_Contents_CAC_without_VMM_Rate,,5)*IF(INDEX(CAC_Option,,5)=2,1,0)</f>
        <v>0</v>
      </c>
      <c r="H15" s="102">
        <f>H12*H12*INDEX(RT_Contents_CAC_without_VMM_Rate,,6)*IF(INDEX(CAC_Option,,6)=2,1,0)</f>
        <v>0</v>
      </c>
      <c r="I15" s="1"/>
    </row>
    <row r="16" spans="1:9" ht="12.75">
      <c r="A16" s="106"/>
      <c r="B16" s="102" t="s">
        <v>3</v>
      </c>
      <c r="C16" s="102">
        <f aca="true" t="shared" si="2" ref="C16:H16">SUM(C13:C15)</f>
        <v>0</v>
      </c>
      <c r="D16" s="102">
        <f t="shared" si="2"/>
        <v>0</v>
      </c>
      <c r="E16" s="102">
        <f t="shared" si="2"/>
        <v>0</v>
      </c>
      <c r="F16" s="102">
        <f t="shared" si="2"/>
        <v>0</v>
      </c>
      <c r="G16" s="102">
        <f t="shared" si="2"/>
        <v>0</v>
      </c>
      <c r="H16" s="102">
        <f t="shared" si="2"/>
        <v>0</v>
      </c>
      <c r="I16" s="1"/>
    </row>
    <row r="17" spans="1:9" ht="12.75">
      <c r="A17" s="106"/>
      <c r="B17" s="102"/>
      <c r="C17" s="102"/>
      <c r="D17" s="102"/>
      <c r="E17" s="102"/>
      <c r="F17" s="102"/>
      <c r="G17" s="102"/>
      <c r="H17" s="102"/>
      <c r="I17" s="1"/>
    </row>
    <row r="18" spans="1:9" ht="12.75">
      <c r="A18" s="106" t="s">
        <v>4</v>
      </c>
      <c r="B18" s="102" t="s">
        <v>860</v>
      </c>
      <c r="C18" s="102">
        <f aca="true" t="shared" si="3" ref="C18:H18">Policy_Period_Factor</f>
        <v>0</v>
      </c>
      <c r="D18" s="102">
        <f t="shared" si="3"/>
        <v>0</v>
      </c>
      <c r="E18" s="102">
        <f t="shared" si="3"/>
        <v>0</v>
      </c>
      <c r="F18" s="102">
        <f t="shared" si="3"/>
        <v>0</v>
      </c>
      <c r="G18" s="102">
        <f t="shared" si="3"/>
        <v>0</v>
      </c>
      <c r="H18" s="102">
        <f t="shared" si="3"/>
        <v>0</v>
      </c>
      <c r="I18" s="1"/>
    </row>
    <row r="19" spans="1:9" ht="12.75">
      <c r="A19" s="106"/>
      <c r="B19" s="102" t="s">
        <v>5</v>
      </c>
      <c r="C19" s="102">
        <f aca="true" t="shared" si="4" ref="C19:H19">C16*C18</f>
        <v>0</v>
      </c>
      <c r="D19" s="102">
        <f t="shared" si="4"/>
        <v>0</v>
      </c>
      <c r="E19" s="102">
        <f t="shared" si="4"/>
        <v>0</v>
      </c>
      <c r="F19" s="102">
        <f t="shared" si="4"/>
        <v>0</v>
      </c>
      <c r="G19" s="102">
        <f t="shared" si="4"/>
        <v>0</v>
      </c>
      <c r="H19" s="102">
        <f t="shared" si="4"/>
        <v>0</v>
      </c>
      <c r="I19" s="1"/>
    </row>
    <row r="20" spans="1:9" ht="12.75">
      <c r="A20" s="106"/>
      <c r="B20" s="102"/>
      <c r="C20" s="102"/>
      <c r="D20" s="102"/>
      <c r="E20" s="102"/>
      <c r="F20" s="102"/>
      <c r="G20" s="102"/>
      <c r="H20" s="102"/>
      <c r="I20" s="1"/>
    </row>
    <row r="21" spans="1:9" ht="12.75">
      <c r="A21" s="106" t="s">
        <v>1229</v>
      </c>
      <c r="B21" s="102" t="s">
        <v>6</v>
      </c>
      <c r="C21" s="102">
        <f>IF(AND(INDEX(NC_RT_indicator,,1)=1,INDEX(Coverage_for_Recreational_Trailer_Other_Property,,1)="Y"),1,0)</f>
        <v>0</v>
      </c>
      <c r="D21" s="102">
        <f>IF(AND(INDEX(NC_RT_indicator,,2)=1,INDEX(Coverage_for_Recreational_Trailer_Other_Property,,2)="Y"),1,0)</f>
        <v>0</v>
      </c>
      <c r="E21" s="102">
        <f>IF(AND(INDEX(NC_RT_indicator,,3)=1,INDEX(Coverage_for_Recreational_Trailer_Other_Property,,3)="Y"),1,0)</f>
        <v>0</v>
      </c>
      <c r="F21" s="102">
        <f>IF(AND(INDEX(NC_RT_indicator,,4)=1,INDEX(Coverage_for_Recreational_Trailer_Other_Property,,4)="Y"),1,0)</f>
        <v>0</v>
      </c>
      <c r="G21" s="102">
        <f>IF(AND(INDEX(NC_RT_indicator,,5)=1,INDEX(Coverage_for_Recreational_Trailer_Other_Property,,5)="Y"),1,0)</f>
        <v>0</v>
      </c>
      <c r="H21" s="102">
        <f>IF(AND(INDEX(NC_RT_indicator,,6)=1,INDEX(Coverage_for_Recreational_Trailer_Other_Property,,6)="Y"),1,0)</f>
        <v>0</v>
      </c>
      <c r="I21" s="1"/>
    </row>
    <row r="22" spans="1:9" ht="12.75">
      <c r="A22" s="106"/>
      <c r="B22" s="102" t="s">
        <v>7</v>
      </c>
      <c r="C22" s="102">
        <f>C10*C21*INDEX(RT_Other_Property_Fire_Rate,,1)</f>
        <v>0</v>
      </c>
      <c r="D22" s="102">
        <f>D10*D21*INDEX(RT_Other_Property_Fire_Rate,,2)</f>
        <v>0</v>
      </c>
      <c r="E22" s="102">
        <f>E10*E21*INDEX(RT_Other_Property_Fire_Rate,,3)</f>
        <v>0</v>
      </c>
      <c r="F22" s="102">
        <f>F10*F21*INDEX(RT_Other_Property_Fire_Rate,,4)</f>
        <v>0</v>
      </c>
      <c r="G22" s="102">
        <f>G10*G21*INDEX(RT_Other_Property_Fire_Rate,,5)</f>
        <v>0</v>
      </c>
      <c r="H22" s="102">
        <f>H10*H21*INDEX(RT_Other_Property_Fire_Rate,,6)</f>
        <v>0</v>
      </c>
      <c r="I22" s="1"/>
    </row>
    <row r="23" spans="1:9" ht="12.75">
      <c r="A23" s="106"/>
      <c r="B23" s="102" t="s">
        <v>8</v>
      </c>
      <c r="C23" s="102">
        <f>C10*C21*INDEX(RT_Other_Property_Theft_Rate,,1)</f>
        <v>0</v>
      </c>
      <c r="D23" s="102">
        <f>D10*D21*INDEX(RT_Other_Property_Theft_Rate,,2)</f>
        <v>0</v>
      </c>
      <c r="E23" s="102">
        <f>E10*E21*INDEX(RT_Other_Property_Theft_Rate,,3)</f>
        <v>0</v>
      </c>
      <c r="F23" s="102">
        <f>F10*F21*INDEX(RT_Other_Property_Theft_Rate,,4)</f>
        <v>0</v>
      </c>
      <c r="G23" s="102">
        <f>G10*G21*INDEX(RT_Other_Property_Theft_Rate,,5)</f>
        <v>0</v>
      </c>
      <c r="H23" s="102">
        <f>H10*H21*INDEX(RT_Other_Property_Theft_Rate,,6)</f>
        <v>0</v>
      </c>
      <c r="I23" s="1"/>
    </row>
    <row r="24" spans="1:9" ht="12.75">
      <c r="A24" s="106"/>
      <c r="B24" s="102" t="s">
        <v>9</v>
      </c>
      <c r="C24" s="102">
        <f>C10*C21*INDEX(RT_Other_Property_Windstorm_Rate,,1)</f>
        <v>0</v>
      </c>
      <c r="D24" s="102">
        <f>D10*D21*INDEX(RT_Other_Property_Windstorm_Rate,,2)</f>
        <v>0</v>
      </c>
      <c r="E24" s="102">
        <f>E10*E21*INDEX(RT_Other_Property_Windstorm_Rate,,3)</f>
        <v>0</v>
      </c>
      <c r="F24" s="102">
        <f>F10*F21*INDEX(RT_Other_Property_Windstorm_Rate,,4)</f>
        <v>0</v>
      </c>
      <c r="G24" s="102">
        <f>G10*G21*INDEX(RT_Other_Property_Windstorm_Rate,,5)</f>
        <v>0</v>
      </c>
      <c r="H24" s="102">
        <f>H10*H21*INDEX(RT_Other_Property_Windstorm_Rate,,6)</f>
        <v>0</v>
      </c>
      <c r="I24" s="1"/>
    </row>
    <row r="25" spans="1:9" ht="12.75">
      <c r="A25" s="106"/>
      <c r="B25" s="102" t="s">
        <v>10</v>
      </c>
      <c r="C25" s="102">
        <f>C10*C21*INDEX(RT_Other_Property_CAC_with_VMM_Rate,,1)*IF(INDEX(CAC_Option,,1)=1,1,0)</f>
        <v>0</v>
      </c>
      <c r="D25" s="102">
        <f>D10*D21*INDEX(RT_Other_Property_CAC_with_VMM_Rate,,2)*IF(INDEX(CAC_Option,,2)=1,1,0)</f>
        <v>0</v>
      </c>
      <c r="E25" s="102">
        <f>E10*E21*INDEX(RT_Other_Property_CAC_with_VMM_Rate,,3)*IF(INDEX(CAC_Option,,3)=1,1,0)</f>
        <v>0</v>
      </c>
      <c r="F25" s="102">
        <f>F10*F21*INDEX(RT_Other_Property_CAC_with_VMM_Rate,,4)*IF(INDEX(CAC_Option,,4)=1,1,0)</f>
        <v>0</v>
      </c>
      <c r="G25" s="102">
        <f>G10*G21*INDEX(RT_Other_Property_CAC_with_VMM_Rate,,5)*IF(INDEX(CAC_Option,,5)=1,1,0)</f>
        <v>0</v>
      </c>
      <c r="H25" s="102">
        <f>H10*H21*INDEX(RT_Other_Property_CAC_with_VMM_Rate,,6)*IF(INDEX(CAC_Option,,6)=1,1,0)</f>
        <v>0</v>
      </c>
      <c r="I25" s="1"/>
    </row>
    <row r="26" spans="1:9" ht="12.75">
      <c r="A26" s="106"/>
      <c r="B26" s="102" t="s">
        <v>11</v>
      </c>
      <c r="C26" s="102">
        <f>C10*C21*INDEX(RT_Other_Property_CAC_without_VMM_Rate,,1)*IF(INDEX(CAC_Option,,1)=2,1,0)</f>
        <v>0</v>
      </c>
      <c r="D26" s="102">
        <f>D10*D21*INDEX(RT_Other_Property_CAC_without_VMM_Rate,,2)*IF(INDEX(CAC_Option,,2)=2,1,0)</f>
        <v>0</v>
      </c>
      <c r="E26" s="102">
        <f>E10*E21*INDEX(RT_Other_Property_CAC_without_VMM_Rate,,3)*IF(INDEX(CAC_Option,,3)=2,1,0)</f>
        <v>0</v>
      </c>
      <c r="F26" s="102">
        <f>F10*F21*INDEX(RT_Other_Property_CAC_without_VMM_Rate,,4)*IF(INDEX(CAC_Option,,4)=2,1,0)</f>
        <v>0</v>
      </c>
      <c r="G26" s="102">
        <f>G10*G21*INDEX(RT_Other_Property_CAC_without_VMM_Rate,,5)*IF(INDEX(CAC_Option,,5)=2,1,0)</f>
        <v>0</v>
      </c>
      <c r="H26" s="102">
        <f>H10*H21*INDEX(RT_Other_Property_CAC_without_VMM_Rate,,6)*IF(INDEX(CAC_Option,,6)=2,1,0)</f>
        <v>0</v>
      </c>
      <c r="I26" s="1"/>
    </row>
    <row r="27" spans="1:9" ht="12.75">
      <c r="A27" s="106"/>
      <c r="B27" s="102" t="s">
        <v>12</v>
      </c>
      <c r="C27" s="102">
        <f aca="true" t="shared" si="5" ref="C27:H27">SUM(C22:C26)</f>
        <v>0</v>
      </c>
      <c r="D27" s="102">
        <f t="shared" si="5"/>
        <v>0</v>
      </c>
      <c r="E27" s="102">
        <f t="shared" si="5"/>
        <v>0</v>
      </c>
      <c r="F27" s="102">
        <f t="shared" si="5"/>
        <v>0</v>
      </c>
      <c r="G27" s="102">
        <f t="shared" si="5"/>
        <v>0</v>
      </c>
      <c r="H27" s="102">
        <f t="shared" si="5"/>
        <v>0</v>
      </c>
      <c r="I27" s="1"/>
    </row>
    <row r="28" spans="1:9" ht="12.75">
      <c r="A28" s="106"/>
      <c r="B28" s="102"/>
      <c r="C28" s="102"/>
      <c r="D28" s="102"/>
      <c r="E28" s="102"/>
      <c r="F28" s="102"/>
      <c r="G28" s="102"/>
      <c r="H28" s="102"/>
      <c r="I28" s="1"/>
    </row>
    <row r="29" spans="1:9" ht="12.75">
      <c r="A29" s="106" t="s">
        <v>13</v>
      </c>
      <c r="B29" s="102" t="s">
        <v>860</v>
      </c>
      <c r="C29" s="102">
        <f aca="true" t="shared" si="6" ref="C29:H29">Policy_Period_Factor</f>
        <v>0</v>
      </c>
      <c r="D29" s="102">
        <f t="shared" si="6"/>
        <v>0</v>
      </c>
      <c r="E29" s="102">
        <f t="shared" si="6"/>
        <v>0</v>
      </c>
      <c r="F29" s="102">
        <f t="shared" si="6"/>
        <v>0</v>
      </c>
      <c r="G29" s="102">
        <f t="shared" si="6"/>
        <v>0</v>
      </c>
      <c r="H29" s="102">
        <f t="shared" si="6"/>
        <v>0</v>
      </c>
      <c r="I29" s="1"/>
    </row>
    <row r="30" spans="1:9" ht="12.75">
      <c r="A30" s="106"/>
      <c r="B30" s="102" t="s">
        <v>14</v>
      </c>
      <c r="C30" s="102">
        <f aca="true" t="shared" si="7" ref="C30:H30">C27*C29</f>
        <v>0</v>
      </c>
      <c r="D30" s="102">
        <f t="shared" si="7"/>
        <v>0</v>
      </c>
      <c r="E30" s="102">
        <f t="shared" si="7"/>
        <v>0</v>
      </c>
      <c r="F30" s="102">
        <f t="shared" si="7"/>
        <v>0</v>
      </c>
      <c r="G30" s="102">
        <f t="shared" si="7"/>
        <v>0</v>
      </c>
      <c r="H30" s="102">
        <f t="shared" si="7"/>
        <v>0</v>
      </c>
      <c r="I30" s="1"/>
    </row>
    <row r="31" spans="1:9" ht="12.75">
      <c r="A31" s="106"/>
      <c r="B31" s="102"/>
      <c r="C31" s="102"/>
      <c r="D31" s="102"/>
      <c r="E31" s="102"/>
      <c r="F31" s="102"/>
      <c r="G31" s="102"/>
      <c r="H31" s="102"/>
      <c r="I31" s="1"/>
    </row>
    <row r="32" spans="1:9" ht="12.75">
      <c r="A32" s="106" t="s">
        <v>1231</v>
      </c>
      <c r="B32" s="102" t="s">
        <v>15</v>
      </c>
      <c r="C32" s="102">
        <f>IF(INDEX(NC_RT_indicator,,1)=1,1,0)</f>
        <v>1</v>
      </c>
      <c r="D32" s="102">
        <f>IF(INDEX(NC_RT_indicator,,2)=1,1,0)</f>
        <v>1</v>
      </c>
      <c r="E32" s="102">
        <f>IF(INDEX(NC_RT_indicator,,3)=1,1,0)</f>
        <v>1</v>
      </c>
      <c r="F32" s="102">
        <f>IF(INDEX(NC_RT_indicator,,4)=1,1,0)</f>
        <v>1</v>
      </c>
      <c r="G32" s="102">
        <f>IF(INDEX(NC_RT_indicator,,5)=1,1,0)</f>
        <v>1</v>
      </c>
      <c r="H32" s="102">
        <f>IF(INDEX(NC_RT_indicator,,6)=1,1,0)</f>
        <v>1</v>
      </c>
      <c r="I32" s="1"/>
    </row>
    <row r="33" spans="1:9" ht="12.75">
      <c r="A33" s="106"/>
      <c r="B33" s="102" t="s">
        <v>16</v>
      </c>
      <c r="C33" s="102">
        <f>C10*C32*INDEX(COMP_NC_RT_Deductible_Factor,,1)</f>
        <v>0</v>
      </c>
      <c r="D33" s="102">
        <f>D10*D32*INDEX(COMP_NC_RT_Deductible_Factor,,2)</f>
        <v>0</v>
      </c>
      <c r="E33" s="102">
        <f>E10*E32*INDEX(COMP_NC_RT_Deductible_Factor,,3)</f>
        <v>0</v>
      </c>
      <c r="F33" s="102">
        <f>F10*F32*INDEX(COMP_NC_RT_Deductible_Factor,,4)</f>
        <v>0</v>
      </c>
      <c r="G33" s="102">
        <f>G10*G32*INDEX(COMP_NC_RT_Deductible_Factor,,5)</f>
        <v>0</v>
      </c>
      <c r="H33" s="102">
        <f>H10*H32*INDEX(COMP_NC_RT_Deductible_Factor,,6)</f>
        <v>0</v>
      </c>
      <c r="I33" s="1"/>
    </row>
    <row r="34" spans="1:9" ht="12.75">
      <c r="A34" s="106"/>
      <c r="B34" s="102"/>
      <c r="C34" s="102"/>
      <c r="D34" s="102"/>
      <c r="E34" s="102"/>
      <c r="F34" s="102"/>
      <c r="G34" s="102"/>
      <c r="H34" s="102"/>
      <c r="I34" s="1"/>
    </row>
    <row r="35" spans="1:9" ht="12.75">
      <c r="A35" s="106" t="s">
        <v>1414</v>
      </c>
      <c r="B35" s="102" t="s">
        <v>860</v>
      </c>
      <c r="C35" s="102">
        <f aca="true" t="shared" si="8" ref="C35:H35">Policy_Period_Factor</f>
        <v>0</v>
      </c>
      <c r="D35" s="102">
        <f t="shared" si="8"/>
        <v>0</v>
      </c>
      <c r="E35" s="102">
        <f t="shared" si="8"/>
        <v>0</v>
      </c>
      <c r="F35" s="102">
        <f t="shared" si="8"/>
        <v>0</v>
      </c>
      <c r="G35" s="102">
        <f t="shared" si="8"/>
        <v>0</v>
      </c>
      <c r="H35" s="102">
        <f t="shared" si="8"/>
        <v>0</v>
      </c>
      <c r="I35" s="1"/>
    </row>
    <row r="36" spans="1:9" ht="12.75">
      <c r="A36" s="106"/>
      <c r="B36" s="102" t="s">
        <v>17</v>
      </c>
      <c r="C36" s="102">
        <f aca="true" t="shared" si="9" ref="C36:H36">C33*C35</f>
        <v>0</v>
      </c>
      <c r="D36" s="102">
        <f t="shared" si="9"/>
        <v>0</v>
      </c>
      <c r="E36" s="102">
        <f t="shared" si="9"/>
        <v>0</v>
      </c>
      <c r="F36" s="102">
        <f t="shared" si="9"/>
        <v>0</v>
      </c>
      <c r="G36" s="102">
        <f t="shared" si="9"/>
        <v>0</v>
      </c>
      <c r="H36" s="102">
        <f t="shared" si="9"/>
        <v>0</v>
      </c>
      <c r="I36" s="1"/>
    </row>
    <row r="37" spans="1:9" ht="12.75">
      <c r="A37" s="106"/>
      <c r="B37" s="102"/>
      <c r="C37" s="102"/>
      <c r="D37" s="102"/>
      <c r="E37" s="102"/>
      <c r="F37" s="102"/>
      <c r="G37" s="102"/>
      <c r="H37" s="102"/>
      <c r="I37" s="1"/>
    </row>
    <row r="38" spans="1:9" ht="12.75">
      <c r="A38" s="106" t="s">
        <v>1233</v>
      </c>
      <c r="B38" s="102" t="s">
        <v>18</v>
      </c>
      <c r="C38" s="102">
        <f>IF(INDEX(NC_RT_indicator,,1)=1,1,0)</f>
        <v>1</v>
      </c>
      <c r="D38" s="102">
        <f>IF(INDEX(NC_RT_indicator,,2)=1,1,0)</f>
        <v>1</v>
      </c>
      <c r="E38" s="102">
        <f>IF(INDEX(NC_RT_indicator,,3)=1,1,0)</f>
        <v>1</v>
      </c>
      <c r="F38" s="102">
        <f>IF(INDEX(NC_RT_indicator,,4)=1,1,0)</f>
        <v>1</v>
      </c>
      <c r="G38" s="102">
        <f>IF(INDEX(NC_RT_indicator,,5)=1,1,0)</f>
        <v>1</v>
      </c>
      <c r="H38" s="102">
        <f>IF(INDEX(NC_RT_indicator,,6)=1,1,0)</f>
        <v>1</v>
      </c>
      <c r="I38" s="1"/>
    </row>
    <row r="39" spans="1:9" ht="12.75">
      <c r="A39" s="106"/>
      <c r="B39" s="102" t="s">
        <v>19</v>
      </c>
      <c r="C39" s="102">
        <f>C38*INDEX(COLL_NC_RT_Deductible_Rate,,1)</f>
        <v>0</v>
      </c>
      <c r="D39" s="102">
        <f>D38*INDEX(COLL_NC_RT_Deductible_Rate,,2)</f>
        <v>0</v>
      </c>
      <c r="E39" s="102">
        <f>E38*INDEX(COLL_NC_RT_Deductible_Rate,,3)</f>
        <v>0</v>
      </c>
      <c r="F39" s="102">
        <f>F38*INDEX(COLL_NC_RT_Deductible_Rate,,4)</f>
        <v>0</v>
      </c>
      <c r="G39" s="102">
        <f>G38*INDEX(COLL_NC_RT_Deductible_Rate,,5)</f>
        <v>0</v>
      </c>
      <c r="H39" s="102">
        <f>H38*INDEX(COLL_NC_RT_Deductible_Rate,,6)</f>
        <v>0</v>
      </c>
      <c r="I39" s="1"/>
    </row>
    <row r="40" spans="1:9" ht="12.75">
      <c r="A40" s="106"/>
      <c r="B40" s="102"/>
      <c r="C40" s="102"/>
      <c r="D40" s="102"/>
      <c r="E40" s="102"/>
      <c r="F40" s="102"/>
      <c r="G40" s="102"/>
      <c r="H40" s="102"/>
      <c r="I40" s="1"/>
    </row>
    <row r="41" spans="1:9" ht="12.75">
      <c r="A41" s="106" t="s">
        <v>20</v>
      </c>
      <c r="B41" s="102" t="s">
        <v>860</v>
      </c>
      <c r="C41" s="102">
        <f aca="true" t="shared" si="10" ref="C41:H41">Policy_Period_Factor</f>
        <v>0</v>
      </c>
      <c r="D41" s="102">
        <f t="shared" si="10"/>
        <v>0</v>
      </c>
      <c r="E41" s="102">
        <f t="shared" si="10"/>
        <v>0</v>
      </c>
      <c r="F41" s="102">
        <f t="shared" si="10"/>
        <v>0</v>
      </c>
      <c r="G41" s="102">
        <f t="shared" si="10"/>
        <v>0</v>
      </c>
      <c r="H41" s="102">
        <f t="shared" si="10"/>
        <v>0</v>
      </c>
      <c r="I41" s="1"/>
    </row>
    <row r="42" spans="1:9" ht="12.75">
      <c r="A42" s="106"/>
      <c r="B42" s="102" t="s">
        <v>21</v>
      </c>
      <c r="C42" s="102">
        <f aca="true" t="shared" si="11" ref="C42:H42">C39*C41</f>
        <v>0</v>
      </c>
      <c r="D42" s="102">
        <f t="shared" si="11"/>
        <v>0</v>
      </c>
      <c r="E42" s="102">
        <f t="shared" si="11"/>
        <v>0</v>
      </c>
      <c r="F42" s="102">
        <f t="shared" si="11"/>
        <v>0</v>
      </c>
      <c r="G42" s="102">
        <f t="shared" si="11"/>
        <v>0</v>
      </c>
      <c r="H42" s="102">
        <f t="shared" si="11"/>
        <v>0</v>
      </c>
      <c r="I42" s="1"/>
    </row>
    <row r="43" spans="1:9" ht="12.75">
      <c r="A43" s="106"/>
      <c r="B43" s="102"/>
      <c r="C43" s="102"/>
      <c r="D43" s="102"/>
      <c r="E43" s="102"/>
      <c r="F43" s="102"/>
      <c r="G43" s="102"/>
      <c r="H43" s="102"/>
      <c r="I43" s="1"/>
    </row>
    <row r="44" spans="1:9" ht="12.75">
      <c r="A44" s="106" t="s">
        <v>1236</v>
      </c>
      <c r="B44" s="102" t="s">
        <v>22</v>
      </c>
      <c r="C44" s="102">
        <f>IF(AND(INDEX(NC_RT_indicator,,1)=0,INDEX(Coverage_for_Recreational_Trailer_Other_Property,,1)="Y"),1,0)</f>
        <v>0</v>
      </c>
      <c r="D44" s="102">
        <f>IF(AND(INDEX(NC_RT_indicator,,2)=0,INDEX(Coverage_for_Recreational_Trailer_Other_Property,,2)="Y"),1,0)</f>
        <v>0</v>
      </c>
      <c r="E44" s="102">
        <f>IF(AND(INDEX(NC_RT_indicator,,3)=0,INDEX(Coverage_for_Recreational_Trailer_Other_Property,,3)="Y"),1,0)</f>
        <v>0</v>
      </c>
      <c r="F44" s="102">
        <f>IF(AND(INDEX(NC_RT_indicator,,4)=0,INDEX(Coverage_for_Recreational_Trailer_Other_Property,,4)="Y"),1,0)</f>
        <v>0</v>
      </c>
      <c r="G44" s="102">
        <f>IF(AND(INDEX(NC_RT_indicator,,5)=0,INDEX(Coverage_for_Recreational_Trailer_Other_Property,,5)="Y"),1,0)</f>
        <v>0</v>
      </c>
      <c r="H44" s="102">
        <f>IF(AND(INDEX(NC_RT_indicator,,6)=0,INDEX(Coverage_for_Recreational_Trailer_Other_Property,,6)="Y"),1,0)</f>
        <v>0</v>
      </c>
      <c r="I44" s="1"/>
    </row>
    <row r="45" spans="1:9" ht="12.75">
      <c r="A45" s="106"/>
      <c r="B45" s="102" t="s">
        <v>23</v>
      </c>
      <c r="C45" s="102">
        <f>C10*C44*INDEX(RT_Other_Property_Fire_Rate,,1)</f>
        <v>0</v>
      </c>
      <c r="D45" s="102">
        <f>D10*D44*INDEX(RT_Other_Property_Fire_Rate,,2)</f>
        <v>0</v>
      </c>
      <c r="E45" s="102">
        <f>E10*E44*INDEX(RT_Other_Property_Fire_Rate,,3)</f>
        <v>0</v>
      </c>
      <c r="F45" s="102">
        <f>F10*F44*INDEX(RT_Other_Property_Fire_Rate,,4)</f>
        <v>0</v>
      </c>
      <c r="G45" s="102">
        <f>G10*G44*INDEX(RT_Other_Property_Fire_Rate,,5)</f>
        <v>0</v>
      </c>
      <c r="H45" s="102">
        <f>H10*H44*INDEX(RT_Other_Property_Fire_Rate,,6)</f>
        <v>0</v>
      </c>
      <c r="I45" s="1"/>
    </row>
    <row r="46" spans="1:9" ht="12.75">
      <c r="A46" s="106"/>
      <c r="B46" s="102" t="s">
        <v>24</v>
      </c>
      <c r="C46" s="102">
        <f>C10*C44*INDEX(RT_Other_Property_Theft_Rate,,1)</f>
        <v>0</v>
      </c>
      <c r="D46" s="102">
        <f>D10*D44*INDEX(RT_Other_Property_Theft_Rate,,2)</f>
        <v>0</v>
      </c>
      <c r="E46" s="102">
        <f>E10*E44*INDEX(RT_Other_Property_Theft_Rate,,3)</f>
        <v>0</v>
      </c>
      <c r="F46" s="102">
        <f>F10*F44*INDEX(RT_Other_Property_Theft_Rate,,4)</f>
        <v>0</v>
      </c>
      <c r="G46" s="102">
        <f>G10*G44*INDEX(RT_Other_Property_Theft_Rate,,5)</f>
        <v>0</v>
      </c>
      <c r="H46" s="102">
        <f>H10*H44*INDEX(RT_Other_Property_Theft_Rate,,6)</f>
        <v>0</v>
      </c>
      <c r="I46" s="1"/>
    </row>
    <row r="47" spans="1:9" ht="12.75">
      <c r="A47" s="106"/>
      <c r="B47" s="102" t="s">
        <v>25</v>
      </c>
      <c r="C47" s="102">
        <f>C10*C44*INDEX(RT_Other_Property_Windstorm_Rate,,1)</f>
        <v>0</v>
      </c>
      <c r="D47" s="102">
        <f>D10*D44*INDEX(RT_Other_Property_Windstorm_Rate,,2)</f>
        <v>0</v>
      </c>
      <c r="E47" s="102">
        <f>E10*E44*INDEX(RT_Other_Property_Windstorm_Rate,,3)</f>
        <v>0</v>
      </c>
      <c r="F47" s="102">
        <f>F10*F44*INDEX(RT_Other_Property_Windstorm_Rate,,4)</f>
        <v>0</v>
      </c>
      <c r="G47" s="102">
        <f>G10*G44*INDEX(RT_Other_Property_Windstorm_Rate,,5)</f>
        <v>0</v>
      </c>
      <c r="H47" s="102">
        <f>H10*H44*INDEX(RT_Other_Property_Windstorm_Rate,,6)</f>
        <v>0</v>
      </c>
      <c r="I47" s="1"/>
    </row>
    <row r="48" spans="1:9" ht="12.75">
      <c r="A48" s="106"/>
      <c r="B48" s="102" t="s">
        <v>26</v>
      </c>
      <c r="C48" s="102">
        <f>C10*C44*INDEX(RT_Other_Property_CAC_with_VMM_Rate,,1)*IF(INDEX(CAC_Option,,1)=1,1,0)</f>
        <v>0</v>
      </c>
      <c r="D48" s="102">
        <f>D10*D44*INDEX(RT_Other_Property_CAC_with_VMM_Rate,,2)*IF(INDEX(CAC_Option,,2)=1,1,0)</f>
        <v>0</v>
      </c>
      <c r="E48" s="102">
        <f>E10*E44*INDEX(RT_Other_Property_CAC_with_VMM_Rate,,3)*IF(INDEX(CAC_Option,,3)=1,1,0)</f>
        <v>0</v>
      </c>
      <c r="F48" s="102">
        <f>F10*F44*INDEX(RT_Other_Property_CAC_with_VMM_Rate,,4)*IF(INDEX(CAC_Option,,4)=1,1,0)</f>
        <v>0</v>
      </c>
      <c r="G48" s="102">
        <f>G10*G44*INDEX(RT_Other_Property_CAC_with_VMM_Rate,,5)*IF(INDEX(CAC_Option,,5)=1,1,0)</f>
        <v>0</v>
      </c>
      <c r="H48" s="102">
        <f>H10*H44*INDEX(RT_Other_Property_CAC_with_VMM_Rate,,6)*IF(INDEX(CAC_Option,,6)=1,1,0)</f>
        <v>0</v>
      </c>
      <c r="I48" s="1"/>
    </row>
    <row r="49" spans="1:9" ht="12.75">
      <c r="A49" s="106"/>
      <c r="B49" s="102" t="s">
        <v>27</v>
      </c>
      <c r="C49" s="102">
        <f>C10*C44*INDEX(RT_Other_Property_CAC_without_VMM_Rate,,1)*IF(INDEX(CAC_Option,,1)=2,1,0)</f>
        <v>0</v>
      </c>
      <c r="D49" s="102">
        <f>D10*D44*INDEX(RT_Other_Property_CAC_without_VMM_Rate,,2)*IF(INDEX(CAC_Option,,2)=2,1,0)</f>
        <v>0</v>
      </c>
      <c r="E49" s="102">
        <f>E10*E44*INDEX(RT_Other_Property_CAC_without_VMM_Rate,,3)*IF(INDEX(CAC_Option,,3)=2,1,0)</f>
        <v>0</v>
      </c>
      <c r="F49" s="102">
        <f>F10*F44*INDEX(RT_Other_Property_CAC_without_VMM_Rate,,4)*IF(INDEX(CAC_Option,,4)=2,1,0)</f>
        <v>0</v>
      </c>
      <c r="G49" s="102">
        <f>G10*G44*INDEX(RT_Other_Property_CAC_without_VMM_Rate,,5)*IF(INDEX(CAC_Option,,5)=2,1,0)</f>
        <v>0</v>
      </c>
      <c r="H49" s="102">
        <f>H10*H44*INDEX(RT_Other_Property_CAC_without_VMM_Rate,,6)*IF(INDEX(CAC_Option,,6)=2,1,0)</f>
        <v>0</v>
      </c>
      <c r="I49" s="1"/>
    </row>
    <row r="50" spans="1:9" ht="12.75">
      <c r="A50" s="106"/>
      <c r="B50" s="102" t="s">
        <v>28</v>
      </c>
      <c r="C50" s="102">
        <f aca="true" t="shared" si="12" ref="C50:H50">SUM(C45:C49)</f>
        <v>0</v>
      </c>
      <c r="D50" s="102">
        <f t="shared" si="12"/>
        <v>0</v>
      </c>
      <c r="E50" s="102">
        <f t="shared" si="12"/>
        <v>0</v>
      </c>
      <c r="F50" s="102">
        <f t="shared" si="12"/>
        <v>0</v>
      </c>
      <c r="G50" s="102">
        <f t="shared" si="12"/>
        <v>0</v>
      </c>
      <c r="H50" s="102">
        <f t="shared" si="12"/>
        <v>0</v>
      </c>
      <c r="I50" s="1"/>
    </row>
    <row r="51" spans="1:9" ht="12.75">
      <c r="A51" s="106"/>
      <c r="B51" s="102"/>
      <c r="C51" s="102"/>
      <c r="D51" s="102"/>
      <c r="E51" s="102"/>
      <c r="F51" s="102"/>
      <c r="G51" s="102"/>
      <c r="H51" s="102"/>
      <c r="I51" s="1"/>
    </row>
    <row r="52" spans="1:9" ht="12.75">
      <c r="A52" s="106" t="s">
        <v>29</v>
      </c>
      <c r="B52" s="102" t="s">
        <v>860</v>
      </c>
      <c r="C52" s="102">
        <f aca="true" t="shared" si="13" ref="C52:H52">Policy_Period_Factor</f>
        <v>0</v>
      </c>
      <c r="D52" s="102">
        <f t="shared" si="13"/>
        <v>0</v>
      </c>
      <c r="E52" s="102">
        <f t="shared" si="13"/>
        <v>0</v>
      </c>
      <c r="F52" s="102">
        <f t="shared" si="13"/>
        <v>0</v>
      </c>
      <c r="G52" s="102">
        <f t="shared" si="13"/>
        <v>0</v>
      </c>
      <c r="H52" s="102">
        <f t="shared" si="13"/>
        <v>0</v>
      </c>
      <c r="I52" s="1"/>
    </row>
    <row r="53" spans="1:9" ht="12.75">
      <c r="A53" s="106"/>
      <c r="B53" s="102" t="s">
        <v>30</v>
      </c>
      <c r="C53" s="102">
        <f aca="true" t="shared" si="14" ref="C53:H53">C50*C52</f>
        <v>0</v>
      </c>
      <c r="D53" s="102">
        <f t="shared" si="14"/>
        <v>0</v>
      </c>
      <c r="E53" s="102">
        <f t="shared" si="14"/>
        <v>0</v>
      </c>
      <c r="F53" s="102">
        <f t="shared" si="14"/>
        <v>0</v>
      </c>
      <c r="G53" s="102">
        <f t="shared" si="14"/>
        <v>0</v>
      </c>
      <c r="H53" s="102">
        <f t="shared" si="14"/>
        <v>0</v>
      </c>
      <c r="I53" s="1"/>
    </row>
    <row r="54" spans="1:9" ht="12.75">
      <c r="A54" s="106"/>
      <c r="B54" s="102"/>
      <c r="C54" s="102"/>
      <c r="D54" s="102"/>
      <c r="E54" s="102"/>
      <c r="F54" s="102"/>
      <c r="G54" s="102"/>
      <c r="H54" s="102"/>
      <c r="I54" s="1"/>
    </row>
    <row r="55" spans="1:9" ht="12.75">
      <c r="A55" s="106" t="s">
        <v>1238</v>
      </c>
      <c r="B55" s="102" t="s">
        <v>31</v>
      </c>
      <c r="C55" s="102">
        <f>IF(INDEX(NC_RT_indicator,,1)=0,1,0)</f>
        <v>0</v>
      </c>
      <c r="D55" s="102">
        <f>IF(INDEX(NC_RT_indicator,,2)=0,1,0)</f>
        <v>0</v>
      </c>
      <c r="E55" s="102">
        <f>IF(INDEX(NC_RT_indicator,,3)=0,1,0)</f>
        <v>0</v>
      </c>
      <c r="F55" s="102">
        <f>IF(INDEX(NC_RT_indicator,,4)=0,1,0)</f>
        <v>0</v>
      </c>
      <c r="G55" s="102">
        <f>IF(INDEX(NC_RT_indicator,,5)=0,1,0)</f>
        <v>0</v>
      </c>
      <c r="H55" s="102">
        <f>IF(INDEX(NC_RT_indicator,,6)=0,1,0)</f>
        <v>0</v>
      </c>
      <c r="I55" s="1"/>
    </row>
    <row r="56" spans="1:9" ht="12.75">
      <c r="A56" s="106"/>
      <c r="B56" s="102" t="s">
        <v>32</v>
      </c>
      <c r="C56" s="102">
        <f>C10*C55*INDEX(COMP_NC_RT_Deductible_Factor,,1)</f>
        <v>0</v>
      </c>
      <c r="D56" s="102">
        <f>D10*D55*INDEX(COMP_NC_RT_Deductible_Factor,,2)</f>
        <v>0</v>
      </c>
      <c r="E56" s="102">
        <f>E10*E55*INDEX(COMP_NC_RT_Deductible_Factor,,3)</f>
        <v>0</v>
      </c>
      <c r="F56" s="102">
        <f>F10*F55*INDEX(COMP_NC_RT_Deductible_Factor,,4)</f>
        <v>0</v>
      </c>
      <c r="G56" s="102">
        <f>G10*G55*INDEX(COMP_NC_RT_Deductible_Factor,,5)</f>
        <v>0</v>
      </c>
      <c r="H56" s="102">
        <f>H10*H55*INDEX(COMP_NC_RT_Deductible_Factor,,6)</f>
        <v>0</v>
      </c>
      <c r="I56" s="1"/>
    </row>
    <row r="57" spans="1:9" ht="12.75">
      <c r="A57" s="106"/>
      <c r="B57" s="102"/>
      <c r="C57" s="102"/>
      <c r="D57" s="102"/>
      <c r="E57" s="102"/>
      <c r="F57" s="102"/>
      <c r="G57" s="102"/>
      <c r="H57" s="102"/>
      <c r="I57" s="1"/>
    </row>
    <row r="58" spans="1:9" ht="12.75">
      <c r="A58" s="106" t="s">
        <v>1428</v>
      </c>
      <c r="B58" s="102" t="s">
        <v>860</v>
      </c>
      <c r="C58" s="102">
        <f aca="true" t="shared" si="15" ref="C58:H58">Policy_Period_Factor</f>
        <v>0</v>
      </c>
      <c r="D58" s="102">
        <f t="shared" si="15"/>
        <v>0</v>
      </c>
      <c r="E58" s="102">
        <f t="shared" si="15"/>
        <v>0</v>
      </c>
      <c r="F58" s="102">
        <f t="shared" si="15"/>
        <v>0</v>
      </c>
      <c r="G58" s="102">
        <f t="shared" si="15"/>
        <v>0</v>
      </c>
      <c r="H58" s="102">
        <f t="shared" si="15"/>
        <v>0</v>
      </c>
      <c r="I58" s="1"/>
    </row>
    <row r="59" spans="1:9" ht="12.75">
      <c r="A59" s="106"/>
      <c r="B59" s="102" t="s">
        <v>33</v>
      </c>
      <c r="C59" s="102">
        <f aca="true" t="shared" si="16" ref="C59:H59">C56*C58</f>
        <v>0</v>
      </c>
      <c r="D59" s="102">
        <f t="shared" si="16"/>
        <v>0</v>
      </c>
      <c r="E59" s="102">
        <f t="shared" si="16"/>
        <v>0</v>
      </c>
      <c r="F59" s="102">
        <f t="shared" si="16"/>
        <v>0</v>
      </c>
      <c r="G59" s="102">
        <f t="shared" si="16"/>
        <v>0</v>
      </c>
      <c r="H59" s="102">
        <f t="shared" si="16"/>
        <v>0</v>
      </c>
      <c r="I59" s="1"/>
    </row>
    <row r="60" spans="1:9" ht="12.75">
      <c r="A60" s="106"/>
      <c r="B60" s="102"/>
      <c r="C60" s="102"/>
      <c r="D60" s="102"/>
      <c r="E60" s="102"/>
      <c r="F60" s="102"/>
      <c r="G60" s="102"/>
      <c r="H60" s="102"/>
      <c r="I60" s="1"/>
    </row>
    <row r="61" spans="1:9" ht="12.75">
      <c r="A61" s="106" t="s">
        <v>1243</v>
      </c>
      <c r="B61" s="102" t="s">
        <v>34</v>
      </c>
      <c r="C61" s="102">
        <f>IF(INDEX(NC_RT_indicator,,1)=0,1,0)</f>
        <v>0</v>
      </c>
      <c r="D61" s="102">
        <f>IF(INDEX(NC_RT_indicator,,2)=0,1,0)</f>
        <v>0</v>
      </c>
      <c r="E61" s="102">
        <f>IF(INDEX(NC_RT_indicator,,3)=0,1,0)</f>
        <v>0</v>
      </c>
      <c r="F61" s="102">
        <f>IF(INDEX(NC_RT_indicator,,4)=0,1,0)</f>
        <v>0</v>
      </c>
      <c r="G61" s="102">
        <f>IF(INDEX(NC_RT_indicator,,5)=0,1,0)</f>
        <v>0</v>
      </c>
      <c r="H61" s="102">
        <f>IF(INDEX(NC_RT_indicator,,6)=0,1,0)</f>
        <v>0</v>
      </c>
      <c r="I61" s="1"/>
    </row>
    <row r="62" spans="1:9" ht="12.75">
      <c r="A62" s="106"/>
      <c r="B62" s="102" t="s">
        <v>35</v>
      </c>
      <c r="C62" s="102">
        <f>C61*INDEX(COLL_NC_RT_Deductible_Rate,,1)</f>
        <v>0</v>
      </c>
      <c r="D62" s="102">
        <f>D61*INDEX(COLL_NC_RT_Deductible_Rate,,2)</f>
        <v>0</v>
      </c>
      <c r="E62" s="102">
        <f>E61*INDEX(COLL_NC_RT_Deductible_Rate,,3)</f>
        <v>0</v>
      </c>
      <c r="F62" s="102">
        <f>F61*INDEX(COLL_NC_RT_Deductible_Rate,,4)</f>
        <v>0</v>
      </c>
      <c r="G62" s="102">
        <f>G61*INDEX(COLL_NC_RT_Deductible_Rate,,5)</f>
        <v>0</v>
      </c>
      <c r="H62" s="102">
        <f>H61*INDEX(COLL_NC_RT_Deductible_Rate,,6)</f>
        <v>0</v>
      </c>
      <c r="I62" s="1"/>
    </row>
    <row r="63" spans="1:9" ht="12.75">
      <c r="A63" s="106"/>
      <c r="B63" s="102"/>
      <c r="C63" s="102"/>
      <c r="D63" s="102"/>
      <c r="E63" s="102"/>
      <c r="F63" s="102"/>
      <c r="G63" s="102"/>
      <c r="H63" s="102"/>
      <c r="I63" s="1"/>
    </row>
    <row r="64" spans="1:9" ht="12.75">
      <c r="A64" s="106" t="s">
        <v>36</v>
      </c>
      <c r="B64" s="102" t="s">
        <v>860</v>
      </c>
      <c r="C64" s="102">
        <f aca="true" t="shared" si="17" ref="C64:H64">Policy_Period_Factor</f>
        <v>0</v>
      </c>
      <c r="D64" s="102">
        <f t="shared" si="17"/>
        <v>0</v>
      </c>
      <c r="E64" s="102">
        <f t="shared" si="17"/>
        <v>0</v>
      </c>
      <c r="F64" s="102">
        <f t="shared" si="17"/>
        <v>0</v>
      </c>
      <c r="G64" s="102">
        <f t="shared" si="17"/>
        <v>0</v>
      </c>
      <c r="H64" s="102">
        <f t="shared" si="17"/>
        <v>0</v>
      </c>
      <c r="I64" s="1"/>
    </row>
    <row r="65" spans="1:9" ht="12.75">
      <c r="A65" s="106"/>
      <c r="B65" s="102" t="s">
        <v>37</v>
      </c>
      <c r="C65" s="102">
        <f aca="true" t="shared" si="18" ref="C65:H65">C62*C64</f>
        <v>0</v>
      </c>
      <c r="D65" s="102">
        <f t="shared" si="18"/>
        <v>0</v>
      </c>
      <c r="E65" s="102">
        <f t="shared" si="18"/>
        <v>0</v>
      </c>
      <c r="F65" s="102">
        <f t="shared" si="18"/>
        <v>0</v>
      </c>
      <c r="G65" s="102">
        <f t="shared" si="18"/>
        <v>0</v>
      </c>
      <c r="H65" s="102">
        <f t="shared" si="18"/>
        <v>0</v>
      </c>
      <c r="I65" s="1"/>
    </row>
    <row r="66" ht="12.75">
      <c r="A66" s="31"/>
    </row>
    <row r="67" spans="1:9" s="102" customFormat="1" ht="12.75">
      <c r="A67" s="106"/>
      <c r="B67" s="102" t="s">
        <v>1267</v>
      </c>
      <c r="C67" s="102">
        <f>IF(AND(INDEX(Is_RT_Applicable_For_Vehicle,,1),Insured_State="NC"),1,0)</f>
        <v>0</v>
      </c>
      <c r="D67" s="102">
        <f>IF(AND(INDEX(Is_RT_Applicable_For_Vehicle,,2),Insured_State="NC"),1,0)</f>
        <v>0</v>
      </c>
      <c r="E67" s="102">
        <f>IF(AND(INDEX(Is_RT_Applicable_For_Vehicle,,3),Insured_State="NC"),1,0)</f>
        <v>0</v>
      </c>
      <c r="F67" s="102">
        <f>IF(AND(INDEX(Is_RT_Applicable_For_Vehicle,,4),Insured_State="NC"),1,0)</f>
        <v>0</v>
      </c>
      <c r="G67" s="102">
        <f>IF(AND(INDEX(Is_RT_Applicable_For_Vehicle,,5),Insured_State="NC"),1,0)</f>
        <v>0</v>
      </c>
      <c r="H67" s="102">
        <f>IF(AND(INDEX(Is_RT_Applicable_For_Vehicle,,6),Insured_State="NC"),1,0)</f>
        <v>0</v>
      </c>
      <c r="I67" s="1"/>
    </row>
    <row r="68" spans="1:9" s="102" customFormat="1" ht="12.75">
      <c r="A68" s="106"/>
      <c r="I68" s="1"/>
    </row>
    <row r="69" spans="1:9" s="112" customFormat="1" ht="12.75">
      <c r="A69" s="106" t="s">
        <v>1270</v>
      </c>
      <c r="B69" s="119" t="s">
        <v>38</v>
      </c>
      <c r="C69" s="119">
        <f aca="true" t="shared" si="19" ref="C69:H69">IF(OR(ISERROR(C8),C8&lt;=0,C67=0),0,C8)</f>
        <v>0</v>
      </c>
      <c r="D69" s="119">
        <f t="shared" si="19"/>
        <v>0</v>
      </c>
      <c r="E69" s="119">
        <f t="shared" si="19"/>
        <v>0</v>
      </c>
      <c r="F69" s="119">
        <f t="shared" si="19"/>
        <v>0</v>
      </c>
      <c r="G69" s="119">
        <f t="shared" si="19"/>
        <v>0</v>
      </c>
      <c r="H69" s="119">
        <f t="shared" si="19"/>
        <v>0</v>
      </c>
      <c r="I69" s="15"/>
    </row>
    <row r="70" spans="2:8" ht="12.75">
      <c r="B70" s="119" t="s">
        <v>3</v>
      </c>
      <c r="C70" s="118">
        <f aca="true" t="shared" si="20" ref="C70:H70">IF(OR(ISERROR(C19),C19&lt;=0,C67=0),0,C19)</f>
        <v>0</v>
      </c>
      <c r="D70" s="118">
        <f t="shared" si="20"/>
        <v>0</v>
      </c>
      <c r="E70" s="118">
        <f t="shared" si="20"/>
        <v>0</v>
      </c>
      <c r="F70" s="118">
        <f t="shared" si="20"/>
        <v>0</v>
      </c>
      <c r="G70" s="118">
        <f t="shared" si="20"/>
        <v>0</v>
      </c>
      <c r="H70" s="118">
        <f t="shared" si="20"/>
        <v>0</v>
      </c>
    </row>
    <row r="71" spans="2:8" ht="12.75">
      <c r="B71" s="119" t="s">
        <v>12</v>
      </c>
      <c r="C71" s="118">
        <f aca="true" t="shared" si="21" ref="C71:H71">IF(OR(ISERROR(C30),C30&lt;=0,C67=0),0,C30)</f>
        <v>0</v>
      </c>
      <c r="D71" s="118">
        <f t="shared" si="21"/>
        <v>0</v>
      </c>
      <c r="E71" s="118">
        <f t="shared" si="21"/>
        <v>0</v>
      </c>
      <c r="F71" s="118">
        <f t="shared" si="21"/>
        <v>0</v>
      </c>
      <c r="G71" s="118">
        <f t="shared" si="21"/>
        <v>0</v>
      </c>
      <c r="H71" s="118">
        <f t="shared" si="21"/>
        <v>0</v>
      </c>
    </row>
    <row r="72" spans="2:8" ht="12.75">
      <c r="B72" s="119" t="s">
        <v>1549</v>
      </c>
      <c r="C72" s="118">
        <f aca="true" t="shared" si="22" ref="C72:H72">IF(OR(ISERROR(C36),C36&lt;=0,C67=0),0,C36)</f>
        <v>0</v>
      </c>
      <c r="D72" s="118">
        <f t="shared" si="22"/>
        <v>0</v>
      </c>
      <c r="E72" s="118">
        <f t="shared" si="22"/>
        <v>0</v>
      </c>
      <c r="F72" s="118">
        <f t="shared" si="22"/>
        <v>0</v>
      </c>
      <c r="G72" s="118">
        <f t="shared" si="22"/>
        <v>0</v>
      </c>
      <c r="H72" s="118">
        <f t="shared" si="22"/>
        <v>0</v>
      </c>
    </row>
    <row r="73" spans="2:8" ht="12.75">
      <c r="B73" s="119" t="s">
        <v>1550</v>
      </c>
      <c r="C73" s="118">
        <f aca="true" t="shared" si="23" ref="C73:H73">IF(OR(ISERROR(C42),C42&lt;=0,C67=0),0,C42)</f>
        <v>0</v>
      </c>
      <c r="D73" s="118">
        <f t="shared" si="23"/>
        <v>0</v>
      </c>
      <c r="E73" s="118">
        <f t="shared" si="23"/>
        <v>0</v>
      </c>
      <c r="F73" s="118">
        <f t="shared" si="23"/>
        <v>0</v>
      </c>
      <c r="G73" s="118">
        <f t="shared" si="23"/>
        <v>0</v>
      </c>
      <c r="H73" s="118">
        <f t="shared" si="23"/>
        <v>0</v>
      </c>
    </row>
    <row r="74" spans="2:8" ht="12.75">
      <c r="B74" s="119" t="s">
        <v>28</v>
      </c>
      <c r="C74" s="118">
        <f aca="true" t="shared" si="24" ref="C74:H74">IF(OR(ISERROR(C53),C53&lt;=0,C67=0),0,C53)</f>
        <v>0</v>
      </c>
      <c r="D74" s="118">
        <f t="shared" si="24"/>
        <v>0</v>
      </c>
      <c r="E74" s="118">
        <f t="shared" si="24"/>
        <v>0</v>
      </c>
      <c r="F74" s="118">
        <f t="shared" si="24"/>
        <v>0</v>
      </c>
      <c r="G74" s="118">
        <f t="shared" si="24"/>
        <v>0</v>
      </c>
      <c r="H74" s="118">
        <f t="shared" si="24"/>
        <v>0</v>
      </c>
    </row>
    <row r="75" spans="2:8" ht="12.75">
      <c r="B75" s="119" t="s">
        <v>39</v>
      </c>
      <c r="C75" s="118">
        <f aca="true" t="shared" si="25" ref="C75:H75">IF(OR(ISERROR(C59),C59&lt;=0,C67=0),0,C59)</f>
        <v>0</v>
      </c>
      <c r="D75" s="118">
        <f t="shared" si="25"/>
        <v>0</v>
      </c>
      <c r="E75" s="118">
        <f t="shared" si="25"/>
        <v>0</v>
      </c>
      <c r="F75" s="118">
        <f t="shared" si="25"/>
        <v>0</v>
      </c>
      <c r="G75" s="118">
        <f t="shared" si="25"/>
        <v>0</v>
      </c>
      <c r="H75" s="118">
        <f t="shared" si="25"/>
        <v>0</v>
      </c>
    </row>
    <row r="76" spans="2:8" ht="12.75">
      <c r="B76" s="119" t="s">
        <v>40</v>
      </c>
      <c r="C76" s="118">
        <f aca="true" t="shared" si="26" ref="C76:H76">IF(OR(ISERROR(C65),C65&lt;=0,C67=0),0,C65)</f>
        <v>0</v>
      </c>
      <c r="D76" s="118">
        <f t="shared" si="26"/>
        <v>0</v>
      </c>
      <c r="E76" s="118">
        <f t="shared" si="26"/>
        <v>0</v>
      </c>
      <c r="F76" s="118">
        <f t="shared" si="26"/>
        <v>0</v>
      </c>
      <c r="G76" s="118">
        <f t="shared" si="26"/>
        <v>0</v>
      </c>
      <c r="H76" s="118">
        <f t="shared" si="26"/>
        <v>0</v>
      </c>
    </row>
  </sheetData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V90"/>
  <sheetViews>
    <sheetView zoomScale="75" zoomScaleNormal="75" workbookViewId="0" topLeftCell="A79">
      <selection activeCell="C51" sqref="C51"/>
    </sheetView>
  </sheetViews>
  <sheetFormatPr defaultColWidth="9.140625" defaultRowHeight="12.75"/>
  <cols>
    <col min="2" max="2" width="36.140625" style="0" customWidth="1"/>
    <col min="9" max="9" width="31.8515625" style="0" customWidth="1"/>
  </cols>
  <sheetData>
    <row r="1" spans="1:9" ht="20.25" customHeight="1">
      <c r="A1" s="103"/>
      <c r="B1" s="104" t="s">
        <v>41</v>
      </c>
      <c r="C1" s="103"/>
      <c r="D1" s="103"/>
      <c r="E1" s="103"/>
      <c r="F1" s="102"/>
      <c r="G1" s="102"/>
      <c r="H1" s="102"/>
      <c r="I1" s="1"/>
    </row>
    <row r="3" spans="1:9" s="106" customFormat="1" ht="12.75">
      <c r="A3" s="106" t="s">
        <v>1206</v>
      </c>
      <c r="B3" s="106" t="s">
        <v>1207</v>
      </c>
      <c r="C3" s="106" t="s">
        <v>428</v>
      </c>
      <c r="D3" s="106" t="s">
        <v>429</v>
      </c>
      <c r="E3" s="106" t="s">
        <v>430</v>
      </c>
      <c r="F3" s="106" t="s">
        <v>431</v>
      </c>
      <c r="G3" s="106" t="s">
        <v>432</v>
      </c>
      <c r="H3" s="106" t="s">
        <v>433</v>
      </c>
      <c r="I3" s="6" t="s">
        <v>229</v>
      </c>
    </row>
    <row r="4" s="106" customFormat="1" ht="12.75">
      <c r="I4" s="6"/>
    </row>
    <row r="5" spans="1:9" s="102" customFormat="1" ht="12.75">
      <c r="A5" s="106" t="s">
        <v>1208</v>
      </c>
      <c r="B5" s="102" t="s">
        <v>1209</v>
      </c>
      <c r="C5" s="102">
        <f>INDEX(IF(CSL,CSL_Base_rate,BI_Base_rate),1,1)</f>
        <v>0</v>
      </c>
      <c r="D5" s="102">
        <f>INDEX(IF(CSL,CSL_Base_rate,BI_Base_rate),1,2)</f>
        <v>0</v>
      </c>
      <c r="E5" s="102">
        <f>INDEX(IF(CSL,CSL_Base_rate,BI_Base_rate),1,3)</f>
        <v>0</v>
      </c>
      <c r="F5" s="102">
        <f>INDEX(IF(CSL,CSL_Base_rate,BI_Base_rate),1,4)</f>
        <v>0</v>
      </c>
      <c r="G5" s="102">
        <f>INDEX(IF(CSL,CSL_Base_rate,BI_Base_rate),1,5)</f>
        <v>0</v>
      </c>
      <c r="H5" s="102">
        <f>INDEX(IF(CSL,CSL_Base_rate,BI_Base_rate),1,6)</f>
        <v>0</v>
      </c>
      <c r="I5" s="1"/>
    </row>
    <row r="6" spans="1:9" s="102" customFormat="1" ht="12.75">
      <c r="A6" s="106"/>
      <c r="B6" s="102" t="s">
        <v>1210</v>
      </c>
      <c r="C6" s="102">
        <f>IF(CSL,0,INDEX(NC_Adjusted_BI_Rate,,1))</f>
        <v>0</v>
      </c>
      <c r="D6" s="102">
        <f>IF(CSL,0,INDEX(NC_Adjusted_BI_Rate,,2))</f>
        <v>0</v>
      </c>
      <c r="E6" s="102">
        <f>IF(CSL,0,INDEX(NC_Adjusted_BI_Rate,,3))</f>
        <v>0</v>
      </c>
      <c r="F6" s="102">
        <f>IF(CSL,0,INDEX(NC_Adjusted_BI_Rate,,4))</f>
        <v>0</v>
      </c>
      <c r="G6" s="102">
        <f>IF(CSL,0,INDEX(NC_Adjusted_BI_Rate,,5))</f>
        <v>0</v>
      </c>
      <c r="H6" s="102">
        <f>IF(CSL,0,INDEX(NC_Adjusted_BI_Rate,,6))</f>
        <v>0</v>
      </c>
      <c r="I6" s="1"/>
    </row>
    <row r="7" spans="1:9" s="102" customFormat="1" ht="12.75">
      <c r="A7" s="106"/>
      <c r="B7" s="102" t="s">
        <v>1211</v>
      </c>
      <c r="C7" s="102">
        <f aca="true" t="shared" si="0" ref="C7:H7">SUM(C5:C6)</f>
        <v>0</v>
      </c>
      <c r="D7" s="102">
        <f t="shared" si="0"/>
        <v>0</v>
      </c>
      <c r="E7" s="102">
        <f t="shared" si="0"/>
        <v>0</v>
      </c>
      <c r="F7" s="102">
        <f t="shared" si="0"/>
        <v>0</v>
      </c>
      <c r="G7" s="102">
        <f t="shared" si="0"/>
        <v>0</v>
      </c>
      <c r="H7" s="102">
        <f t="shared" si="0"/>
        <v>0</v>
      </c>
      <c r="I7" s="1"/>
    </row>
    <row r="8" spans="1:9" s="102" customFormat="1" ht="12.75">
      <c r="A8" s="106"/>
      <c r="B8" s="107"/>
      <c r="I8" s="1"/>
    </row>
    <row r="9" spans="1:9" s="102" customFormat="1" ht="12.75">
      <c r="A9" s="106" t="s">
        <v>1214</v>
      </c>
      <c r="I9" s="1"/>
    </row>
    <row r="10" spans="1:9" s="102" customFormat="1" ht="12.75">
      <c r="A10" s="106"/>
      <c r="B10" s="102" t="s">
        <v>42</v>
      </c>
      <c r="C10" s="102">
        <f>IF(OR(INDEX(Vehicle_Type,,1)="MC",INDEX(Vehicle_Type,,1)="CMCMS",INDEX(Vehicle_Type,,1)="GO"),INDEX(MotorCycle_Rating_Factor_Liability,,1),0)</f>
        <v>0</v>
      </c>
      <c r="D10" s="102">
        <f>IF(OR(INDEX(Vehicle_Type,,2)="MC",INDEX(Vehicle_Type,,2)="CMCMS",INDEX(Vehicle_Type,,2)="GO"),INDEX(MotorCycle_Rating_Factor_Liability,,2),0)</f>
        <v>0</v>
      </c>
      <c r="E10" s="102">
        <f>IF(OR(INDEX(Vehicle_Type,,3)="MC",INDEX(Vehicle_Type,,3)="CMCMS",INDEX(Vehicle_Type,,3)="GO"),INDEX(MotorCycle_Rating_Factor_Liability,,3),0)</f>
        <v>0</v>
      </c>
      <c r="F10" s="102">
        <f>IF(OR(INDEX(Vehicle_Type,,4)="MC",INDEX(Vehicle_Type,,4)="CMCMS",INDEX(Vehicle_Type,,4)="GO"),INDEX(MotorCycle_Rating_Factor_Liability,,4),0)</f>
        <v>0</v>
      </c>
      <c r="G10" s="102">
        <f>IF(OR(INDEX(Vehicle_Type,,5)="MC",INDEX(Vehicle_Type,,5)="CMCMS",INDEX(Vehicle_Type,,5)="GO"),INDEX(MotorCycle_Rating_Factor_Liability,,5),0)</f>
        <v>0</v>
      </c>
      <c r="H10" s="102">
        <f>IF(OR(INDEX(Vehicle_Type,,6)="MC",INDEX(Vehicle_Type,,6)="CMCMS",INDEX(Vehicle_Type,,6)="GO"),INDEX(MotorCycle_Rating_Factor_Liability,,6),0)</f>
        <v>0</v>
      </c>
      <c r="I10" s="1"/>
    </row>
    <row r="11" spans="1:9" s="102" customFormat="1" ht="12.75">
      <c r="A11" s="106"/>
      <c r="B11" s="102" t="s">
        <v>43</v>
      </c>
      <c r="C11" s="102">
        <f>IF(AND(Insured_State&lt;&gt;"NC",OR(INDEX(Vehicle_Type,,1)="SNOWM",INDEX(Vehicle_Type,,1)="ATV")),SNOWM_Factor_Liability,0)</f>
        <v>0</v>
      </c>
      <c r="D11" s="102">
        <f>IF(AND(Insured_State&lt;&gt;"NC",OR(INDEX(Vehicle_Type,,2)="SNOWM",INDEX(Vehicle_Type,,2)="ATV")),SNOWM_Factor_Liability,0)</f>
        <v>0</v>
      </c>
      <c r="E11" s="102">
        <f>IF(AND(Insured_State&lt;&gt;"NC",OR(INDEX(Vehicle_Type,,3)="SNOWM",INDEX(Vehicle_Type,,3)="ATV")),SNOWM_Factor_Liability,0)</f>
        <v>0</v>
      </c>
      <c r="F11" s="102">
        <f>IF(AND(Insured_State&lt;&gt;"NC",OR(INDEX(Vehicle_Type,,4)="SNOWM",INDEX(Vehicle_Type,,4)="ATV")),SNOWM_Factor_Liability,0)</f>
        <v>0</v>
      </c>
      <c r="G11" s="102">
        <f>IF(AND(Insured_State&lt;&gt;"NC",OR(INDEX(Vehicle_Type,,5)="SNOWM",INDEX(Vehicle_Type,,5)="ATV")),SNOWM_Factor_Liability,0)</f>
        <v>0</v>
      </c>
      <c r="H11" s="102">
        <f>IF(AND(Insured_State&lt;&gt;"NC",OR(INDEX(Vehicle_Type,,6)="SNOWM",INDEX(Vehicle_Type,,6)="ATV")),SNOWM_Factor_Liability,0)</f>
        <v>0</v>
      </c>
      <c r="I11" s="1"/>
    </row>
    <row r="12" spans="1:9" s="102" customFormat="1" ht="12.75">
      <c r="A12" s="106"/>
      <c r="B12" s="102" t="s">
        <v>44</v>
      </c>
      <c r="C12" s="102">
        <f>IF(INDEX(Vehicle_Type,,1)="DB",DuneBuggy_Factor_Liability,0)</f>
        <v>0</v>
      </c>
      <c r="D12" s="102">
        <f>IF(INDEX(Vehicle_Type,,2)="DB",DuneBuggy_Factor_Liability,0)</f>
        <v>0</v>
      </c>
      <c r="E12" s="102">
        <f>IF(INDEX(Vehicle_Type,,3)="DB",DuneBuggy_Factor_Liability,0)</f>
        <v>0</v>
      </c>
      <c r="F12" s="102">
        <f>IF(INDEX(Vehicle_Type,,4)="DB",DuneBuggy_Factor_Liability,0)</f>
        <v>0</v>
      </c>
      <c r="G12" s="102">
        <f>IF(INDEX(Vehicle_Type,,5)="DB",DuneBuggy_Factor_Liability,0)</f>
        <v>0</v>
      </c>
      <c r="H12" s="102">
        <f>IF(INDEX(Vehicle_Type,,6)="DB",DuneBuggy_Factor_Liability,0)</f>
        <v>0</v>
      </c>
      <c r="I12" s="1"/>
    </row>
    <row r="13" spans="1:9" s="102" customFormat="1" ht="12.75">
      <c r="A13" s="106"/>
      <c r="B13" s="102" t="s">
        <v>45</v>
      </c>
      <c r="C13" s="102">
        <f>IF(INDEX(Vehicle_Type,,1)="GC",GolfCart_Factor_Liability,0)</f>
        <v>0</v>
      </c>
      <c r="D13" s="102">
        <f>IF(INDEX(Vehicle_Type,,2)="GC",GolfCart_Factor_Liability,0)</f>
        <v>0</v>
      </c>
      <c r="E13" s="102">
        <f>IF(INDEX(Vehicle_Type,,3)="GC",GolfCart_Factor_Liability,0)</f>
        <v>0</v>
      </c>
      <c r="F13" s="102">
        <f>IF(INDEX(Vehicle_Type,,4)="GC",GolfCart_Factor_Liability,0)</f>
        <v>0</v>
      </c>
      <c r="G13" s="102">
        <f>IF(INDEX(Vehicle_Type,,5)="GC",GolfCart_Factor_Liability,0)</f>
        <v>0</v>
      </c>
      <c r="H13" s="102">
        <f>IF(INDEX(Vehicle_Type,,6)="GC",GolfCart_Factor_Liability,0)</f>
        <v>0</v>
      </c>
      <c r="I13" s="1"/>
    </row>
    <row r="14" spans="1:9" s="102" customFormat="1" ht="12.75">
      <c r="A14" s="106"/>
      <c r="B14" s="102" t="s">
        <v>46</v>
      </c>
      <c r="C14" s="102">
        <f>IF(INDEX(Vehicle_Type,,1)="AA",AntiqueAuto_Factor_Liability,0)</f>
        <v>0</v>
      </c>
      <c r="D14" s="102">
        <f>IF(INDEX(Vehicle_Type,,2)="AA",AntiqueAuto_Factor_Liability,0)</f>
        <v>0</v>
      </c>
      <c r="E14" s="102">
        <f>IF(INDEX(Vehicle_Type,,3)="AA",AntiqueAuto_Factor_Liability,0)</f>
        <v>0</v>
      </c>
      <c r="F14" s="102">
        <f>IF(INDEX(Vehicle_Type,,4)="AA",AntiqueAuto_Factor_Liability,0)</f>
        <v>0</v>
      </c>
      <c r="G14" s="102">
        <f>IF(INDEX(Vehicle_Type,,5)="AA",AntiqueAuto_Factor_Liability,0)</f>
        <v>0</v>
      </c>
      <c r="H14" s="102">
        <f>IF(INDEX(Vehicle_Type,,6)="AA",AntiqueAuto_Factor_Liability,0)</f>
        <v>0</v>
      </c>
      <c r="I14" s="1"/>
    </row>
    <row r="15" spans="1:9" s="102" customFormat="1" ht="12.75" customHeight="1">
      <c r="A15" s="106"/>
      <c r="B15" s="102" t="s">
        <v>47</v>
      </c>
      <c r="C15" s="102">
        <f aca="true" t="shared" si="1" ref="C15:H15">IF(SUM(C10:C14)&lt;=0,1,SUM(C10:C14))</f>
        <v>1</v>
      </c>
      <c r="D15" s="102">
        <f t="shared" si="1"/>
        <v>1</v>
      </c>
      <c r="E15" s="102">
        <f t="shared" si="1"/>
        <v>1</v>
      </c>
      <c r="F15" s="102">
        <f t="shared" si="1"/>
        <v>1</v>
      </c>
      <c r="G15" s="102">
        <f t="shared" si="1"/>
        <v>1</v>
      </c>
      <c r="H15" s="102">
        <f t="shared" si="1"/>
        <v>1</v>
      </c>
      <c r="I15" s="1" t="s">
        <v>48</v>
      </c>
    </row>
    <row r="16" spans="2:9" s="102" customFormat="1" ht="12.75">
      <c r="B16" s="108" t="s">
        <v>1219</v>
      </c>
      <c r="C16" s="102">
        <f aca="true" t="shared" si="2" ref="C16:H16">(C7*C15)</f>
        <v>0</v>
      </c>
      <c r="D16" s="102">
        <f t="shared" si="2"/>
        <v>0</v>
      </c>
      <c r="E16" s="102">
        <f t="shared" si="2"/>
        <v>0</v>
      </c>
      <c r="F16" s="102">
        <f t="shared" si="2"/>
        <v>0</v>
      </c>
      <c r="G16" s="102">
        <f t="shared" si="2"/>
        <v>0</v>
      </c>
      <c r="H16" s="102">
        <f t="shared" si="2"/>
        <v>0</v>
      </c>
      <c r="I16" s="1"/>
    </row>
    <row r="17" spans="2:9" s="102" customFormat="1" ht="12.75">
      <c r="B17" s="108"/>
      <c r="I17" s="1"/>
    </row>
    <row r="18" spans="1:9" s="102" customFormat="1" ht="12.75">
      <c r="A18" s="106" t="s">
        <v>1334</v>
      </c>
      <c r="B18" s="102" t="s">
        <v>1215</v>
      </c>
      <c r="C18" s="102">
        <f>INDEX(IF(CSL,CSL_Increased_Limits_Factor,BI_Increased_Limits_Factor),1,1)</f>
        <v>0</v>
      </c>
      <c r="D18" s="102">
        <f>INDEX(IF(CSL,CSL_Increased_Limits_Factor,BI_Increased_Limits_Factor),1,2)</f>
        <v>0</v>
      </c>
      <c r="E18" s="102">
        <f>INDEX(IF(CSL,CSL_Increased_Limits_Factor,BI_Increased_Limits_Factor),1,3)</f>
        <v>0</v>
      </c>
      <c r="F18" s="102">
        <f>INDEX(IF(CSL,CSL_Increased_Limits_Factor,BI_Increased_Limits_Factor),1,4)</f>
        <v>0</v>
      </c>
      <c r="G18" s="102">
        <f>INDEX(IF(CSL,CSL_Increased_Limits_Factor,BI_Increased_Limits_Factor),1,5)</f>
        <v>0</v>
      </c>
      <c r="H18" s="102">
        <f>INDEX(IF(CSL,CSL_Increased_Limits_Factor,BI_Increased_Limits_Factor),1,6)</f>
        <v>0</v>
      </c>
      <c r="I18" s="1"/>
    </row>
    <row r="19" spans="1:9" s="102" customFormat="1" ht="12.75">
      <c r="A19" s="106"/>
      <c r="B19" s="102" t="s">
        <v>49</v>
      </c>
      <c r="C19" s="102">
        <f>INDEX(IF(CSL,Non_PIP_Vehicle_CSL_Rate,Non_PIP_Vehicle_BI_Rate),1,1)</f>
        <v>0</v>
      </c>
      <c r="D19" s="102">
        <f>INDEX(IF(CSL,Non_PIP_Vehicle_CSL_Rate,Non_PIP_Vehicle_BI_Rate),1,2)</f>
        <v>0</v>
      </c>
      <c r="E19" s="102">
        <f>INDEX(IF(CSL,Non_PIP_Vehicle_CSL_Rate,Non_PIP_Vehicle_BI_Rate),1,3)</f>
        <v>0</v>
      </c>
      <c r="F19" s="102">
        <f>INDEX(IF(CSL,Non_PIP_Vehicle_CSL_Rate,Non_PIP_Vehicle_BI_Rate),1,4)</f>
        <v>0</v>
      </c>
      <c r="G19" s="102">
        <f>INDEX(IF(CSL,Non_PIP_Vehicle_CSL_Rate,Non_PIP_Vehicle_BI_Rate),1,5)</f>
        <v>0</v>
      </c>
      <c r="H19" s="102">
        <f>INDEX(IF(CSL,Non_PIP_Vehicle_CSL_Rate,Non_PIP_Vehicle_BI_Rate),1,6)</f>
        <v>0</v>
      </c>
      <c r="I19" s="1" t="s">
        <v>50</v>
      </c>
    </row>
    <row r="20" spans="1:9" s="102" customFormat="1" ht="12.75">
      <c r="A20" s="106"/>
      <c r="B20" s="102" t="s">
        <v>51</v>
      </c>
      <c r="C20" s="102">
        <f>INDEX(IF(CSL,PA_Non_PIP_CSL_Increated_Limit_Factor,PA_Non_PIP_BI_Increated_Limit_Factor),1,1)</f>
        <v>0</v>
      </c>
      <c r="D20" s="102">
        <f>INDEX(IF(CSL,PA_Non_PIP_CSL_Increated_Limit_Factor,PA_Non_PIP_BI_Increated_Limit_Factor),1,2)</f>
        <v>0</v>
      </c>
      <c r="E20" s="102">
        <f>INDEX(IF(CSL,PA_Non_PIP_CSL_Increated_Limit_Factor,PA_Non_PIP_BI_Increated_Limit_Factor),1,3)</f>
        <v>0</v>
      </c>
      <c r="F20" s="102">
        <f>INDEX(IF(CSL,PA_Non_PIP_CSL_Increated_Limit_Factor,PA_Non_PIP_BI_Increated_Limit_Factor),1,4)</f>
        <v>0</v>
      </c>
      <c r="G20" s="102">
        <f>INDEX(IF(CSL,PA_Non_PIP_CSL_Increated_Limit_Factor,PA_Non_PIP_BI_Increated_Limit_Factor),1,5)</f>
        <v>0</v>
      </c>
      <c r="H20" s="102">
        <f>INDEX(IF(CSL,PA_Non_PIP_CSL_Increated_Limit_Factor,PA_Non_PIP_BI_Increated_Limit_Factor),1,6)</f>
        <v>0</v>
      </c>
      <c r="I20" s="1" t="s">
        <v>52</v>
      </c>
    </row>
    <row r="21" spans="1:9" s="102" customFormat="1" ht="12.75">
      <c r="A21" s="106"/>
      <c r="B21" s="102" t="s">
        <v>1217</v>
      </c>
      <c r="C21" s="102">
        <f aca="true" t="shared" si="3" ref="C21:H21">IF(AND(Pedestrain_PIP_Coverage="Y",C20&gt;0),C20,1)*IF(Insured_State="NC",1,C18)*IF(C19&lt;=0,1,C19)</f>
        <v>0</v>
      </c>
      <c r="D21" s="102">
        <f t="shared" si="3"/>
        <v>0</v>
      </c>
      <c r="E21" s="102">
        <f t="shared" si="3"/>
        <v>0</v>
      </c>
      <c r="F21" s="102">
        <f t="shared" si="3"/>
        <v>0</v>
      </c>
      <c r="G21" s="102">
        <f t="shared" si="3"/>
        <v>0</v>
      </c>
      <c r="H21" s="102">
        <f t="shared" si="3"/>
        <v>0</v>
      </c>
      <c r="I21" s="1"/>
    </row>
    <row r="22" spans="1:9" s="102" customFormat="1" ht="12.75">
      <c r="A22" s="106" t="s">
        <v>1222</v>
      </c>
      <c r="B22" s="108" t="s">
        <v>53</v>
      </c>
      <c r="C22" s="102">
        <f aca="true" t="shared" si="4" ref="C22:H22">C16*C21</f>
        <v>0</v>
      </c>
      <c r="D22" s="102">
        <f t="shared" si="4"/>
        <v>0</v>
      </c>
      <c r="E22" s="102">
        <f t="shared" si="4"/>
        <v>0</v>
      </c>
      <c r="F22" s="102">
        <f t="shared" si="4"/>
        <v>0</v>
      </c>
      <c r="G22" s="102">
        <f t="shared" si="4"/>
        <v>0</v>
      </c>
      <c r="H22" s="102">
        <f t="shared" si="4"/>
        <v>0</v>
      </c>
      <c r="I22" s="1"/>
    </row>
    <row r="23" spans="1:9" s="102" customFormat="1" ht="12.75">
      <c r="A23" s="106"/>
      <c r="B23" s="108"/>
      <c r="I23" s="1"/>
    </row>
    <row r="24" spans="1:9" s="102" customFormat="1" ht="12.75">
      <c r="A24" s="106" t="s">
        <v>1229</v>
      </c>
      <c r="B24" s="107" t="s">
        <v>54</v>
      </c>
      <c r="C24" s="47">
        <f>IF(OR(INDEX(Vehicle_Type,,1)="MC",INDEX(Vehicle_Type,,1)="CMCMS",INDEX(Vehicle_Type,,1)="GO"),IF(CSL,Passenger_Hazard_CSL_Factor,Passenger_Hazard_Split_Factor),0)</f>
        <v>0</v>
      </c>
      <c r="D24" s="47">
        <f>IF(OR(INDEX(Vehicle_Type,,2)="MC",INDEX(Vehicle_Type,,2)="CMCMS",INDEX(Vehicle_Type,,2)="GO"),IF(CSL,Passenger_Hazard_CSL_Factor,Passenger_Hazard_Split_Factor),0)</f>
        <v>0</v>
      </c>
      <c r="E24" s="47">
        <f>IF(OR(INDEX(Vehicle_Type,,3)="MC",INDEX(Vehicle_Type,,3)="CMCMS",INDEX(Vehicle_Type,,3)="GO"),IF(CSL,Passenger_Hazard_CSL_Factor,Passenger_Hazard_Split_Factor),0)</f>
        <v>0</v>
      </c>
      <c r="F24" s="47">
        <f>IF(OR(INDEX(Vehicle_Type,,4)="MC",INDEX(Vehicle_Type,,4)="CMCMS",INDEX(Vehicle_Type,,4)="GO"),IF(CSL,Passenger_Hazard_CSL_Factor,Passenger_Hazard_Split_Factor),0)</f>
        <v>0</v>
      </c>
      <c r="G24" s="47">
        <f>IF(OR(INDEX(Vehicle_Type,,5)="MC",INDEX(Vehicle_Type,,5)="CMCMS",INDEX(Vehicle_Type,,5)="GO"),IF(CSL,Passenger_Hazard_CSL_Factor,Passenger_Hazard_Split_Factor),0)</f>
        <v>0</v>
      </c>
      <c r="H24" s="47">
        <f>IF(OR(INDEX(Vehicle_Type,,6)="MC",INDEX(Vehicle_Type,,6)="CMCMS",INDEX(Vehicle_Type,,6)="GO"),IF(CSL,Passenger_Hazard_CSL_Factor,Passenger_Hazard_Split_Factor),0)</f>
        <v>0</v>
      </c>
      <c r="I24" s="1"/>
    </row>
    <row r="25" spans="1:9" s="102" customFormat="1" ht="12.75">
      <c r="A25" s="106"/>
      <c r="B25" s="107" t="s">
        <v>55</v>
      </c>
      <c r="C25" s="47">
        <f>IF(AND(Insured_State&lt;&gt;"NC",OR(INDEX(Vehicle_Type,,1)="ATV",INDEX(Vehicle_Type,,1)="SNOWM")),IF(CSL,Passenger_Hazard_CSL_Factor,Passenger_Hazard_Split_Factor),0)</f>
        <v>0</v>
      </c>
      <c r="D25" s="47">
        <f>IF(AND(Insured_State&lt;&gt;"NC",OR(INDEX(Vehicle_Type,,2)="ATV",INDEX(Vehicle_Type,,2)="SNOWM")),IF(CSL,Passenger_Hazard_CSL_Factor,Passenger_Hazard_Split_Factor),0)</f>
        <v>0</v>
      </c>
      <c r="E25" s="47">
        <f>IF(AND(Insured_State&lt;&gt;"NC",OR(INDEX(Vehicle_Type,,3)="ATV",INDEX(Vehicle_Type,,3)="SNOWM")),IF(CSL,Passenger_Hazard_CSL_Factor,Passenger_Hazard_Split_Factor),0)</f>
        <v>0</v>
      </c>
      <c r="F25" s="47">
        <f>IF(AND(Insured_State&lt;&gt;"NC",OR(INDEX(Vehicle_Type,,4)="ATV",INDEX(Vehicle_Type,,4)="SNOWM")),IF(CSL,Passenger_Hazard_CSL_Factor,Passenger_Hazard_Split_Factor),0)</f>
        <v>0</v>
      </c>
      <c r="G25" s="47">
        <f>IF(AND(Insured_State&lt;&gt;"NC",OR(INDEX(Vehicle_Type,,5)="ATV",INDEX(Vehicle_Type,,5)="SNOWM")),IF(CSL,Passenger_Hazard_CSL_Factor,Passenger_Hazard_Split_Factor),0)</f>
        <v>0</v>
      </c>
      <c r="H25" s="47">
        <f>IF(AND(Insured_State&lt;&gt;"NC",OR(INDEX(Vehicle_Type,,6)="ATV",INDEX(Vehicle_Type,,6)="SNOWM")),IF(CSL,Passenger_Hazard_CSL_Factor,Passenger_Hazard_Split_Factor),0)</f>
        <v>0</v>
      </c>
      <c r="I25" s="1" t="s">
        <v>56</v>
      </c>
    </row>
    <row r="26" spans="1:9" s="102" customFormat="1" ht="12.75">
      <c r="A26" s="106"/>
      <c r="B26" s="107" t="s">
        <v>57</v>
      </c>
      <c r="C26" s="47">
        <f>IF(AND(INDEX(Vehicle_Type,,1)="DB",INDEX(Dune_Buggy_Registered,,1)="Non-Registered Dune Buggy (or ATV for IL Only)"),IF(CSL,Passenger_Hazard_CSL_Factor,Passenger_Hazard_Split_Factor),0)</f>
        <v>0</v>
      </c>
      <c r="D26" s="47">
        <f>IF(AND(INDEX(Vehicle_Type,,2)="DB",INDEX(Dune_Buggy_Registered,,2)="Non-Registered Dune Buggy (or ATV for IL Only)"),IF(CSL,Passenger_Hazard_CSL_Factor,Passenger_Hazard_Split_Factor),0)</f>
        <v>0</v>
      </c>
      <c r="E26" s="47">
        <f>IF(AND(INDEX(Vehicle_Type,,3)="DB",INDEX(Dune_Buggy_Registered,,3)="Non-Registered Dune Buggy (or ATV for IL Only)"),IF(CSL,Passenger_Hazard_CSL_Factor,Passenger_Hazard_Split_Factor),0)</f>
        <v>0</v>
      </c>
      <c r="F26" s="47">
        <f>IF(AND(INDEX(Vehicle_Type,,4)="DB",INDEX(Dune_Buggy_Registered,,4)="Non-Registered Dune Buggy (or ATV for IL Only)"),IF(CSL,Passenger_Hazard_CSL_Factor,Passenger_Hazard_Split_Factor),0)</f>
        <v>0</v>
      </c>
      <c r="G26" s="47">
        <f>IF(AND(INDEX(Vehicle_Type,,5)="DB",INDEX(Dune_Buggy_Registered,,5)="Non-Registered Dune Buggy (or ATV for IL Only)"),IF(CSL,Passenger_Hazard_CSL_Factor,Passenger_Hazard_Split_Factor),0)</f>
        <v>0</v>
      </c>
      <c r="H26" s="47">
        <f>IF(AND(INDEX(Vehicle_Type,,6)="DB",INDEX(Dune_Buggy_Registered,,6)="Non-Registered Dune Buggy (or ATV for IL Only)"),IF(CSL,Passenger_Hazard_CSL_Factor,Passenger_Hazard_Split_Factor),0)</f>
        <v>0</v>
      </c>
      <c r="I26" s="1"/>
    </row>
    <row r="27" spans="1:9" s="102" customFormat="1" ht="12.75">
      <c r="A27" s="106"/>
      <c r="B27" s="107" t="s">
        <v>58</v>
      </c>
      <c r="C27" s="47">
        <f aca="true" t="shared" si="5" ref="C27:H27">IF(SUM(C24:C26)=0,1,SUM(C24:C26))</f>
        <v>1</v>
      </c>
      <c r="D27" s="47">
        <f t="shared" si="5"/>
        <v>1</v>
      </c>
      <c r="E27" s="47">
        <f t="shared" si="5"/>
        <v>1</v>
      </c>
      <c r="F27" s="47">
        <f t="shared" si="5"/>
        <v>1</v>
      </c>
      <c r="G27" s="47">
        <f t="shared" si="5"/>
        <v>1</v>
      </c>
      <c r="H27" s="47">
        <f t="shared" si="5"/>
        <v>1</v>
      </c>
      <c r="I27" s="1"/>
    </row>
    <row r="28" spans="1:9" s="102" customFormat="1" ht="12.75">
      <c r="A28" s="106"/>
      <c r="B28" s="107"/>
      <c r="I28" s="1"/>
    </row>
    <row r="29" spans="1:9" s="102" customFormat="1" ht="12.75">
      <c r="A29" s="106" t="s">
        <v>1231</v>
      </c>
      <c r="B29" s="107" t="s">
        <v>1213</v>
      </c>
      <c r="C29" s="102">
        <f aca="true" t="shared" si="6" ref="C29:H29">(C22*C27*IF(Insured_State="NC",Company_Deviation_Factor_NC,IF(CSL,Company_Deviation_Factor_CSL,Company_Deviation_Factor_Split_BI)))</f>
        <v>0</v>
      </c>
      <c r="D29" s="102">
        <f t="shared" si="6"/>
        <v>0</v>
      </c>
      <c r="E29" s="102">
        <f t="shared" si="6"/>
        <v>0</v>
      </c>
      <c r="F29" s="102">
        <f t="shared" si="6"/>
        <v>0</v>
      </c>
      <c r="G29" s="102">
        <f t="shared" si="6"/>
        <v>0</v>
      </c>
      <c r="H29" s="102">
        <f t="shared" si="6"/>
        <v>0</v>
      </c>
      <c r="I29" s="1"/>
    </row>
    <row r="30" spans="1:9" s="102" customFormat="1" ht="12.75">
      <c r="A30" s="106"/>
      <c r="B30" s="107" t="s">
        <v>59</v>
      </c>
      <c r="C30" s="102">
        <f>IF(AND(Insured_State="NC",OR(INDEX(Vehicle_Type,,1)="SNOWM",INDEX(Vehicle_Type,,1)="ATV")),IF(INDEX(Passenger_Hazard_Exclusion_Indicator,,1)="Y",60,20),0)</f>
        <v>0</v>
      </c>
      <c r="D30" s="102">
        <f>IF(AND(Insured_State="NC",OR(INDEX(Vehicle_Type,,2)="SNOWM",INDEX(Vehicle_Type,,2)="ATV")),IF(INDEX(Passenger_Hazard_Exclusion_Indicator,,2)="Y",60,20),0)</f>
        <v>0</v>
      </c>
      <c r="E30" s="102">
        <f>IF(AND(Insured_State="NC",OR(INDEX(Vehicle_Type,,3)="SNOWM",INDEX(Vehicle_Type,,3)="ATV")),IF(INDEX(Passenger_Hazard_Exclusion_Indicator,,3)="Y",60,20),0)</f>
        <v>0</v>
      </c>
      <c r="F30" s="102">
        <f>IF(AND(Insured_State="NC",OR(INDEX(Vehicle_Type,,4)="SNOWM",INDEX(Vehicle_Type,,4)="ATV")),IF(INDEX(Passenger_Hazard_Exclusion_Indicator,,4)="Y",60,20),0)</f>
        <v>0</v>
      </c>
      <c r="G30" s="102">
        <f>IF(AND(Insured_State="NC",OR(INDEX(Vehicle_Type,,5)="SNOWM",INDEX(Vehicle_Type,,5)="ATV")),IF(INDEX(Passenger_Hazard_Exclusion_Indicator,,5)="Y",60,20),0)</f>
        <v>0</v>
      </c>
      <c r="H30" s="102">
        <f>IF(AND(Insured_State="NC",OR(INDEX(Vehicle_Type,,6)="SNOWM",INDEX(Vehicle_Type,,6)="ATV")),IF(INDEX(Passenger_Hazard_Exclusion_Indicator,,6)="Y",60,20),0)</f>
        <v>0</v>
      </c>
      <c r="I30" s="1" t="s">
        <v>60</v>
      </c>
    </row>
    <row r="31" spans="1:9" s="102" customFormat="1" ht="12.75">
      <c r="A31" s="106"/>
      <c r="B31" s="107" t="s">
        <v>1372</v>
      </c>
      <c r="C31" s="102">
        <f aca="true" t="shared" si="7" ref="C31:H31">(C29+C30)</f>
        <v>0</v>
      </c>
      <c r="D31" s="102">
        <f t="shared" si="7"/>
        <v>0</v>
      </c>
      <c r="E31" s="102">
        <f t="shared" si="7"/>
        <v>0</v>
      </c>
      <c r="F31" s="102">
        <f t="shared" si="7"/>
        <v>0</v>
      </c>
      <c r="G31" s="102">
        <f t="shared" si="7"/>
        <v>0</v>
      </c>
      <c r="H31" s="102">
        <f t="shared" si="7"/>
        <v>0</v>
      </c>
      <c r="I31" s="1"/>
    </row>
    <row r="32" spans="1:9" s="102" customFormat="1" ht="12.75">
      <c r="A32" s="106"/>
      <c r="B32" s="108"/>
      <c r="I32" s="1"/>
    </row>
    <row r="33" spans="2:9" s="102" customFormat="1" ht="12.75">
      <c r="B33" s="109"/>
      <c r="I33" s="1"/>
    </row>
    <row r="34" spans="1:9" s="102" customFormat="1" ht="12.75">
      <c r="A34" s="106" t="s">
        <v>1343</v>
      </c>
      <c r="B34" s="102" t="s">
        <v>1223</v>
      </c>
      <c r="C34" s="102">
        <f>INDEX(Primary_class_factor_for_BI_and_PD,1,1)</f>
        <v>0</v>
      </c>
      <c r="D34" s="102">
        <f>INDEX(Primary_class_factor_for_BI_and_PD,1,2)</f>
        <v>0</v>
      </c>
      <c r="E34" s="102">
        <f>INDEX(Primary_class_factor_for_BI_and_PD,1,3)</f>
        <v>0</v>
      </c>
      <c r="F34" s="102">
        <f>INDEX(Primary_class_factor_for_BI_and_PD,1,4)</f>
        <v>0</v>
      </c>
      <c r="G34" s="102">
        <f>INDEX(Primary_class_factor_for_BI_and_PD,1,5)</f>
        <v>0</v>
      </c>
      <c r="H34" s="102">
        <f>INDEX(Primary_class_factor_for_BI_and_PD,1,6)</f>
        <v>0</v>
      </c>
      <c r="I34" s="1"/>
    </row>
    <row r="35" spans="1:9" s="102" customFormat="1" ht="12.75">
      <c r="A35" s="106"/>
      <c r="B35" s="102" t="s">
        <v>1224</v>
      </c>
      <c r="C35" s="102">
        <f>INDEX(NC_Primary_Factor_Liability,,1)</f>
        <v>0</v>
      </c>
      <c r="D35" s="102">
        <f>INDEX(NC_Primary_Factor_Liability,,2)</f>
        <v>0</v>
      </c>
      <c r="E35" s="102">
        <f>INDEX(NC_Primary_Factor_Liability,,3)</f>
        <v>0</v>
      </c>
      <c r="F35" s="102">
        <f>INDEX(NC_Primary_Factor_Liability,,4)</f>
        <v>0</v>
      </c>
      <c r="G35" s="102">
        <f>INDEX(NC_Primary_Factor_Liability,,5)</f>
        <v>0</v>
      </c>
      <c r="H35" s="102">
        <f>INDEX(NC_Primary_Factor_Liability,,6)</f>
        <v>0</v>
      </c>
      <c r="I35" s="1"/>
    </row>
    <row r="36" spans="1:9" s="102" customFormat="1" ht="12.75">
      <c r="A36" s="106"/>
      <c r="I36" s="1"/>
    </row>
    <row r="37" spans="1:9" s="102" customFormat="1" ht="12.75">
      <c r="A37" s="106" t="s">
        <v>1285</v>
      </c>
      <c r="B37" s="102" t="s">
        <v>1226</v>
      </c>
      <c r="C37" s="102">
        <f>INDEX(Secondary_class_factor_for_BI_and_PD,1,1)</f>
        <v>0</v>
      </c>
      <c r="D37" s="102">
        <f>INDEX(Secondary_class_factor_for_BI_and_PD,1,2)</f>
        <v>0</v>
      </c>
      <c r="E37" s="102">
        <f>INDEX(Secondary_class_factor_for_BI_and_PD,1,3)</f>
        <v>0</v>
      </c>
      <c r="F37" s="102">
        <f>INDEX(Secondary_class_factor_for_BI_and_PD,1,4)</f>
        <v>0</v>
      </c>
      <c r="G37" s="102">
        <f>INDEX(Secondary_class_factor_for_BI_and_PD,1,5)</f>
        <v>0</v>
      </c>
      <c r="H37" s="102">
        <f>INDEX(Secondary_class_factor_for_BI_and_PD,1,6)</f>
        <v>0</v>
      </c>
      <c r="I37" s="1"/>
    </row>
    <row r="38" spans="1:9" s="102" customFormat="1" ht="12.75">
      <c r="A38" s="106"/>
      <c r="B38" s="102" t="s">
        <v>1227</v>
      </c>
      <c r="C38" s="102">
        <f>INDEX(NC_No_Inexperience_Liability,,1)+INDEX(NC_Inexperience_Liability,,1)</f>
        <v>0</v>
      </c>
      <c r="D38" s="102">
        <f>INDEX(NC_No_Inexperience_Liability,,2)+INDEX(NC_Inexperience_Liability,,2)</f>
        <v>0</v>
      </c>
      <c r="E38" s="102">
        <f>INDEX(NC_No_Inexperience_Liability,,3)+INDEX(NC_Inexperience_Liability,,3)</f>
        <v>0</v>
      </c>
      <c r="F38" s="102">
        <f>INDEX(NC_No_Inexperience_Liability,,4)+INDEX(NC_Inexperience_Liability,,4)</f>
        <v>0</v>
      </c>
      <c r="G38" s="102">
        <f>INDEX(NC_No_Inexperience_Liability,,5)+INDEX(NC_Inexperience_Liability,,5)</f>
        <v>0</v>
      </c>
      <c r="H38" s="102">
        <f>INDEX(NC_No_Inexperience_Liability,,6)+INDEX(NC_Inexperience_Liability,,6)</f>
        <v>0</v>
      </c>
      <c r="I38" s="1"/>
    </row>
    <row r="39" spans="1:9" s="102" customFormat="1" ht="12.75">
      <c r="A39" s="106"/>
      <c r="B39" s="102" t="s">
        <v>1228</v>
      </c>
      <c r="C39" s="102">
        <f>INDEX(MI_Secondary_Class_Factor,,1)</f>
        <v>0</v>
      </c>
      <c r="D39" s="102">
        <f>INDEX(MI_Secondary_Class_Factor,,2)</f>
        <v>0</v>
      </c>
      <c r="E39" s="102">
        <f>INDEX(MI_Secondary_Class_Factor,,3)</f>
        <v>0</v>
      </c>
      <c r="F39" s="102">
        <f>INDEX(MI_Secondary_Class_Factor,,4)</f>
        <v>0</v>
      </c>
      <c r="G39" s="102">
        <f>INDEX(MI_Secondary_Class_Factor,,5)</f>
        <v>0</v>
      </c>
      <c r="H39" s="102">
        <f>INDEX(MI_Secondary_Class_Factor,,6)</f>
        <v>0</v>
      </c>
      <c r="I39" s="1"/>
    </row>
    <row r="40" spans="2:256" s="102" customFormat="1" ht="12.75">
      <c r="B40" s="109"/>
      <c r="I40" s="1"/>
      <c r="J40" s="109"/>
      <c r="L40" s="109"/>
      <c r="N40" s="109"/>
      <c r="P40" s="109"/>
      <c r="R40" s="109"/>
      <c r="T40" s="109"/>
      <c r="V40" s="109"/>
      <c r="X40" s="109"/>
      <c r="Z40" s="109"/>
      <c r="AB40" s="109"/>
      <c r="AD40" s="109"/>
      <c r="AF40" s="109"/>
      <c r="AH40" s="109"/>
      <c r="AJ40" s="109"/>
      <c r="AL40" s="109"/>
      <c r="AN40" s="109"/>
      <c r="AP40" s="109"/>
      <c r="AR40" s="109"/>
      <c r="AT40" s="109"/>
      <c r="AV40" s="109"/>
      <c r="AX40" s="109"/>
      <c r="AZ40" s="109"/>
      <c r="BB40" s="109"/>
      <c r="BD40" s="109"/>
      <c r="BF40" s="109"/>
      <c r="BH40" s="109"/>
      <c r="BJ40" s="109"/>
      <c r="BL40" s="109"/>
      <c r="BN40" s="109"/>
      <c r="BP40" s="109"/>
      <c r="BR40" s="109"/>
      <c r="BT40" s="109"/>
      <c r="BV40" s="109"/>
      <c r="BX40" s="109"/>
      <c r="BZ40" s="109"/>
      <c r="CB40" s="109"/>
      <c r="CD40" s="109"/>
      <c r="CF40" s="109"/>
      <c r="CH40" s="109"/>
      <c r="CJ40" s="109"/>
      <c r="CL40" s="109"/>
      <c r="CN40" s="109"/>
      <c r="CP40" s="109"/>
      <c r="CR40" s="109"/>
      <c r="CT40" s="109"/>
      <c r="CV40" s="109"/>
      <c r="CX40" s="109"/>
      <c r="CZ40" s="109"/>
      <c r="DB40" s="109"/>
      <c r="DD40" s="109"/>
      <c r="DF40" s="109"/>
      <c r="DH40" s="109"/>
      <c r="DJ40" s="109"/>
      <c r="DL40" s="109"/>
      <c r="DN40" s="109"/>
      <c r="DP40" s="109"/>
      <c r="DR40" s="109"/>
      <c r="DT40" s="109"/>
      <c r="DV40" s="109"/>
      <c r="DX40" s="109"/>
      <c r="DZ40" s="109"/>
      <c r="EB40" s="109"/>
      <c r="ED40" s="109"/>
      <c r="EF40" s="109"/>
      <c r="EH40" s="109"/>
      <c r="EJ40" s="109"/>
      <c r="EL40" s="109"/>
      <c r="EN40" s="109"/>
      <c r="EP40" s="109"/>
      <c r="ER40" s="109"/>
      <c r="ET40" s="109"/>
      <c r="EV40" s="109"/>
      <c r="EX40" s="109"/>
      <c r="EZ40" s="109"/>
      <c r="FB40" s="109"/>
      <c r="FD40" s="109"/>
      <c r="FF40" s="109"/>
      <c r="FH40" s="109"/>
      <c r="FJ40" s="109"/>
      <c r="FL40" s="109"/>
      <c r="FN40" s="109"/>
      <c r="FP40" s="109"/>
      <c r="FR40" s="109"/>
      <c r="FT40" s="109"/>
      <c r="FV40" s="109"/>
      <c r="FX40" s="109"/>
      <c r="FZ40" s="109"/>
      <c r="GB40" s="109"/>
      <c r="GD40" s="109"/>
      <c r="GF40" s="109"/>
      <c r="GH40" s="109"/>
      <c r="GJ40" s="109"/>
      <c r="GL40" s="109"/>
      <c r="GN40" s="109"/>
      <c r="GP40" s="109"/>
      <c r="GR40" s="109"/>
      <c r="GT40" s="109"/>
      <c r="GV40" s="109"/>
      <c r="GX40" s="109"/>
      <c r="GZ40" s="109"/>
      <c r="HB40" s="109"/>
      <c r="HD40" s="109"/>
      <c r="HF40" s="109"/>
      <c r="HH40" s="109"/>
      <c r="HJ40" s="109"/>
      <c r="HL40" s="109"/>
      <c r="HN40" s="109"/>
      <c r="HP40" s="109"/>
      <c r="HR40" s="109"/>
      <c r="HT40" s="109"/>
      <c r="HV40" s="109"/>
      <c r="HX40" s="109"/>
      <c r="HZ40" s="109"/>
      <c r="IB40" s="109"/>
      <c r="ID40" s="109"/>
      <c r="IF40" s="109"/>
      <c r="IH40" s="109"/>
      <c r="IJ40" s="109"/>
      <c r="IL40" s="109"/>
      <c r="IN40" s="109"/>
      <c r="IP40" s="109"/>
      <c r="IR40" s="109"/>
      <c r="IT40" s="109"/>
      <c r="IV40" s="109"/>
    </row>
    <row r="41" spans="1:256" s="102" customFormat="1" ht="12.75">
      <c r="A41" s="106" t="s">
        <v>1236</v>
      </c>
      <c r="B41" s="108" t="s">
        <v>1230</v>
      </c>
      <c r="C41" s="102">
        <f aca="true" t="shared" si="8" ref="C41:H41">SUM(C34:C35)+SUM(C37:C39)</f>
        <v>0</v>
      </c>
      <c r="D41" s="102">
        <f t="shared" si="8"/>
        <v>0</v>
      </c>
      <c r="E41" s="102">
        <f t="shared" si="8"/>
        <v>0</v>
      </c>
      <c r="F41" s="102">
        <f t="shared" si="8"/>
        <v>0</v>
      </c>
      <c r="G41" s="102">
        <f t="shared" si="8"/>
        <v>0</v>
      </c>
      <c r="H41" s="102">
        <f t="shared" si="8"/>
        <v>0</v>
      </c>
      <c r="I41" s="1"/>
      <c r="J41" s="109"/>
      <c r="L41" s="109"/>
      <c r="N41" s="109"/>
      <c r="P41" s="109"/>
      <c r="R41" s="109"/>
      <c r="T41" s="109"/>
      <c r="V41" s="109"/>
      <c r="X41" s="109"/>
      <c r="Z41" s="109"/>
      <c r="AB41" s="109"/>
      <c r="AD41" s="109"/>
      <c r="AF41" s="109"/>
      <c r="AH41" s="109"/>
      <c r="AJ41" s="109"/>
      <c r="AL41" s="109"/>
      <c r="AN41" s="109"/>
      <c r="AP41" s="109"/>
      <c r="AR41" s="109"/>
      <c r="AT41" s="109"/>
      <c r="AV41" s="109"/>
      <c r="AX41" s="109"/>
      <c r="AZ41" s="109"/>
      <c r="BB41" s="109"/>
      <c r="BD41" s="109"/>
      <c r="BF41" s="109"/>
      <c r="BH41" s="109"/>
      <c r="BJ41" s="109"/>
      <c r="BL41" s="109"/>
      <c r="BN41" s="109"/>
      <c r="BP41" s="109"/>
      <c r="BR41" s="109"/>
      <c r="BT41" s="109"/>
      <c r="BV41" s="109"/>
      <c r="BX41" s="109"/>
      <c r="BZ41" s="109"/>
      <c r="CB41" s="109"/>
      <c r="CD41" s="109"/>
      <c r="CF41" s="109"/>
      <c r="CH41" s="109"/>
      <c r="CJ41" s="109"/>
      <c r="CL41" s="109"/>
      <c r="CN41" s="109"/>
      <c r="CP41" s="109"/>
      <c r="CR41" s="109"/>
      <c r="CT41" s="109"/>
      <c r="CV41" s="109"/>
      <c r="CX41" s="109"/>
      <c r="CZ41" s="109"/>
      <c r="DB41" s="109"/>
      <c r="DD41" s="109"/>
      <c r="DF41" s="109"/>
      <c r="DH41" s="109"/>
      <c r="DJ41" s="109"/>
      <c r="DL41" s="109"/>
      <c r="DN41" s="109"/>
      <c r="DP41" s="109"/>
      <c r="DR41" s="109"/>
      <c r="DT41" s="109"/>
      <c r="DV41" s="109"/>
      <c r="DX41" s="109"/>
      <c r="DZ41" s="109"/>
      <c r="EB41" s="109"/>
      <c r="ED41" s="109"/>
      <c r="EF41" s="109"/>
      <c r="EH41" s="109"/>
      <c r="EJ41" s="109"/>
      <c r="EL41" s="109"/>
      <c r="EN41" s="109"/>
      <c r="EP41" s="109"/>
      <c r="ER41" s="109"/>
      <c r="ET41" s="109"/>
      <c r="EV41" s="109"/>
      <c r="EX41" s="109"/>
      <c r="EZ41" s="109"/>
      <c r="FB41" s="109"/>
      <c r="FD41" s="109"/>
      <c r="FF41" s="109"/>
      <c r="FH41" s="109"/>
      <c r="FJ41" s="109"/>
      <c r="FL41" s="109"/>
      <c r="FN41" s="109"/>
      <c r="FP41" s="109"/>
      <c r="FR41" s="109"/>
      <c r="FT41" s="109"/>
      <c r="FV41" s="109"/>
      <c r="FX41" s="109"/>
      <c r="FZ41" s="109"/>
      <c r="GB41" s="109"/>
      <c r="GD41" s="109"/>
      <c r="GF41" s="109"/>
      <c r="GH41" s="109"/>
      <c r="GJ41" s="109"/>
      <c r="GL41" s="109"/>
      <c r="GN41" s="109"/>
      <c r="GP41" s="109"/>
      <c r="GR41" s="109"/>
      <c r="GT41" s="109"/>
      <c r="GV41" s="109"/>
      <c r="GX41" s="109"/>
      <c r="GZ41" s="109"/>
      <c r="HB41" s="109"/>
      <c r="HD41" s="109"/>
      <c r="HF41" s="109"/>
      <c r="HH41" s="109"/>
      <c r="HJ41" s="109"/>
      <c r="HL41" s="109"/>
      <c r="HN41" s="109"/>
      <c r="HP41" s="109"/>
      <c r="HR41" s="109"/>
      <c r="HT41" s="109"/>
      <c r="HV41" s="109"/>
      <c r="HX41" s="109"/>
      <c r="HZ41" s="109"/>
      <c r="IB41" s="109"/>
      <c r="ID41" s="109"/>
      <c r="IF41" s="109"/>
      <c r="IH41" s="109"/>
      <c r="IJ41" s="109"/>
      <c r="IL41" s="109"/>
      <c r="IN41" s="109"/>
      <c r="IP41" s="109"/>
      <c r="IR41" s="109"/>
      <c r="IT41" s="109"/>
      <c r="IV41" s="109"/>
    </row>
    <row r="42" s="102" customFormat="1" ht="12.75">
      <c r="I42" s="1"/>
    </row>
    <row r="43" spans="1:9" s="102" customFormat="1" ht="12.75">
      <c r="A43" s="106" t="s">
        <v>1238</v>
      </c>
      <c r="B43" s="102" t="s">
        <v>1232</v>
      </c>
      <c r="C43" s="102">
        <f aca="true" t="shared" si="9" ref="C43:H43">C16*C41</f>
        <v>0</v>
      </c>
      <c r="D43" s="102">
        <f t="shared" si="9"/>
        <v>0</v>
      </c>
      <c r="E43" s="102">
        <f t="shared" si="9"/>
        <v>0</v>
      </c>
      <c r="F43" s="102">
        <f t="shared" si="9"/>
        <v>0</v>
      </c>
      <c r="G43" s="102">
        <f t="shared" si="9"/>
        <v>0</v>
      </c>
      <c r="H43" s="102">
        <f t="shared" si="9"/>
        <v>0</v>
      </c>
      <c r="I43" s="1"/>
    </row>
    <row r="44" spans="2:256" s="102" customFormat="1" ht="12.75">
      <c r="B44" s="109"/>
      <c r="I44" s="1"/>
      <c r="J44" s="109"/>
      <c r="L44" s="109"/>
      <c r="N44" s="109"/>
      <c r="P44" s="109"/>
      <c r="R44" s="109"/>
      <c r="T44" s="109"/>
      <c r="V44" s="109"/>
      <c r="X44" s="109"/>
      <c r="Z44" s="109"/>
      <c r="AB44" s="109"/>
      <c r="AD44" s="109"/>
      <c r="AF44" s="109"/>
      <c r="AH44" s="109"/>
      <c r="AJ44" s="109"/>
      <c r="AL44" s="109"/>
      <c r="AN44" s="109"/>
      <c r="AP44" s="109"/>
      <c r="AR44" s="109"/>
      <c r="AT44" s="109"/>
      <c r="AV44" s="109"/>
      <c r="AX44" s="109"/>
      <c r="AZ44" s="109"/>
      <c r="BB44" s="109"/>
      <c r="BD44" s="109"/>
      <c r="BF44" s="109"/>
      <c r="BH44" s="109"/>
      <c r="BJ44" s="109"/>
      <c r="BL44" s="109"/>
      <c r="BN44" s="109"/>
      <c r="BP44" s="109"/>
      <c r="BR44" s="109"/>
      <c r="BT44" s="109"/>
      <c r="BV44" s="109"/>
      <c r="BX44" s="109"/>
      <c r="BZ44" s="109"/>
      <c r="CB44" s="109"/>
      <c r="CD44" s="109"/>
      <c r="CF44" s="109"/>
      <c r="CH44" s="109"/>
      <c r="CJ44" s="109"/>
      <c r="CL44" s="109"/>
      <c r="CN44" s="109"/>
      <c r="CP44" s="109"/>
      <c r="CR44" s="109"/>
      <c r="CT44" s="109"/>
      <c r="CV44" s="109"/>
      <c r="CX44" s="109"/>
      <c r="CZ44" s="109"/>
      <c r="DB44" s="109"/>
      <c r="DD44" s="109"/>
      <c r="DF44" s="109"/>
      <c r="DH44" s="109"/>
      <c r="DJ44" s="109"/>
      <c r="DL44" s="109"/>
      <c r="DN44" s="109"/>
      <c r="DP44" s="109"/>
      <c r="DR44" s="109"/>
      <c r="DT44" s="109"/>
      <c r="DV44" s="109"/>
      <c r="DX44" s="109"/>
      <c r="DZ44" s="109"/>
      <c r="EB44" s="109"/>
      <c r="ED44" s="109"/>
      <c r="EF44" s="109"/>
      <c r="EH44" s="109"/>
      <c r="EJ44" s="109"/>
      <c r="EL44" s="109"/>
      <c r="EN44" s="109"/>
      <c r="EP44" s="109"/>
      <c r="ER44" s="109"/>
      <c r="ET44" s="109"/>
      <c r="EV44" s="109"/>
      <c r="EX44" s="109"/>
      <c r="EZ44" s="109"/>
      <c r="FB44" s="109"/>
      <c r="FD44" s="109"/>
      <c r="FF44" s="109"/>
      <c r="FH44" s="109"/>
      <c r="FJ44" s="109"/>
      <c r="FL44" s="109"/>
      <c r="FN44" s="109"/>
      <c r="FP44" s="109"/>
      <c r="FR44" s="109"/>
      <c r="FT44" s="109"/>
      <c r="FV44" s="109"/>
      <c r="FX44" s="109"/>
      <c r="FZ44" s="109"/>
      <c r="GB44" s="109"/>
      <c r="GD44" s="109"/>
      <c r="GF44" s="109"/>
      <c r="GH44" s="109"/>
      <c r="GJ44" s="109"/>
      <c r="GL44" s="109"/>
      <c r="GN44" s="109"/>
      <c r="GP44" s="109"/>
      <c r="GR44" s="109"/>
      <c r="GT44" s="109"/>
      <c r="GV44" s="109"/>
      <c r="GX44" s="109"/>
      <c r="GZ44" s="109"/>
      <c r="HB44" s="109"/>
      <c r="HD44" s="109"/>
      <c r="HF44" s="109"/>
      <c r="HH44" s="109"/>
      <c r="HJ44" s="109"/>
      <c r="HL44" s="109"/>
      <c r="HN44" s="109"/>
      <c r="HP44" s="109"/>
      <c r="HR44" s="109"/>
      <c r="HT44" s="109"/>
      <c r="HV44" s="109"/>
      <c r="HX44" s="109"/>
      <c r="HZ44" s="109"/>
      <c r="IB44" s="109"/>
      <c r="ID44" s="109"/>
      <c r="IF44" s="109"/>
      <c r="IH44" s="109"/>
      <c r="IJ44" s="109"/>
      <c r="IL44" s="109"/>
      <c r="IN44" s="109"/>
      <c r="IP44" s="109"/>
      <c r="IR44" s="109"/>
      <c r="IT44" s="109"/>
      <c r="IV44" s="109"/>
    </row>
    <row r="45" spans="1:9" s="102" customFormat="1" ht="12.75" customHeight="1">
      <c r="A45" s="106" t="s">
        <v>61</v>
      </c>
      <c r="B45" s="108" t="s">
        <v>816</v>
      </c>
      <c r="C45" s="102">
        <f>INDEX(SDIP_Factor,,1)</f>
        <v>0</v>
      </c>
      <c r="D45" s="102">
        <f>INDEX(SDIP_Factor,,2)</f>
        <v>0</v>
      </c>
      <c r="E45" s="102">
        <f>INDEX(SDIP_Factor,,3)</f>
        <v>0</v>
      </c>
      <c r="F45" s="102">
        <f>INDEX(SDIP_Factor,,4)</f>
        <v>0</v>
      </c>
      <c r="G45" s="102">
        <f>INDEX(SDIP_Factor,,5)</f>
        <v>0</v>
      </c>
      <c r="H45" s="102">
        <f>INDEX(SDIP_Factor,,6)</f>
        <v>0</v>
      </c>
      <c r="I45" s="1"/>
    </row>
    <row r="46" spans="1:9" ht="12.75">
      <c r="A46" s="106"/>
      <c r="B46" s="108" t="s">
        <v>1237</v>
      </c>
      <c r="C46" s="111">
        <f>INDEX(Accident_Prevention_Discount_Factor,,1)</f>
        <v>0</v>
      </c>
      <c r="D46" s="111">
        <f>INDEX(Accident_Prevention_Discount_Factor,,2)</f>
        <v>0</v>
      </c>
      <c r="E46" s="111">
        <f>INDEX(Accident_Prevention_Discount_Factor,,3)</f>
        <v>0</v>
      </c>
      <c r="F46" s="111">
        <f>INDEX(Accident_Prevention_Discount_Factor,,4)</f>
        <v>0</v>
      </c>
      <c r="G46" s="111">
        <f>INDEX(Accident_Prevention_Discount_Factor,,5)</f>
        <v>0</v>
      </c>
      <c r="H46" s="111">
        <f>INDEX(Accident_Prevention_Discount_Factor,,6)</f>
        <v>0</v>
      </c>
      <c r="I46" s="1"/>
    </row>
    <row r="47" spans="1:9" ht="12.75">
      <c r="A47" s="106"/>
      <c r="B47" s="108" t="s">
        <v>62</v>
      </c>
      <c r="C47" s="111">
        <f>INDEX(Motorcycle_Rider_Discount_Factor,,1)</f>
        <v>0.1</v>
      </c>
      <c r="D47" s="111">
        <f>INDEX(Motorcycle_Rider_Discount_Factor,,2)</f>
        <v>0.1</v>
      </c>
      <c r="E47" s="111">
        <f>INDEX(Motorcycle_Rider_Discount_Factor,,3)</f>
        <v>0.1</v>
      </c>
      <c r="F47" s="111">
        <f>INDEX(Motorcycle_Rider_Discount_Factor,,4)</f>
        <v>0.1</v>
      </c>
      <c r="G47" s="111">
        <f>INDEX(Motorcycle_Rider_Discount_Factor,,5)</f>
        <v>0.1</v>
      </c>
      <c r="H47" s="111">
        <f>INDEX(Motorcycle_Rider_Discount_Factor,,6)</f>
        <v>0.1</v>
      </c>
      <c r="I47" s="1"/>
    </row>
    <row r="48" spans="2:9" s="102" customFormat="1" ht="12.75">
      <c r="B48" s="108"/>
      <c r="I48" s="1"/>
    </row>
    <row r="49" spans="1:9" s="102" customFormat="1" ht="12.75">
      <c r="A49" s="106" t="s">
        <v>1368</v>
      </c>
      <c r="B49" s="108" t="s">
        <v>1239</v>
      </c>
      <c r="C49" s="102">
        <f aca="true" t="shared" si="10" ref="C49:H49">C45*C5</f>
        <v>0</v>
      </c>
      <c r="D49" s="102">
        <f t="shared" si="10"/>
        <v>0</v>
      </c>
      <c r="E49" s="102">
        <f t="shared" si="10"/>
        <v>0</v>
      </c>
      <c r="F49" s="102">
        <f t="shared" si="10"/>
        <v>0</v>
      </c>
      <c r="G49" s="102">
        <f t="shared" si="10"/>
        <v>0</v>
      </c>
      <c r="H49" s="102">
        <f t="shared" si="10"/>
        <v>0</v>
      </c>
      <c r="I49" s="1"/>
    </row>
    <row r="50" spans="1:9" ht="12.75">
      <c r="A50" s="102"/>
      <c r="B50" s="108" t="s">
        <v>1240</v>
      </c>
      <c r="C50" s="110">
        <f aca="true" t="shared" si="11" ref="C50:H50">IF(Insured_State="OK",C43*C46,0)</f>
        <v>0</v>
      </c>
      <c r="D50" s="110">
        <f t="shared" si="11"/>
        <v>0</v>
      </c>
      <c r="E50" s="110">
        <f t="shared" si="11"/>
        <v>0</v>
      </c>
      <c r="F50" s="110">
        <f t="shared" si="11"/>
        <v>0</v>
      </c>
      <c r="G50" s="110">
        <f t="shared" si="11"/>
        <v>0</v>
      </c>
      <c r="H50" s="110">
        <f t="shared" si="11"/>
        <v>0</v>
      </c>
      <c r="I50" s="1"/>
    </row>
    <row r="51" spans="1:9" ht="12.75">
      <c r="A51" s="102"/>
      <c r="B51" s="108" t="s">
        <v>63</v>
      </c>
      <c r="C51" s="110">
        <f>IF(AND(Insured_State="TN",INDEX(Driver_Training_assigned_for_Vehicle,,1)="Y"),C43*C47,0)</f>
        <v>0</v>
      </c>
      <c r="D51" s="110">
        <f>IF(AND(Insured_State="TN",INDEX(Driver_Training_assigned_for_Vehicle,,2)="Y"),D43*D47,0)</f>
        <v>0</v>
      </c>
      <c r="E51" s="110">
        <f>IF(AND(Insured_State="TN",INDEX(Driver_Training_assigned_for_Vehicle,,3)="Y"),E43*E47,0)</f>
        <v>0</v>
      </c>
      <c r="F51" s="110">
        <f>IF(AND(Insured_State="TN",INDEX(Driver_Training_assigned_for_Vehicle,,4)="Y"),F43*F47,0)</f>
        <v>0</v>
      </c>
      <c r="G51" s="110">
        <f>IF(AND(Insured_State="TN",INDEX(Driver_Training_assigned_for_Vehicle,,5)="Y"),G43*G47,0)</f>
        <v>0</v>
      </c>
      <c r="H51" s="110">
        <f>IF(AND(Insured_State="TN",INDEX(Driver_Training_assigned_for_Vehicle,,6)="Y"),H43*H47,0)</f>
        <v>0</v>
      </c>
      <c r="I51" s="1"/>
    </row>
    <row r="52" spans="1:9" s="102" customFormat="1" ht="12.75">
      <c r="A52" s="106"/>
      <c r="B52" s="108"/>
      <c r="I52" s="1"/>
    </row>
    <row r="53" spans="1:9" s="102" customFormat="1" ht="12.75">
      <c r="A53" s="106" t="s">
        <v>1247</v>
      </c>
      <c r="B53" s="102" t="s">
        <v>1244</v>
      </c>
      <c r="C53" s="110">
        <f aca="true" t="shared" si="12" ref="C53:H53">(C43+C49-C50-C51)</f>
        <v>0</v>
      </c>
      <c r="D53" s="110">
        <f t="shared" si="12"/>
        <v>0</v>
      </c>
      <c r="E53" s="110">
        <f t="shared" si="12"/>
        <v>0</v>
      </c>
      <c r="F53" s="110">
        <f t="shared" si="12"/>
        <v>0</v>
      </c>
      <c r="G53" s="110">
        <f t="shared" si="12"/>
        <v>0</v>
      </c>
      <c r="H53" s="110">
        <f t="shared" si="12"/>
        <v>0</v>
      </c>
      <c r="I53" s="1"/>
    </row>
    <row r="54" s="102" customFormat="1" ht="12.75">
      <c r="I54" s="1"/>
    </row>
    <row r="55" spans="1:9" s="102" customFormat="1" ht="12.75">
      <c r="A55" s="106"/>
      <c r="B55" s="102" t="s">
        <v>64</v>
      </c>
      <c r="C55" s="102">
        <f>IF(OR(INDEX(Vehicle_Type,,1)="MC",INDEX(Vehicle_Type,,1)="CMCMS"),1,0)</f>
        <v>0</v>
      </c>
      <c r="D55" s="102">
        <f>IF(OR(INDEX(Vehicle_Type,,2)="MC",INDEX(Vehicle_Type,,2)="CMCMS"),1,0)</f>
        <v>0</v>
      </c>
      <c r="E55" s="102">
        <f>IF(OR(INDEX(Vehicle_Type,,3)="MC",INDEX(Vehicle_Type,,3)="CMCMS"),1,0)</f>
        <v>0</v>
      </c>
      <c r="F55" s="102">
        <f>IF(OR(INDEX(Vehicle_Type,,4)="MC",INDEX(Vehicle_Type,,4)="CMCMS"),1,0)</f>
        <v>0</v>
      </c>
      <c r="G55" s="102">
        <f>IF(OR(INDEX(Vehicle_Type,,5)="MC",INDEX(Vehicle_Type,,5)="CMCMS"),1,0)</f>
        <v>0</v>
      </c>
      <c r="H55" s="102">
        <f>IF(OR(INDEX(Vehicle_Type,,6)="MC",INDEX(Vehicle_Type,,6)="CMCMS"),1,0)</f>
        <v>0</v>
      </c>
      <c r="I55" s="1"/>
    </row>
    <row r="56" spans="1:9" s="102" customFormat="1" ht="12.75">
      <c r="A56" s="106"/>
      <c r="B56" s="102" t="s">
        <v>65</v>
      </c>
      <c r="C56" s="102">
        <f>IF(INDEX(Vehicle_Type,,1)="GO",1,0)</f>
        <v>0</v>
      </c>
      <c r="D56" s="102">
        <f>IF(INDEX(Vehicle_Type,,2)="GO",1,0)</f>
        <v>0</v>
      </c>
      <c r="E56" s="102">
        <f>IF(INDEX(Vehicle_Type,,3)="GO",1,0)</f>
        <v>0</v>
      </c>
      <c r="F56" s="102">
        <f>IF(INDEX(Vehicle_Type,,4)="GO",1,0)</f>
        <v>0</v>
      </c>
      <c r="G56" s="102">
        <f>IF(INDEX(Vehicle_Type,,5)="GO",1,0)</f>
        <v>0</v>
      </c>
      <c r="H56" s="102">
        <f>IF(INDEX(Vehicle_Type,,6)="GO",1,0)</f>
        <v>0</v>
      </c>
      <c r="I56" s="1"/>
    </row>
    <row r="57" spans="1:9" s="102" customFormat="1" ht="12.75">
      <c r="A57" s="106"/>
      <c r="B57" s="102" t="s">
        <v>66</v>
      </c>
      <c r="C57" s="102">
        <f>IF(INDEX(Vehicle_Type,,1)="SNOWM",1,0)</f>
        <v>0</v>
      </c>
      <c r="D57" s="102">
        <f>IF(INDEX(Vehicle_Type,,2)="SNOWM",1,0)</f>
        <v>0</v>
      </c>
      <c r="E57" s="102">
        <f>IF(INDEX(Vehicle_Type,,3)="SNOWM",1,0)</f>
        <v>0</v>
      </c>
      <c r="F57" s="102">
        <f>IF(INDEX(Vehicle_Type,,4)="SNOWM",1,0)</f>
        <v>0</v>
      </c>
      <c r="G57" s="102">
        <f>IF(INDEX(Vehicle_Type,,5)="SNOWM",1,0)</f>
        <v>0</v>
      </c>
      <c r="H57" s="102">
        <f>IF(INDEX(Vehicle_Type,,6)="SNOWM",1,0)</f>
        <v>0</v>
      </c>
      <c r="I57" s="1"/>
    </row>
    <row r="58" spans="1:9" s="102" customFormat="1" ht="12.75">
      <c r="A58" s="106"/>
      <c r="B58" s="102" t="s">
        <v>67</v>
      </c>
      <c r="C58" s="102">
        <f>IF(INDEX(Vehicle_Type,,1)="ATV",1,0)</f>
        <v>0</v>
      </c>
      <c r="D58" s="102">
        <f>IF(INDEX(Vehicle_Type,,2)="ATV",1,0)</f>
        <v>0</v>
      </c>
      <c r="E58" s="102">
        <f>IF(INDEX(Vehicle_Type,,3)="ATV",1,0)</f>
        <v>0</v>
      </c>
      <c r="F58" s="102">
        <f>IF(INDEX(Vehicle_Type,,4)="ATV",1,0)</f>
        <v>0</v>
      </c>
      <c r="G58" s="102">
        <f>IF(INDEX(Vehicle_Type,,5)="ATV",1,0)</f>
        <v>0</v>
      </c>
      <c r="H58" s="102">
        <f>IF(INDEX(Vehicle_Type,,6)="ATV",1,0)</f>
        <v>0</v>
      </c>
      <c r="I58" s="1"/>
    </row>
    <row r="59" spans="1:9" s="102" customFormat="1" ht="12.75">
      <c r="A59" s="106"/>
      <c r="B59" s="102" t="s">
        <v>68</v>
      </c>
      <c r="C59" s="102">
        <f>IF(INDEX(Vehicle_Type,,1)="DB",1,0)</f>
        <v>0</v>
      </c>
      <c r="D59" s="102">
        <f>IF(INDEX(Vehicle_Type,,2)="DB",1,0)</f>
        <v>0</v>
      </c>
      <c r="E59" s="102">
        <f>IF(INDEX(Vehicle_Type,,3)="DB",1,0)</f>
        <v>0</v>
      </c>
      <c r="F59" s="102">
        <f>IF(INDEX(Vehicle_Type,,4)="DB",1,0)</f>
        <v>0</v>
      </c>
      <c r="G59" s="102">
        <f>IF(INDEX(Vehicle_Type,,5)="DB",1,0)</f>
        <v>0</v>
      </c>
      <c r="H59" s="102">
        <f>IF(INDEX(Vehicle_Type,,6)="DB",1,0)</f>
        <v>0</v>
      </c>
      <c r="I59" s="1"/>
    </row>
    <row r="60" spans="1:9" s="102" customFormat="1" ht="12.75">
      <c r="A60" s="106"/>
      <c r="B60" s="102" t="s">
        <v>69</v>
      </c>
      <c r="C60" s="102">
        <f>IF(INDEX(Vehicle_Type,,1)="GC",1,0)</f>
        <v>0</v>
      </c>
      <c r="D60" s="102">
        <f>IF(INDEX(Vehicle_Type,,2)="GC",1,0)</f>
        <v>0</v>
      </c>
      <c r="E60" s="102">
        <f>IF(INDEX(Vehicle_Type,,3)="GC",1,0)</f>
        <v>0</v>
      </c>
      <c r="F60" s="102">
        <f>IF(INDEX(Vehicle_Type,,4)="GC",1,0)</f>
        <v>0</v>
      </c>
      <c r="G60" s="102">
        <f>IF(INDEX(Vehicle_Type,,5)="GC",1,0)</f>
        <v>0</v>
      </c>
      <c r="H60" s="102">
        <f>IF(INDEX(Vehicle_Type,,6)="GC",1,0)</f>
        <v>0</v>
      </c>
      <c r="I60" s="1"/>
    </row>
    <row r="61" spans="1:9" s="102" customFormat="1" ht="12.75">
      <c r="A61" s="106"/>
      <c r="B61" s="102" t="s">
        <v>70</v>
      </c>
      <c r="C61" s="102">
        <f>IF(INDEX(Vehicle_Type,,1)="AA",1,0)</f>
        <v>0</v>
      </c>
      <c r="D61" s="102">
        <f>IF(INDEX(Vehicle_Type,,2)="AA",1,0)</f>
        <v>0</v>
      </c>
      <c r="E61" s="102">
        <f>IF(INDEX(Vehicle_Type,,3)="AA",1,0)</f>
        <v>0</v>
      </c>
      <c r="F61" s="102">
        <f>IF(INDEX(Vehicle_Type,,4)="AA",1,0)</f>
        <v>0</v>
      </c>
      <c r="G61" s="102">
        <f>IF(INDEX(Vehicle_Type,,5)="AA",1,0)</f>
        <v>0</v>
      </c>
      <c r="H61" s="102">
        <f>IF(INDEX(Vehicle_Type,,6)="AA",1,0)</f>
        <v>0</v>
      </c>
      <c r="I61" s="1"/>
    </row>
    <row r="62" spans="1:9" s="102" customFormat="1" ht="12.75">
      <c r="A62" s="106"/>
      <c r="I62" s="1"/>
    </row>
    <row r="63" spans="1:9" s="102" customFormat="1" ht="12.75">
      <c r="A63" s="106" t="s">
        <v>1370</v>
      </c>
      <c r="B63" s="102" t="s">
        <v>71</v>
      </c>
      <c r="C63" s="102">
        <f aca="true" t="shared" si="13" ref="C63:H63">IF(OR(ISERROR(C53),C53&lt;=0,C55&lt;=0),0,IF(CSL,Expense_Fees_MC_CSL,Expense_Fees_MC_BI))</f>
        <v>0</v>
      </c>
      <c r="D63" s="102">
        <f t="shared" si="13"/>
        <v>0</v>
      </c>
      <c r="E63" s="102">
        <f t="shared" si="13"/>
        <v>0</v>
      </c>
      <c r="F63" s="102">
        <f t="shared" si="13"/>
        <v>0</v>
      </c>
      <c r="G63" s="102">
        <f t="shared" si="13"/>
        <v>0</v>
      </c>
      <c r="H63" s="102">
        <f t="shared" si="13"/>
        <v>0</v>
      </c>
      <c r="I63" s="1"/>
    </row>
    <row r="64" spans="1:9" s="102" customFormat="1" ht="12.75">
      <c r="A64" s="106"/>
      <c r="B64" s="102" t="s">
        <v>72</v>
      </c>
      <c r="C64" s="102">
        <f aca="true" t="shared" si="14" ref="C64:H64">IF(OR(ISERROR(C53),C53&lt;=0,C56&lt;=0),0,IF(CSL,Expense_Fees_MC_CSL,Expense_Fees_MC_BI))</f>
        <v>0</v>
      </c>
      <c r="D64" s="102">
        <f t="shared" si="14"/>
        <v>0</v>
      </c>
      <c r="E64" s="102">
        <f t="shared" si="14"/>
        <v>0</v>
      </c>
      <c r="F64" s="102">
        <f t="shared" si="14"/>
        <v>0</v>
      </c>
      <c r="G64" s="102">
        <f t="shared" si="14"/>
        <v>0</v>
      </c>
      <c r="H64" s="102">
        <f t="shared" si="14"/>
        <v>0</v>
      </c>
      <c r="I64" s="1" t="s">
        <v>73</v>
      </c>
    </row>
    <row r="65" spans="1:9" s="102" customFormat="1" ht="12.75">
      <c r="A65" s="106"/>
      <c r="B65" s="102" t="s">
        <v>74</v>
      </c>
      <c r="C65" s="102">
        <f aca="true" t="shared" si="15" ref="C65:H65">IF(OR(ISERROR(C53),C53&lt;=0,C57&lt;=0),0,IF(CSL,Expense_Fees_MC_CSL,Expense_Fees_MC_BI))</f>
        <v>0</v>
      </c>
      <c r="D65" s="102">
        <f t="shared" si="15"/>
        <v>0</v>
      </c>
      <c r="E65" s="102">
        <f t="shared" si="15"/>
        <v>0</v>
      </c>
      <c r="F65" s="102">
        <f t="shared" si="15"/>
        <v>0</v>
      </c>
      <c r="G65" s="102">
        <f t="shared" si="15"/>
        <v>0</v>
      </c>
      <c r="H65" s="102">
        <f t="shared" si="15"/>
        <v>0</v>
      </c>
      <c r="I65" s="1" t="s">
        <v>73</v>
      </c>
    </row>
    <row r="66" spans="1:9" s="102" customFormat="1" ht="12.75">
      <c r="A66" s="106"/>
      <c r="B66" s="102" t="s">
        <v>75</v>
      </c>
      <c r="C66" s="102">
        <f aca="true" t="shared" si="16" ref="C66:H66">IF(OR(ISERROR(C53),C53&lt;=0,C58&lt;=0),0,IF(CSL,Expense_Fees_MC_CSL,Expense_Fees_MC_BI))</f>
        <v>0</v>
      </c>
      <c r="D66" s="102">
        <f t="shared" si="16"/>
        <v>0</v>
      </c>
      <c r="E66" s="102">
        <f t="shared" si="16"/>
        <v>0</v>
      </c>
      <c r="F66" s="102">
        <f t="shared" si="16"/>
        <v>0</v>
      </c>
      <c r="G66" s="102">
        <f t="shared" si="16"/>
        <v>0</v>
      </c>
      <c r="H66" s="102">
        <f t="shared" si="16"/>
        <v>0</v>
      </c>
      <c r="I66" s="1" t="s">
        <v>73</v>
      </c>
    </row>
    <row r="67" spans="1:9" s="102" customFormat="1" ht="12.75">
      <c r="A67" s="106"/>
      <c r="B67" s="102" t="s">
        <v>76</v>
      </c>
      <c r="C67" s="102">
        <f aca="true" t="shared" si="17" ref="C67:H67">IF(OR(ISERROR(C53),C53&lt;=0,C59&lt;=0),0,IF(CSL,Expense_Fees_MC_CSL,Expense_Fees_MC_BI))</f>
        <v>0</v>
      </c>
      <c r="D67" s="102">
        <f t="shared" si="17"/>
        <v>0</v>
      </c>
      <c r="E67" s="102">
        <f t="shared" si="17"/>
        <v>0</v>
      </c>
      <c r="F67" s="102">
        <f t="shared" si="17"/>
        <v>0</v>
      </c>
      <c r="G67" s="102">
        <f t="shared" si="17"/>
        <v>0</v>
      </c>
      <c r="H67" s="102">
        <f t="shared" si="17"/>
        <v>0</v>
      </c>
      <c r="I67" s="1" t="s">
        <v>73</v>
      </c>
    </row>
    <row r="68" spans="1:9" s="102" customFormat="1" ht="12.75">
      <c r="A68" s="106"/>
      <c r="B68" s="102" t="s">
        <v>77</v>
      </c>
      <c r="C68" s="102">
        <f aca="true" t="shared" si="18" ref="C68:H68">IF(OR(ISERROR(C53),C53&lt;=0,C60&lt;=0),0,IF(CSL,Expense_Fees_MC_CSL,Expense_Fees_MC_BI))</f>
        <v>0</v>
      </c>
      <c r="D68" s="102">
        <f t="shared" si="18"/>
        <v>0</v>
      </c>
      <c r="E68" s="102">
        <f t="shared" si="18"/>
        <v>0</v>
      </c>
      <c r="F68" s="102">
        <f t="shared" si="18"/>
        <v>0</v>
      </c>
      <c r="G68" s="102">
        <f t="shared" si="18"/>
        <v>0</v>
      </c>
      <c r="H68" s="102">
        <f t="shared" si="18"/>
        <v>0</v>
      </c>
      <c r="I68" s="1" t="s">
        <v>73</v>
      </c>
    </row>
    <row r="69" spans="1:9" s="102" customFormat="1" ht="12.75">
      <c r="A69" s="106"/>
      <c r="B69" s="102" t="s">
        <v>78</v>
      </c>
      <c r="C69" s="102">
        <f aca="true" t="shared" si="19" ref="C69:H69">IF(OR(ISERROR(C53),C53&lt;=0,C61&lt;=0),0,IF(CSL,Expense_Fees_MC_CSL,Expense_Fees_MC_BI))</f>
        <v>0</v>
      </c>
      <c r="D69" s="102">
        <f t="shared" si="19"/>
        <v>0</v>
      </c>
      <c r="E69" s="102">
        <f t="shared" si="19"/>
        <v>0</v>
      </c>
      <c r="F69" s="102">
        <f t="shared" si="19"/>
        <v>0</v>
      </c>
      <c r="G69" s="102">
        <f t="shared" si="19"/>
        <v>0</v>
      </c>
      <c r="H69" s="102">
        <f t="shared" si="19"/>
        <v>0</v>
      </c>
      <c r="I69" s="1" t="s">
        <v>73</v>
      </c>
    </row>
    <row r="70" spans="1:9" s="102" customFormat="1" ht="12.75">
      <c r="A70" s="106"/>
      <c r="B70" s="102" t="s">
        <v>79</v>
      </c>
      <c r="C70" s="102">
        <f aca="true" t="shared" si="20" ref="C70:H70">SUM(C63:C69)</f>
        <v>0</v>
      </c>
      <c r="D70" s="102">
        <f t="shared" si="20"/>
        <v>0</v>
      </c>
      <c r="E70" s="102">
        <f t="shared" si="20"/>
        <v>0</v>
      </c>
      <c r="F70" s="102">
        <f t="shared" si="20"/>
        <v>0</v>
      </c>
      <c r="G70" s="102">
        <f t="shared" si="20"/>
        <v>0</v>
      </c>
      <c r="H70" s="102">
        <f t="shared" si="20"/>
        <v>0</v>
      </c>
      <c r="I70" s="1"/>
    </row>
    <row r="71" spans="1:9" s="102" customFormat="1" ht="12.75">
      <c r="A71" s="106"/>
      <c r="B71" s="102" t="s">
        <v>1246</v>
      </c>
      <c r="C71" s="110">
        <f aca="true" t="shared" si="21" ref="C71:H71">C53+C70</f>
        <v>0</v>
      </c>
      <c r="D71" s="110">
        <f t="shared" si="21"/>
        <v>0</v>
      </c>
      <c r="E71" s="110">
        <f t="shared" si="21"/>
        <v>0</v>
      </c>
      <c r="F71" s="110">
        <f t="shared" si="21"/>
        <v>0</v>
      </c>
      <c r="G71" s="110">
        <f t="shared" si="21"/>
        <v>0</v>
      </c>
      <c r="H71" s="110">
        <f t="shared" si="21"/>
        <v>0</v>
      </c>
      <c r="I71" s="1"/>
    </row>
    <row r="72" spans="1:9" s="102" customFormat="1" ht="12.75">
      <c r="A72" s="106"/>
      <c r="I72" s="1"/>
    </row>
    <row r="73" spans="1:9" s="102" customFormat="1" ht="12.75">
      <c r="A73" s="106" t="s">
        <v>1250</v>
      </c>
      <c r="B73" s="102" t="s">
        <v>1248</v>
      </c>
      <c r="C73" s="102">
        <f>INDEX(IF(CSL,CSL_Minimum_Premium,BI_Minimum_Premium),1,1)</f>
        <v>0</v>
      </c>
      <c r="D73" s="102">
        <f>INDEX(IF(CSL,CSL_Minimum_Premium,BI_Minimum_Premium),1,2)</f>
        <v>0</v>
      </c>
      <c r="E73" s="102">
        <f>INDEX(IF(CSL,CSL_Minimum_Premium,BI_Minimum_Premium),1,3)</f>
        <v>0</v>
      </c>
      <c r="F73" s="102">
        <f>INDEX(IF(CSL,CSL_Minimum_Premium,BI_Minimum_Premium),1,4)</f>
        <v>0</v>
      </c>
      <c r="G73" s="102">
        <f>INDEX(IF(CSL,CSL_Minimum_Premium,BI_Minimum_Premium),1,5)</f>
        <v>0</v>
      </c>
      <c r="H73" s="102">
        <f>INDEX(IF(CSL,CSL_Minimum_Premium,BI_Minimum_Premium),1,6)</f>
        <v>0</v>
      </c>
      <c r="I73" s="1"/>
    </row>
    <row r="74" spans="1:9" s="102" customFormat="1" ht="12.75">
      <c r="A74" s="106"/>
      <c r="B74" s="102" t="s">
        <v>1249</v>
      </c>
      <c r="C74" s="102">
        <f aca="true" t="shared" si="22" ref="C74:H74">IF(C71&lt;C73,C73,C71)</f>
        <v>0</v>
      </c>
      <c r="D74" s="102">
        <f t="shared" si="22"/>
        <v>0</v>
      </c>
      <c r="E74" s="102">
        <f t="shared" si="22"/>
        <v>0</v>
      </c>
      <c r="F74" s="102">
        <f t="shared" si="22"/>
        <v>0</v>
      </c>
      <c r="G74" s="102">
        <f t="shared" si="22"/>
        <v>0</v>
      </c>
      <c r="H74" s="102">
        <f t="shared" si="22"/>
        <v>0</v>
      </c>
      <c r="I74" s="1"/>
    </row>
    <row r="75" spans="2:9" s="102" customFormat="1" ht="12.75">
      <c r="B75" s="109"/>
      <c r="I75" s="1"/>
    </row>
    <row r="76" spans="1:9" s="102" customFormat="1" ht="12.75">
      <c r="A76" s="106"/>
      <c r="B76" s="102" t="s">
        <v>1251</v>
      </c>
      <c r="C76" s="102">
        <f aca="true" t="shared" si="23" ref="C76:H76">C74</f>
        <v>0</v>
      </c>
      <c r="D76" s="102">
        <f t="shared" si="23"/>
        <v>0</v>
      </c>
      <c r="E76" s="102">
        <f t="shared" si="23"/>
        <v>0</v>
      </c>
      <c r="F76" s="102">
        <f t="shared" si="23"/>
        <v>0</v>
      </c>
      <c r="G76" s="102">
        <f t="shared" si="23"/>
        <v>0</v>
      </c>
      <c r="H76" s="102">
        <f t="shared" si="23"/>
        <v>0</v>
      </c>
      <c r="I76" s="1"/>
    </row>
    <row r="77" spans="2:9" s="102" customFormat="1" ht="12.75">
      <c r="B77" s="109"/>
      <c r="I77" s="1"/>
    </row>
    <row r="78" spans="1:9" s="102" customFormat="1" ht="12.75">
      <c r="A78" s="106" t="s">
        <v>1254</v>
      </c>
      <c r="B78" s="102" t="s">
        <v>1255</v>
      </c>
      <c r="C78" s="102">
        <f aca="true" t="shared" si="24" ref="C78:H78">C76-(C76*Valued_Customer_Discount_Factor)</f>
        <v>0</v>
      </c>
      <c r="D78" s="102">
        <f t="shared" si="24"/>
        <v>0</v>
      </c>
      <c r="E78" s="102">
        <f t="shared" si="24"/>
        <v>0</v>
      </c>
      <c r="F78" s="102">
        <f t="shared" si="24"/>
        <v>0</v>
      </c>
      <c r="G78" s="102">
        <f t="shared" si="24"/>
        <v>0</v>
      </c>
      <c r="H78" s="102">
        <f t="shared" si="24"/>
        <v>0</v>
      </c>
      <c r="I78" s="1"/>
    </row>
    <row r="79" spans="1:9" s="102" customFormat="1" ht="12.75">
      <c r="A79" s="106"/>
      <c r="B79" s="102" t="s">
        <v>1257</v>
      </c>
      <c r="C79" s="102">
        <f aca="true" t="shared" si="25" ref="C79:H79">C78*Policy_Period_Factor</f>
        <v>0</v>
      </c>
      <c r="D79" s="102">
        <f t="shared" si="25"/>
        <v>0</v>
      </c>
      <c r="E79" s="102">
        <f t="shared" si="25"/>
        <v>0</v>
      </c>
      <c r="F79" s="102">
        <f t="shared" si="25"/>
        <v>0</v>
      </c>
      <c r="G79" s="102">
        <f t="shared" si="25"/>
        <v>0</v>
      </c>
      <c r="H79" s="102">
        <f t="shared" si="25"/>
        <v>0</v>
      </c>
      <c r="I79" s="1"/>
    </row>
    <row r="80" spans="1:9" s="102" customFormat="1" ht="12.75">
      <c r="A80" s="106"/>
      <c r="B80" s="102" t="s">
        <v>1258</v>
      </c>
      <c r="C80" s="102">
        <f aca="true" t="shared" si="26" ref="C80:H80">C79-(C79*Fampak_Discount_Factor)</f>
        <v>0</v>
      </c>
      <c r="D80" s="102">
        <f t="shared" si="26"/>
        <v>0</v>
      </c>
      <c r="E80" s="102">
        <f t="shared" si="26"/>
        <v>0</v>
      </c>
      <c r="F80" s="102">
        <f t="shared" si="26"/>
        <v>0</v>
      </c>
      <c r="G80" s="102">
        <f t="shared" si="26"/>
        <v>0</v>
      </c>
      <c r="H80" s="102">
        <f t="shared" si="26"/>
        <v>0</v>
      </c>
      <c r="I80" s="1"/>
    </row>
    <row r="81" spans="1:9" s="102" customFormat="1" ht="12.75">
      <c r="A81" s="106"/>
      <c r="B81" s="112" t="s">
        <v>1259</v>
      </c>
      <c r="C81" s="102">
        <f aca="true" t="shared" si="27" ref="C81:H81">C80-(C80*Prime_Life_Discount_Factor)</f>
        <v>0</v>
      </c>
      <c r="D81" s="102">
        <f t="shared" si="27"/>
        <v>0</v>
      </c>
      <c r="E81" s="102">
        <f t="shared" si="27"/>
        <v>0</v>
      </c>
      <c r="F81" s="102">
        <f t="shared" si="27"/>
        <v>0</v>
      </c>
      <c r="G81" s="102">
        <f t="shared" si="27"/>
        <v>0</v>
      </c>
      <c r="H81" s="102">
        <f t="shared" si="27"/>
        <v>0</v>
      </c>
      <c r="I81" s="1"/>
    </row>
    <row r="82" spans="1:9" s="102" customFormat="1" ht="12.75">
      <c r="A82" s="106" t="s">
        <v>1265</v>
      </c>
      <c r="B82" s="112" t="s">
        <v>1266</v>
      </c>
      <c r="C82" s="102">
        <f aca="true" t="shared" si="28" ref="C82:H82">C81</f>
        <v>0</v>
      </c>
      <c r="D82" s="102">
        <f t="shared" si="28"/>
        <v>0</v>
      </c>
      <c r="E82" s="102">
        <f t="shared" si="28"/>
        <v>0</v>
      </c>
      <c r="F82" s="102">
        <f t="shared" si="28"/>
        <v>0</v>
      </c>
      <c r="G82" s="102">
        <f t="shared" si="28"/>
        <v>0</v>
      </c>
      <c r="H82" s="102">
        <f t="shared" si="28"/>
        <v>0</v>
      </c>
      <c r="I82" s="1"/>
    </row>
    <row r="83" spans="1:9" s="102" customFormat="1" ht="12.75">
      <c r="A83" s="106"/>
      <c r="I83" s="1"/>
    </row>
    <row r="84" spans="1:8" ht="12.75">
      <c r="A84" s="106" t="s">
        <v>1270</v>
      </c>
      <c r="B84" s="106" t="s">
        <v>80</v>
      </c>
      <c r="C84" s="118">
        <f aca="true" t="shared" si="29" ref="C84:H84">IF(OR(ISERROR(C82),C82&lt;=0,C55=0),0,ROUND(C82,2))</f>
        <v>0</v>
      </c>
      <c r="D84" s="118">
        <f t="shared" si="29"/>
        <v>0</v>
      </c>
      <c r="E84" s="118">
        <f t="shared" si="29"/>
        <v>0</v>
      </c>
      <c r="F84" s="118">
        <f t="shared" si="29"/>
        <v>0</v>
      </c>
      <c r="G84" s="118">
        <f t="shared" si="29"/>
        <v>0</v>
      </c>
      <c r="H84" s="118">
        <f t="shared" si="29"/>
        <v>0</v>
      </c>
    </row>
    <row r="85" spans="2:8" ht="12.75">
      <c r="B85" s="106" t="s">
        <v>81</v>
      </c>
      <c r="C85" s="118">
        <f aca="true" t="shared" si="30" ref="C85:H85">IF(OR(ISERROR(C82),C82&lt;=0,C56=0),0,ROUND(C82,2))</f>
        <v>0</v>
      </c>
      <c r="D85" s="118">
        <f t="shared" si="30"/>
        <v>0</v>
      </c>
      <c r="E85" s="118">
        <f t="shared" si="30"/>
        <v>0</v>
      </c>
      <c r="F85" s="118">
        <f t="shared" si="30"/>
        <v>0</v>
      </c>
      <c r="G85" s="118">
        <f t="shared" si="30"/>
        <v>0</v>
      </c>
      <c r="H85" s="118">
        <f t="shared" si="30"/>
        <v>0</v>
      </c>
    </row>
    <row r="86" spans="2:8" ht="12.75">
      <c r="B86" s="106" t="s">
        <v>82</v>
      </c>
      <c r="C86" s="118">
        <f aca="true" t="shared" si="31" ref="C86:H86">IF(OR(ISERROR(C82),C82&lt;=0,C57=0),0,ROUND(C82,2))</f>
        <v>0</v>
      </c>
      <c r="D86" s="118">
        <f t="shared" si="31"/>
        <v>0</v>
      </c>
      <c r="E86" s="118">
        <f t="shared" si="31"/>
        <v>0</v>
      </c>
      <c r="F86" s="118">
        <f t="shared" si="31"/>
        <v>0</v>
      </c>
      <c r="G86" s="118">
        <f t="shared" si="31"/>
        <v>0</v>
      </c>
      <c r="H86" s="118">
        <f t="shared" si="31"/>
        <v>0</v>
      </c>
    </row>
    <row r="87" spans="2:8" ht="12.75">
      <c r="B87" s="106" t="s">
        <v>83</v>
      </c>
      <c r="C87" s="118">
        <f aca="true" t="shared" si="32" ref="C87:H87">IF(OR(ISERROR(C82),C82&lt;=0,C58=0),0,ROUND(C82,2))</f>
        <v>0</v>
      </c>
      <c r="D87" s="118">
        <f t="shared" si="32"/>
        <v>0</v>
      </c>
      <c r="E87" s="118">
        <f t="shared" si="32"/>
        <v>0</v>
      </c>
      <c r="F87" s="118">
        <f t="shared" si="32"/>
        <v>0</v>
      </c>
      <c r="G87" s="118">
        <f t="shared" si="32"/>
        <v>0</v>
      </c>
      <c r="H87" s="118">
        <f t="shared" si="32"/>
        <v>0</v>
      </c>
    </row>
    <row r="88" spans="2:8" ht="12.75">
      <c r="B88" s="106" t="s">
        <v>84</v>
      </c>
      <c r="C88" s="118">
        <f aca="true" t="shared" si="33" ref="C88:H88">IF(OR(ISERROR(C82),C82&lt;=0,C59=0),0,ROUND(C82,2))</f>
        <v>0</v>
      </c>
      <c r="D88" s="118">
        <f t="shared" si="33"/>
        <v>0</v>
      </c>
      <c r="E88" s="118">
        <f t="shared" si="33"/>
        <v>0</v>
      </c>
      <c r="F88" s="118">
        <f t="shared" si="33"/>
        <v>0</v>
      </c>
      <c r="G88" s="118">
        <f t="shared" si="33"/>
        <v>0</v>
      </c>
      <c r="H88" s="118">
        <f t="shared" si="33"/>
        <v>0</v>
      </c>
    </row>
    <row r="89" spans="2:8" ht="12.75">
      <c r="B89" s="106" t="s">
        <v>85</v>
      </c>
      <c r="C89" s="118">
        <f aca="true" t="shared" si="34" ref="C89:H89">IF(OR(ISERROR(C82),C82&lt;=0,C60=0),0,ROUND(C82,2))</f>
        <v>0</v>
      </c>
      <c r="D89" s="118">
        <f t="shared" si="34"/>
        <v>0</v>
      </c>
      <c r="E89" s="118">
        <f t="shared" si="34"/>
        <v>0</v>
      </c>
      <c r="F89" s="118">
        <f t="shared" si="34"/>
        <v>0</v>
      </c>
      <c r="G89" s="118">
        <f t="shared" si="34"/>
        <v>0</v>
      </c>
      <c r="H89" s="118">
        <f t="shared" si="34"/>
        <v>0</v>
      </c>
    </row>
    <row r="90" spans="2:8" ht="12.75">
      <c r="B90" s="106" t="s">
        <v>86</v>
      </c>
      <c r="C90" s="118">
        <f aca="true" t="shared" si="35" ref="C90:H90">IF(OR(ISERROR(C82),C82&lt;=0,C61=0),0,ROUND(C82,2))</f>
        <v>0</v>
      </c>
      <c r="D90" s="118">
        <f t="shared" si="35"/>
        <v>0</v>
      </c>
      <c r="E90" s="118">
        <f t="shared" si="35"/>
        <v>0</v>
      </c>
      <c r="F90" s="118">
        <f t="shared" si="35"/>
        <v>0</v>
      </c>
      <c r="G90" s="118">
        <f t="shared" si="35"/>
        <v>0</v>
      </c>
      <c r="H90" s="118">
        <f t="shared" si="35"/>
        <v>0</v>
      </c>
    </row>
  </sheetData>
  <printOptions/>
  <pageMargins left="0.75" right="0.75" top="1" bottom="1" header="0.5" footer="0.5"/>
  <pageSetup horizontalDpi="200" verticalDpi="2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81"/>
  <sheetViews>
    <sheetView zoomScale="75" zoomScaleNormal="75" workbookViewId="0" topLeftCell="A80">
      <selection activeCell="C29" sqref="C29:H29"/>
    </sheetView>
  </sheetViews>
  <sheetFormatPr defaultColWidth="9.140625" defaultRowHeight="12.75"/>
  <cols>
    <col min="2" max="2" width="38.28125" style="0" customWidth="1"/>
    <col min="9" max="9" width="17.28125" style="0" customWidth="1"/>
  </cols>
  <sheetData>
    <row r="1" spans="1:9" ht="20.25" customHeight="1">
      <c r="A1" s="103"/>
      <c r="B1" s="104" t="s">
        <v>87</v>
      </c>
      <c r="C1" s="103"/>
      <c r="D1" s="103"/>
      <c r="E1" s="103"/>
      <c r="F1" s="102"/>
      <c r="G1" s="102"/>
      <c r="H1" s="102"/>
      <c r="I1" s="1"/>
    </row>
    <row r="3" spans="1:9" ht="12.75">
      <c r="A3" s="106" t="s">
        <v>1206</v>
      </c>
      <c r="B3" s="106" t="s">
        <v>1207</v>
      </c>
      <c r="C3" s="106" t="s">
        <v>428</v>
      </c>
      <c r="D3" s="106" t="s">
        <v>429</v>
      </c>
      <c r="E3" s="106" t="s">
        <v>430</v>
      </c>
      <c r="F3" s="106" t="s">
        <v>431</v>
      </c>
      <c r="G3" s="106" t="s">
        <v>432</v>
      </c>
      <c r="H3" s="106" t="s">
        <v>433</v>
      </c>
      <c r="I3" s="6" t="s">
        <v>229</v>
      </c>
    </row>
    <row r="4" spans="1:9" ht="12.75" customHeight="1">
      <c r="A4" s="106" t="s">
        <v>1208</v>
      </c>
      <c r="B4" s="102" t="s">
        <v>1209</v>
      </c>
      <c r="C4" s="102">
        <f>IF(CSL,0,INDEX(PD_Base_rate,1,1))</f>
        <v>0</v>
      </c>
      <c r="D4" s="102">
        <f>IF(CSL,0,INDEX(PD_Base_rate,1,2))</f>
        <v>0</v>
      </c>
      <c r="E4" s="102">
        <f>IF(CSL,0,INDEX(PD_Base_rate,1,3))</f>
        <v>0</v>
      </c>
      <c r="F4" s="102">
        <f>IF(CSL,0,INDEX(PD_Base_rate,1,4))</f>
        <v>0</v>
      </c>
      <c r="G4" s="102">
        <f>IF(CSL,0,INDEX(PD_Base_rate,1,5))</f>
        <v>0</v>
      </c>
      <c r="H4" s="102">
        <f>IF(CSL,0,INDEX(PD_Base_rate,1,6))</f>
        <v>0</v>
      </c>
      <c r="I4" s="1" t="s">
        <v>1273</v>
      </c>
    </row>
    <row r="5" spans="1:9" s="102" customFormat="1" ht="12.75">
      <c r="A5" s="106"/>
      <c r="B5" s="102" t="s">
        <v>1210</v>
      </c>
      <c r="C5" s="102">
        <f>IF(CSL,0,INDEX(NC_Adjusted_PD_Rate,,1))</f>
        <v>0</v>
      </c>
      <c r="D5" s="102">
        <f>IF(CSL,0,INDEX(NC_Adjusted_PD_Rate,,2))</f>
        <v>0</v>
      </c>
      <c r="E5" s="102">
        <f>IF(CSL,0,INDEX(NC_Adjusted_PD_Rate,,3))</f>
        <v>0</v>
      </c>
      <c r="F5" s="102">
        <f>IF(CSL,0,INDEX(NC_Adjusted_PD_Rate,,4))</f>
        <v>0</v>
      </c>
      <c r="G5" s="102">
        <f>IF(CSL,0,INDEX(NC_Adjusted_PD_Rate,,5))</f>
        <v>0</v>
      </c>
      <c r="H5" s="102">
        <f>IF(CSL,0,INDEX(NC_Adjusted_PD_Rate,,6))</f>
        <v>0</v>
      </c>
      <c r="I5" s="1"/>
    </row>
    <row r="6" spans="1:9" s="102" customFormat="1" ht="12.75">
      <c r="A6" s="106"/>
      <c r="B6" s="102" t="s">
        <v>1211</v>
      </c>
      <c r="C6" s="102">
        <f aca="true" t="shared" si="0" ref="C6:H6">SUM(C4:C5)</f>
        <v>0</v>
      </c>
      <c r="D6" s="102">
        <f t="shared" si="0"/>
        <v>0</v>
      </c>
      <c r="E6" s="102">
        <f t="shared" si="0"/>
        <v>0</v>
      </c>
      <c r="F6" s="102">
        <f t="shared" si="0"/>
        <v>0</v>
      </c>
      <c r="G6" s="102">
        <f t="shared" si="0"/>
        <v>0</v>
      </c>
      <c r="H6" s="102">
        <f t="shared" si="0"/>
        <v>0</v>
      </c>
      <c r="I6" s="1"/>
    </row>
    <row r="7" spans="1:9" ht="12.75">
      <c r="A7" s="106"/>
      <c r="B7" s="107"/>
      <c r="C7" s="102"/>
      <c r="D7" s="102"/>
      <c r="E7" s="102"/>
      <c r="F7" s="102"/>
      <c r="G7" s="102"/>
      <c r="H7" s="102"/>
      <c r="I7" s="1"/>
    </row>
    <row r="8" spans="1:9" s="102" customFormat="1" ht="12.75">
      <c r="A8" s="106" t="s">
        <v>1214</v>
      </c>
      <c r="I8" s="1"/>
    </row>
    <row r="9" spans="1:9" s="102" customFormat="1" ht="12.75">
      <c r="A9" s="106"/>
      <c r="B9" s="102" t="s">
        <v>42</v>
      </c>
      <c r="C9" s="102">
        <f>IF(OR(INDEX(Vehicle_Type,,1)="MC",INDEX(Vehicle_Type,,1)="CMCMS",INDEX(Vehicle_Type,,1)="GO"),INDEX(MotorCycle_Rating_Factor_Liability,,1),0)</f>
        <v>0</v>
      </c>
      <c r="D9" s="102">
        <f>IF(OR(INDEX(Vehicle_Type,,2)="MC",INDEX(Vehicle_Type,,2)="CMCMS",INDEX(Vehicle_Type,,2)="GO"),INDEX(MotorCycle_Rating_Factor_Liability,,2),0)</f>
        <v>0</v>
      </c>
      <c r="E9" s="102">
        <f>IF(OR(INDEX(Vehicle_Type,,3)="MC",INDEX(Vehicle_Type,,3)="CMCMS",INDEX(Vehicle_Type,,3)="GO"),INDEX(MotorCycle_Rating_Factor_Liability,,3),0)</f>
        <v>0</v>
      </c>
      <c r="F9" s="102">
        <f>IF(OR(INDEX(Vehicle_Type,,4)="MC",INDEX(Vehicle_Type,,4)="CMCMS",INDEX(Vehicle_Type,,4)="GO"),INDEX(MotorCycle_Rating_Factor_Liability,,4),0)</f>
        <v>0</v>
      </c>
      <c r="G9" s="102">
        <f>IF(OR(INDEX(Vehicle_Type,,5)="MC",INDEX(Vehicle_Type,,5)="CMCMS",INDEX(Vehicle_Type,,5)="GO"),INDEX(MotorCycle_Rating_Factor_Liability,,5),0)</f>
        <v>0</v>
      </c>
      <c r="H9" s="102">
        <f>IF(OR(INDEX(Vehicle_Type,,6)="MC",INDEX(Vehicle_Type,,6)="CMCMS",INDEX(Vehicle_Type,,6)="GO"),INDEX(MotorCycle_Rating_Factor_Liability,,6),0)</f>
        <v>0</v>
      </c>
      <c r="I9" s="1"/>
    </row>
    <row r="10" spans="1:9" s="102" customFormat="1" ht="12.75">
      <c r="A10" s="106"/>
      <c r="B10" s="102" t="s">
        <v>43</v>
      </c>
      <c r="C10" s="102">
        <f>IF(OR(INDEX(Vehicle_Type,,1)="SNOWM",INDEX(Vehicle_Type,,1)="ATV"),SNOWM_Factor_Liability,0)</f>
        <v>0</v>
      </c>
      <c r="D10" s="102">
        <f>IF(OR(INDEX(Vehicle_Type,,2)="SNOWM",INDEX(Vehicle_Type,,2)="ATV"),SNOWM_Factor_Liability,0)</f>
        <v>0</v>
      </c>
      <c r="E10" s="102">
        <f>IF(OR(INDEX(Vehicle_Type,,3)="SNOWM",INDEX(Vehicle_Type,,3)="ATV"),SNOWM_Factor_Liability,0)</f>
        <v>0</v>
      </c>
      <c r="F10" s="102">
        <f>IF(OR(INDEX(Vehicle_Type,,4)="SNOWM",INDEX(Vehicle_Type,,4)="ATV"),SNOWM_Factor_Liability,0)</f>
        <v>0</v>
      </c>
      <c r="G10" s="102">
        <f>IF(OR(INDEX(Vehicle_Type,,5)="SNOWM",INDEX(Vehicle_Type,,5)="ATV"),SNOWM_Factor_Liability,0)</f>
        <v>0</v>
      </c>
      <c r="H10" s="102">
        <f>IF(OR(INDEX(Vehicle_Type,,6)="SNOWM",INDEX(Vehicle_Type,,6)="ATV"),SNOWM_Factor_Liability,0)</f>
        <v>0</v>
      </c>
      <c r="I10" s="1"/>
    </row>
    <row r="11" spans="1:9" s="102" customFormat="1" ht="12.75">
      <c r="A11" s="106"/>
      <c r="B11" s="102" t="s">
        <v>44</v>
      </c>
      <c r="C11" s="102">
        <f>IF(INDEX(Vehicle_Type,,1)="DB",DuneBuggy_Factor_Liability,0)</f>
        <v>0</v>
      </c>
      <c r="D11" s="102">
        <f>IF(INDEX(Vehicle_Type,,2)="DB",DuneBuggy_Factor_Liability,0)</f>
        <v>0</v>
      </c>
      <c r="E11" s="102">
        <f>IF(INDEX(Vehicle_Type,,3)="DB",DuneBuggy_Factor_Liability,0)</f>
        <v>0</v>
      </c>
      <c r="F11" s="102">
        <f>IF(INDEX(Vehicle_Type,,4)="DB",DuneBuggy_Factor_Liability,0)</f>
        <v>0</v>
      </c>
      <c r="G11" s="102">
        <f>IF(INDEX(Vehicle_Type,,5)="DB",DuneBuggy_Factor_Liability,0)</f>
        <v>0</v>
      </c>
      <c r="H11" s="102">
        <f>IF(INDEX(Vehicle_Type,,6)="DB",DuneBuggy_Factor_Liability,0)</f>
        <v>0</v>
      </c>
      <c r="I11" s="1"/>
    </row>
    <row r="12" spans="1:9" s="102" customFormat="1" ht="12.75">
      <c r="A12" s="106"/>
      <c r="B12" s="102" t="s">
        <v>45</v>
      </c>
      <c r="C12" s="102">
        <f>IF(INDEX(Vehicle_Type,,1)="GC",GolfCart_Factor_Liability,0)</f>
        <v>0</v>
      </c>
      <c r="D12" s="102">
        <f>IF(INDEX(Vehicle_Type,,2)="GC",GolfCart_Factor_Liability,0)</f>
        <v>0</v>
      </c>
      <c r="E12" s="102">
        <f>IF(INDEX(Vehicle_Type,,3)="GC",GolfCart_Factor_Liability,0)</f>
        <v>0</v>
      </c>
      <c r="F12" s="102">
        <f>IF(INDEX(Vehicle_Type,,4)="GC",GolfCart_Factor_Liability,0)</f>
        <v>0</v>
      </c>
      <c r="G12" s="102">
        <f>IF(INDEX(Vehicle_Type,,5)="GC",GolfCart_Factor_Liability,0)</f>
        <v>0</v>
      </c>
      <c r="H12" s="102">
        <f>IF(INDEX(Vehicle_Type,,6)="GC",GolfCart_Factor_Liability,0)</f>
        <v>0</v>
      </c>
      <c r="I12" s="1"/>
    </row>
    <row r="13" spans="1:9" s="102" customFormat="1" ht="12.75">
      <c r="A13" s="106"/>
      <c r="B13" s="102" t="s">
        <v>46</v>
      </c>
      <c r="C13" s="102">
        <f>IF(INDEX(Vehicle_Type,,1)="AA",AntiqueAuto_Factor_Liability,0)</f>
        <v>0</v>
      </c>
      <c r="D13" s="102">
        <f>IF(INDEX(Vehicle_Type,,2)="AA",AntiqueAuto_Factor_Liability,0)</f>
        <v>0</v>
      </c>
      <c r="E13" s="102">
        <f>IF(INDEX(Vehicle_Type,,3)="AA",AntiqueAuto_Factor_Liability,0)</f>
        <v>0</v>
      </c>
      <c r="F13" s="102">
        <f>IF(INDEX(Vehicle_Type,,4)="AA",AntiqueAuto_Factor_Liability,0)</f>
        <v>0</v>
      </c>
      <c r="G13" s="102">
        <f>IF(INDEX(Vehicle_Type,,5)="AA",AntiqueAuto_Factor_Liability,0)</f>
        <v>0</v>
      </c>
      <c r="H13" s="102">
        <f>IF(INDEX(Vehicle_Type,,6)="AA",AntiqueAuto_Factor_Liability,0)</f>
        <v>0</v>
      </c>
      <c r="I13" s="1"/>
    </row>
    <row r="14" spans="1:9" s="102" customFormat="1" ht="12.75" customHeight="1">
      <c r="A14" s="106"/>
      <c r="B14" s="102" t="s">
        <v>47</v>
      </c>
      <c r="C14" s="102">
        <f aca="true" t="shared" si="1" ref="C14:H14">IF(SUM(C9:C13)&lt;=0,1,SUM(C9:C13))</f>
        <v>1</v>
      </c>
      <c r="D14" s="102">
        <f t="shared" si="1"/>
        <v>1</v>
      </c>
      <c r="E14" s="102">
        <f t="shared" si="1"/>
        <v>1</v>
      </c>
      <c r="F14" s="102">
        <f t="shared" si="1"/>
        <v>1</v>
      </c>
      <c r="G14" s="102">
        <f t="shared" si="1"/>
        <v>1</v>
      </c>
      <c r="H14" s="102">
        <f t="shared" si="1"/>
        <v>1</v>
      </c>
      <c r="I14" s="1" t="s">
        <v>48</v>
      </c>
    </row>
    <row r="15" spans="2:9" s="102" customFormat="1" ht="12.75">
      <c r="B15" s="108" t="s">
        <v>1219</v>
      </c>
      <c r="C15" s="102">
        <f aca="true" t="shared" si="2" ref="C15:H15">(C6*C14)</f>
        <v>0</v>
      </c>
      <c r="D15" s="102">
        <f t="shared" si="2"/>
        <v>0</v>
      </c>
      <c r="E15" s="102">
        <f t="shared" si="2"/>
        <v>0</v>
      </c>
      <c r="F15" s="102">
        <f t="shared" si="2"/>
        <v>0</v>
      </c>
      <c r="G15" s="102">
        <f t="shared" si="2"/>
        <v>0</v>
      </c>
      <c r="H15" s="102">
        <f t="shared" si="2"/>
        <v>0</v>
      </c>
      <c r="I15" s="1"/>
    </row>
    <row r="16" spans="1:9" ht="12.75">
      <c r="A16" s="102"/>
      <c r="B16" s="109"/>
      <c r="C16" s="102"/>
      <c r="D16" s="102"/>
      <c r="E16" s="102"/>
      <c r="F16" s="102"/>
      <c r="G16" s="102"/>
      <c r="H16" s="102"/>
      <c r="I16" s="1"/>
    </row>
    <row r="17" spans="1:9" ht="12.75">
      <c r="A17" s="106" t="s">
        <v>1334</v>
      </c>
      <c r="B17" s="102" t="s">
        <v>1215</v>
      </c>
      <c r="C17" s="102">
        <f>IF(CSL,0,INDEX(PD_Increased_Limits_Factor,1,1))</f>
        <v>0</v>
      </c>
      <c r="D17" s="102">
        <f>IF(CSL,0,INDEX(PD_Increased_Limits_Factor,1,2))</f>
        <v>0</v>
      </c>
      <c r="E17" s="102">
        <f>IF(CSL,0,INDEX(PD_Increased_Limits_Factor,1,3))</f>
        <v>0</v>
      </c>
      <c r="F17" s="102">
        <f>IF(CSL,0,INDEX(PD_Increased_Limits_Factor,1,4))</f>
        <v>0</v>
      </c>
      <c r="G17" s="102">
        <f>IF(CSL,0,INDEX(PD_Increased_Limits_Factor,1,5))</f>
        <v>0</v>
      </c>
      <c r="H17" s="102">
        <f>IF(CSL,0,INDEX(PD_Increased_Limits_Factor,1,6))</f>
        <v>0</v>
      </c>
      <c r="I17" s="1"/>
    </row>
    <row r="18" spans="1:9" s="102" customFormat="1" ht="12.75">
      <c r="A18" s="106"/>
      <c r="B18" s="102" t="s">
        <v>1217</v>
      </c>
      <c r="C18" s="102">
        <f aca="true" t="shared" si="3" ref="C18:H18">IF(Insured_State="NC",1,C17)</f>
        <v>0</v>
      </c>
      <c r="D18" s="102">
        <f t="shared" si="3"/>
        <v>0</v>
      </c>
      <c r="E18" s="102">
        <f t="shared" si="3"/>
        <v>0</v>
      </c>
      <c r="F18" s="102">
        <f t="shared" si="3"/>
        <v>0</v>
      </c>
      <c r="G18" s="102">
        <f t="shared" si="3"/>
        <v>0</v>
      </c>
      <c r="H18" s="102">
        <f t="shared" si="3"/>
        <v>0</v>
      </c>
      <c r="I18" s="1"/>
    </row>
    <row r="19" spans="1:9" ht="12.75">
      <c r="A19" s="106" t="s">
        <v>1222</v>
      </c>
      <c r="B19" s="108" t="s">
        <v>53</v>
      </c>
      <c r="C19" s="102">
        <f aca="true" t="shared" si="4" ref="C19:H19">(C15*C18)</f>
        <v>0</v>
      </c>
      <c r="D19" s="102">
        <f t="shared" si="4"/>
        <v>0</v>
      </c>
      <c r="E19" s="102">
        <f t="shared" si="4"/>
        <v>0</v>
      </c>
      <c r="F19" s="102">
        <f t="shared" si="4"/>
        <v>0</v>
      </c>
      <c r="G19" s="102">
        <f t="shared" si="4"/>
        <v>0</v>
      </c>
      <c r="H19" s="102">
        <f t="shared" si="4"/>
        <v>0</v>
      </c>
      <c r="I19" s="1"/>
    </row>
    <row r="20" spans="1:9" ht="12.75">
      <c r="A20" s="106"/>
      <c r="B20" s="108"/>
      <c r="C20" s="102"/>
      <c r="D20" s="102"/>
      <c r="E20" s="102"/>
      <c r="F20" s="102"/>
      <c r="G20" s="102"/>
      <c r="H20" s="102"/>
      <c r="I20" s="1"/>
    </row>
    <row r="21" spans="1:9" s="102" customFormat="1" ht="12.75">
      <c r="A21" s="106" t="s">
        <v>1229</v>
      </c>
      <c r="B21" s="107" t="s">
        <v>54</v>
      </c>
      <c r="C21" s="47">
        <f>IF(OR(INDEX(Vehicle_Type,,1)="MC",INDEX(Vehicle_Type,,1)="CMCMS",INDEX(Vehicle_Type,,1)="GO"),IF(CSL,0,Passenger_Hazard_Split_Factor),0)</f>
        <v>0</v>
      </c>
      <c r="D21" s="47">
        <f>IF(OR(INDEX(Vehicle_Type,,2)="MC",INDEX(Vehicle_Type,,2)="CMCMS",INDEX(Vehicle_Type,,2)="GO"),IF(CSL,0,Passenger_Hazard_Split_Factor),0)</f>
        <v>0</v>
      </c>
      <c r="E21" s="47">
        <f>IF(OR(INDEX(Vehicle_Type,,3)="MC",INDEX(Vehicle_Type,,3)="CMCMS",INDEX(Vehicle_Type,,3)="GO"),IF(CSL,0,Passenger_Hazard_Split_Factor),0)</f>
        <v>0</v>
      </c>
      <c r="F21" s="47">
        <f>IF(OR(INDEX(Vehicle_Type,,4)="MC",INDEX(Vehicle_Type,,4)="CMCMS",INDEX(Vehicle_Type,,4)="GO"),IF(CSL,0,Passenger_Hazard_Split_Factor),0)</f>
        <v>0</v>
      </c>
      <c r="G21" s="47">
        <f>IF(OR(INDEX(Vehicle_Type,,5)="MC",INDEX(Vehicle_Type,,5)="CMCMS",INDEX(Vehicle_Type,,5)="GO"),IF(CSL,0,Passenger_Hazard_Split_Factor),0)</f>
        <v>0</v>
      </c>
      <c r="H21" s="47">
        <f>IF(OR(INDEX(Vehicle_Type,,6)="MC",INDEX(Vehicle_Type,,6)="CMCMS",INDEX(Vehicle_Type,,6)="GO"),IF(CSL,0,Passenger_Hazard_Split_Factor),0)</f>
        <v>0</v>
      </c>
      <c r="I21" s="1"/>
    </row>
    <row r="22" spans="1:9" s="102" customFormat="1" ht="12.75">
      <c r="A22" s="106"/>
      <c r="B22" s="107" t="s">
        <v>55</v>
      </c>
      <c r="C22" s="47">
        <f>IF(AND(Insured_State&lt;&gt;"NC",OR(INDEX(Vehicle_Type,,1)="ATV",INDEX(Vehicle_Type,,1)="SNOWM")),IF(CSL,0,Passenger_Hazard_Split_Factor),0)</f>
        <v>0</v>
      </c>
      <c r="D22" s="47">
        <f>IF(AND(Insured_State&lt;&gt;"NC",OR(INDEX(Vehicle_Type,,2)="ATV",INDEX(Vehicle_Type,,2)="SNOWM")),IF(CSL,0,Passenger_Hazard_Split_Factor),0)</f>
        <v>0</v>
      </c>
      <c r="E22" s="47">
        <f>IF(AND(Insured_State&lt;&gt;"NC",OR(INDEX(Vehicle_Type,,3)="ATV",INDEX(Vehicle_Type,,3)="SNOWM")),IF(CSL,0,Passenger_Hazard_Split_Factor),0)</f>
        <v>0</v>
      </c>
      <c r="F22" s="47">
        <f>IF(AND(Insured_State&lt;&gt;"NC",OR(INDEX(Vehicle_Type,,4)="ATV",INDEX(Vehicle_Type,,4)="SNOWM")),IF(CSL,0,Passenger_Hazard_Split_Factor),0)</f>
        <v>0</v>
      </c>
      <c r="G22" s="47">
        <f>IF(AND(Insured_State&lt;&gt;"NC",OR(INDEX(Vehicle_Type,,5)="ATV",INDEX(Vehicle_Type,,5)="SNOWM")),IF(CSL,0,Passenger_Hazard_Split_Factor),0)</f>
        <v>0</v>
      </c>
      <c r="H22" s="47">
        <f>IF(AND(Insured_State&lt;&gt;"NC",OR(INDEX(Vehicle_Type,,6)="ATV",INDEX(Vehicle_Type,,6)="SNOWM")),IF(CSL,0,Passenger_Hazard_Split_Factor),0)</f>
        <v>0</v>
      </c>
      <c r="I22" s="1" t="s">
        <v>56</v>
      </c>
    </row>
    <row r="23" spans="1:9" s="102" customFormat="1" ht="12.75">
      <c r="A23" s="106"/>
      <c r="B23" s="107" t="s">
        <v>57</v>
      </c>
      <c r="C23" s="47">
        <f>IF(AND(INDEX(Vehicle_Type,,1)="DB",INDEX(Dune_Buggy_Registered,,1)="Non-Registered Dune Buggy (or ATV for IL Only)"),IF(CSL,0,Passenger_Hazard_Split_Factor),0)</f>
        <v>0</v>
      </c>
      <c r="D23" s="47">
        <f>IF(AND(INDEX(Vehicle_Type,,2)="DB",INDEX(Dune_Buggy_Registered,,2)="Non-Registered Dune Buggy (or ATV for IL Only)"),IF(CSL,0,Passenger_Hazard_Split_Factor),0)</f>
        <v>0</v>
      </c>
      <c r="E23" s="47">
        <f>IF(AND(INDEX(Vehicle_Type,,3)="DB",INDEX(Dune_Buggy_Registered,,3)="Non-Registered Dune Buggy (or ATV for IL Only)"),IF(CSL,0,Passenger_Hazard_Split_Factor),0)</f>
        <v>0</v>
      </c>
      <c r="F23" s="47">
        <f>IF(AND(INDEX(Vehicle_Type,,4)="DB",INDEX(Dune_Buggy_Registered,,4)="Non-Registered Dune Buggy (or ATV for IL Only)"),IF(CSL,0,Passenger_Hazard_Split_Factor),0)</f>
        <v>0</v>
      </c>
      <c r="G23" s="47">
        <f>IF(AND(INDEX(Vehicle_Type,,5)="DB",INDEX(Dune_Buggy_Registered,,5)="Non-Registered Dune Buggy (or ATV for IL Only)"),IF(CSL,0,Passenger_Hazard_Split_Factor),0)</f>
        <v>0</v>
      </c>
      <c r="H23" s="47">
        <f>IF(AND(INDEX(Vehicle_Type,,6)="DB",INDEX(Dune_Buggy_Registered,,6)="Non-Registered Dune Buggy (or ATV for IL Only)"),IF(CSL,0,Passenger_Hazard_Split_Factor),0)</f>
        <v>0</v>
      </c>
      <c r="I23" s="1"/>
    </row>
    <row r="24" spans="1:9" s="102" customFormat="1" ht="12.75">
      <c r="A24" s="106"/>
      <c r="B24" s="107" t="s">
        <v>58</v>
      </c>
      <c r="C24" s="47">
        <f aca="true" t="shared" si="5" ref="C24:H24">IF(SUM(C21:C23)=0,1,SUM(C21:C23))</f>
        <v>1</v>
      </c>
      <c r="D24" s="47">
        <f t="shared" si="5"/>
        <v>1</v>
      </c>
      <c r="E24" s="47">
        <f t="shared" si="5"/>
        <v>1</v>
      </c>
      <c r="F24" s="47">
        <f t="shared" si="5"/>
        <v>1</v>
      </c>
      <c r="G24" s="47">
        <f t="shared" si="5"/>
        <v>1</v>
      </c>
      <c r="H24" s="47">
        <f t="shared" si="5"/>
        <v>1</v>
      </c>
      <c r="I24" s="1"/>
    </row>
    <row r="25" spans="1:9" s="102" customFormat="1" ht="12.75">
      <c r="A25" s="106"/>
      <c r="B25" s="107"/>
      <c r="I25" s="1"/>
    </row>
    <row r="26" spans="1:9" s="102" customFormat="1" ht="12.75">
      <c r="A26" s="106" t="s">
        <v>1212</v>
      </c>
      <c r="B26" s="107" t="s">
        <v>1213</v>
      </c>
      <c r="C26" s="102">
        <f aca="true" t="shared" si="6" ref="C26:H26">(C19*C24*IF(Insured_State="NC",Company_Deviation_Factor_NC,Company_Deviation_Factor_Split_PD))</f>
        <v>0</v>
      </c>
      <c r="D26" s="102">
        <f t="shared" si="6"/>
        <v>0</v>
      </c>
      <c r="E26" s="102">
        <f t="shared" si="6"/>
        <v>0</v>
      </c>
      <c r="F26" s="102">
        <f t="shared" si="6"/>
        <v>0</v>
      </c>
      <c r="G26" s="102">
        <f t="shared" si="6"/>
        <v>0</v>
      </c>
      <c r="H26" s="102">
        <f t="shared" si="6"/>
        <v>0</v>
      </c>
      <c r="I26" s="1"/>
    </row>
    <row r="27" spans="1:9" ht="12.75">
      <c r="A27" s="106"/>
      <c r="B27" s="107"/>
      <c r="C27" s="102"/>
      <c r="D27" s="102"/>
      <c r="E27" s="102"/>
      <c r="F27" s="102"/>
      <c r="G27" s="102"/>
      <c r="H27" s="102"/>
      <c r="I27" s="1"/>
    </row>
    <row r="28" spans="1:9" ht="12.75">
      <c r="A28" s="106" t="s">
        <v>1222</v>
      </c>
      <c r="B28" s="102" t="s">
        <v>1223</v>
      </c>
      <c r="C28" s="102">
        <f>INDEX(Primary_class_factor_for_BI_and_PD,1,1)</f>
        <v>0</v>
      </c>
      <c r="D28" s="102">
        <f>INDEX(Primary_class_factor_for_BI_and_PD,1,2)</f>
        <v>0</v>
      </c>
      <c r="E28" s="102">
        <f>INDEX(Primary_class_factor_for_BI_and_PD,1,3)</f>
        <v>0</v>
      </c>
      <c r="F28" s="102">
        <f>INDEX(Primary_class_factor_for_BI_and_PD,1,4)</f>
        <v>0</v>
      </c>
      <c r="G28" s="102">
        <f>INDEX(Primary_class_factor_for_BI_and_PD,1,5)</f>
        <v>0</v>
      </c>
      <c r="H28" s="102">
        <f>INDEX(Primary_class_factor_for_BI_and_PD,1,6)</f>
        <v>0</v>
      </c>
      <c r="I28" s="1"/>
    </row>
    <row r="29" spans="1:9" s="102" customFormat="1" ht="12.75">
      <c r="A29" s="106"/>
      <c r="B29" s="102" t="s">
        <v>1224</v>
      </c>
      <c r="C29" s="102">
        <f>INDEX(NC_Primary_Factor_Liability,,1)</f>
        <v>0</v>
      </c>
      <c r="D29" s="102">
        <f>INDEX(NC_Primary_Factor_Liability,,2)</f>
        <v>0</v>
      </c>
      <c r="E29" s="102">
        <f>INDEX(NC_Primary_Factor_Liability,,3)</f>
        <v>0</v>
      </c>
      <c r="F29" s="102">
        <f>INDEX(NC_Primary_Factor_Liability,,4)</f>
        <v>0</v>
      </c>
      <c r="G29" s="102">
        <f>INDEX(NC_Primary_Factor_Liability,,5)</f>
        <v>0</v>
      </c>
      <c r="H29" s="102">
        <f>INDEX(NC_Primary_Factor_Liability,,6)</f>
        <v>0</v>
      </c>
      <c r="I29" s="1"/>
    </row>
    <row r="30" spans="1:9" ht="12.75">
      <c r="A30" s="102"/>
      <c r="B30" s="102"/>
      <c r="C30" s="102"/>
      <c r="D30" s="102"/>
      <c r="E30" s="102"/>
      <c r="F30" s="102"/>
      <c r="G30" s="102"/>
      <c r="H30" s="102"/>
      <c r="I30" s="1"/>
    </row>
    <row r="31" spans="1:9" ht="12.75">
      <c r="A31" s="106" t="s">
        <v>1225</v>
      </c>
      <c r="B31" s="102" t="s">
        <v>1226</v>
      </c>
      <c r="C31" s="102">
        <f>INDEX(Secondary_class_factor_for_BI_and_PD,1,1)</f>
        <v>0</v>
      </c>
      <c r="D31" s="102">
        <f>INDEX(Secondary_class_factor_for_BI_and_PD,1,2)</f>
        <v>0</v>
      </c>
      <c r="E31" s="102">
        <f>INDEX(Secondary_class_factor_for_BI_and_PD,1,3)</f>
        <v>0</v>
      </c>
      <c r="F31" s="102">
        <f>INDEX(Secondary_class_factor_for_BI_and_PD,1,4)</f>
        <v>0</v>
      </c>
      <c r="G31" s="102">
        <f>INDEX(Secondary_class_factor_for_BI_and_PD,1,5)</f>
        <v>0</v>
      </c>
      <c r="H31" s="102">
        <f>INDEX(Secondary_class_factor_for_BI_and_PD,1,6)</f>
        <v>0</v>
      </c>
      <c r="I31" s="1"/>
    </row>
    <row r="32" spans="1:9" s="102" customFormat="1" ht="12.75">
      <c r="A32" s="106"/>
      <c r="B32" s="102" t="s">
        <v>1227</v>
      </c>
      <c r="C32" s="102">
        <f>INDEX(NC_No_Inexperience_Liability,,1)+INDEX(NC_Inexperience_Liability,,1)</f>
        <v>0</v>
      </c>
      <c r="D32" s="102">
        <f>INDEX(NC_No_Inexperience_Liability,,2)+INDEX(NC_Inexperience_Liability,,2)</f>
        <v>0</v>
      </c>
      <c r="E32" s="102">
        <f>INDEX(NC_No_Inexperience_Liability,,3)+INDEX(NC_Inexperience_Liability,,3)</f>
        <v>0</v>
      </c>
      <c r="F32" s="102">
        <f>INDEX(NC_No_Inexperience_Liability,,4)+INDEX(NC_Inexperience_Liability,,4)</f>
        <v>0</v>
      </c>
      <c r="G32" s="102">
        <f>INDEX(NC_No_Inexperience_Liability,,5)+INDEX(NC_Inexperience_Liability,,5)</f>
        <v>0</v>
      </c>
      <c r="H32" s="102">
        <f>INDEX(NC_No_Inexperience_Liability,,6)+INDEX(NC_Inexperience_Liability,,6)</f>
        <v>0</v>
      </c>
      <c r="I32" s="1"/>
    </row>
    <row r="33" spans="1:9" s="102" customFormat="1" ht="12.75">
      <c r="A33" s="106"/>
      <c r="B33" s="102" t="s">
        <v>1228</v>
      </c>
      <c r="C33" s="102">
        <f>INDEX(MI_Secondary_Class_Factor,,1)</f>
        <v>0</v>
      </c>
      <c r="D33" s="102">
        <f>INDEX(MI_Secondary_Class_Factor,,2)</f>
        <v>0</v>
      </c>
      <c r="E33" s="102">
        <f>INDEX(MI_Secondary_Class_Factor,,3)</f>
        <v>0</v>
      </c>
      <c r="F33" s="102">
        <f>INDEX(MI_Secondary_Class_Factor,,4)</f>
        <v>0</v>
      </c>
      <c r="G33" s="102">
        <f>INDEX(MI_Secondary_Class_Factor,,5)</f>
        <v>0</v>
      </c>
      <c r="H33" s="102">
        <f>INDEX(MI_Secondary_Class_Factor,,6)</f>
        <v>0</v>
      </c>
      <c r="I33" s="1"/>
    </row>
    <row r="34" spans="1:9" ht="12.75">
      <c r="A34" s="102"/>
      <c r="B34" s="109"/>
      <c r="C34" s="102"/>
      <c r="D34" s="102"/>
      <c r="E34" s="102"/>
      <c r="F34" s="102"/>
      <c r="G34" s="102"/>
      <c r="H34" s="102"/>
      <c r="I34" s="1"/>
    </row>
    <row r="35" spans="1:9" ht="12.75">
      <c r="A35" s="106" t="s">
        <v>1229</v>
      </c>
      <c r="B35" s="108" t="s">
        <v>1230</v>
      </c>
      <c r="C35" s="102">
        <f aca="true" t="shared" si="7" ref="C35:H35">SUM(C28:C29)+SUM(C31:C33)</f>
        <v>0</v>
      </c>
      <c r="D35" s="102">
        <f t="shared" si="7"/>
        <v>0</v>
      </c>
      <c r="E35" s="102">
        <f t="shared" si="7"/>
        <v>0</v>
      </c>
      <c r="F35" s="102">
        <f t="shared" si="7"/>
        <v>0</v>
      </c>
      <c r="G35" s="102">
        <f t="shared" si="7"/>
        <v>0</v>
      </c>
      <c r="H35" s="102">
        <f t="shared" si="7"/>
        <v>0</v>
      </c>
      <c r="I35" s="1"/>
    </row>
    <row r="36" spans="1:9" ht="12.75">
      <c r="A36" s="102"/>
      <c r="B36" s="102"/>
      <c r="C36" s="102"/>
      <c r="D36" s="102"/>
      <c r="E36" s="102"/>
      <c r="F36" s="102"/>
      <c r="G36" s="102"/>
      <c r="H36" s="102"/>
      <c r="I36" s="1"/>
    </row>
    <row r="37" spans="1:9" ht="12.75">
      <c r="A37" s="106" t="s">
        <v>1231</v>
      </c>
      <c r="B37" s="102" t="s">
        <v>1232</v>
      </c>
      <c r="C37" s="102">
        <f aca="true" t="shared" si="8" ref="C37:H37">C26*C35</f>
        <v>0</v>
      </c>
      <c r="D37" s="102">
        <f t="shared" si="8"/>
        <v>0</v>
      </c>
      <c r="E37" s="102">
        <f t="shared" si="8"/>
        <v>0</v>
      </c>
      <c r="F37" s="102">
        <f t="shared" si="8"/>
        <v>0</v>
      </c>
      <c r="G37" s="102">
        <f t="shared" si="8"/>
        <v>0</v>
      </c>
      <c r="H37" s="102">
        <f t="shared" si="8"/>
        <v>0</v>
      </c>
      <c r="I37" s="1"/>
    </row>
    <row r="38" spans="1:9" ht="12.75">
      <c r="A38" s="102"/>
      <c r="B38" s="109"/>
      <c r="C38" s="102"/>
      <c r="D38" s="102"/>
      <c r="E38" s="102"/>
      <c r="F38" s="102"/>
      <c r="G38" s="102"/>
      <c r="H38" s="102"/>
      <c r="I38" s="1"/>
    </row>
    <row r="39" spans="1:9" ht="12.75" customHeight="1">
      <c r="A39" s="106" t="s">
        <v>1236</v>
      </c>
      <c r="B39" s="108" t="s">
        <v>816</v>
      </c>
      <c r="C39" s="102">
        <f>INDEX(SDIP_Factor,,1)</f>
        <v>0</v>
      </c>
      <c r="D39" s="102">
        <f>INDEX(SDIP_Factor,,2)</f>
        <v>0</v>
      </c>
      <c r="E39" s="102">
        <f>INDEX(SDIP_Factor,,3)</f>
        <v>0</v>
      </c>
      <c r="F39" s="102">
        <f>INDEX(SDIP_Factor,,4)</f>
        <v>0</v>
      </c>
      <c r="G39" s="102">
        <f>INDEX(SDIP_Factor,,5)</f>
        <v>0</v>
      </c>
      <c r="H39" s="102">
        <f>INDEX(SDIP_Factor,,6)</f>
        <v>0</v>
      </c>
      <c r="I39" s="1"/>
    </row>
    <row r="40" spans="1:9" ht="12.75">
      <c r="A40" s="106"/>
      <c r="B40" s="108" t="s">
        <v>1237</v>
      </c>
      <c r="C40" s="111">
        <f>INDEX(Accident_Prevention_Discount_Factor,,1)</f>
        <v>0</v>
      </c>
      <c r="D40" s="111">
        <f>INDEX(Accident_Prevention_Discount_Factor,,2)</f>
        <v>0</v>
      </c>
      <c r="E40" s="111">
        <f>INDEX(Accident_Prevention_Discount_Factor,,3)</f>
        <v>0</v>
      </c>
      <c r="F40" s="111">
        <f>INDEX(Accident_Prevention_Discount_Factor,,4)</f>
        <v>0</v>
      </c>
      <c r="G40" s="111">
        <f>INDEX(Accident_Prevention_Discount_Factor,,5)</f>
        <v>0</v>
      </c>
      <c r="H40" s="111">
        <f>INDEX(Accident_Prevention_Discount_Factor,,6)</f>
        <v>0</v>
      </c>
      <c r="I40" s="1"/>
    </row>
    <row r="41" spans="1:9" ht="12.75">
      <c r="A41" s="106"/>
      <c r="B41" s="108" t="s">
        <v>62</v>
      </c>
      <c r="C41" s="111">
        <f>INDEX(Motorcycle_Rider_Discount_Factor,,1)</f>
        <v>0.1</v>
      </c>
      <c r="D41" s="111">
        <f>INDEX(Motorcycle_Rider_Discount_Factor,,2)</f>
        <v>0.1</v>
      </c>
      <c r="E41" s="111">
        <f>INDEX(Motorcycle_Rider_Discount_Factor,,3)</f>
        <v>0.1</v>
      </c>
      <c r="F41" s="111">
        <f>INDEX(Motorcycle_Rider_Discount_Factor,,4)</f>
        <v>0.1</v>
      </c>
      <c r="G41" s="111">
        <f>INDEX(Motorcycle_Rider_Discount_Factor,,5)</f>
        <v>0.1</v>
      </c>
      <c r="H41" s="111">
        <f>INDEX(Motorcycle_Rider_Discount_Factor,,6)</f>
        <v>0.1</v>
      </c>
      <c r="I41" s="1"/>
    </row>
    <row r="42" spans="1:9" ht="12.75">
      <c r="A42" s="102"/>
      <c r="B42" s="108"/>
      <c r="C42" s="102"/>
      <c r="D42" s="102"/>
      <c r="E42" s="102"/>
      <c r="F42" s="102"/>
      <c r="G42" s="102"/>
      <c r="H42" s="102"/>
      <c r="I42" s="1"/>
    </row>
    <row r="43" spans="1:9" ht="12.75">
      <c r="A43" s="106" t="s">
        <v>1238</v>
      </c>
      <c r="B43" s="108" t="s">
        <v>1239</v>
      </c>
      <c r="C43" s="102">
        <f aca="true" t="shared" si="9" ref="C43:H43">C39*C4</f>
        <v>0</v>
      </c>
      <c r="D43" s="102">
        <f t="shared" si="9"/>
        <v>0</v>
      </c>
      <c r="E43" s="102">
        <f t="shared" si="9"/>
        <v>0</v>
      </c>
      <c r="F43" s="102">
        <f t="shared" si="9"/>
        <v>0</v>
      </c>
      <c r="G43" s="102">
        <f t="shared" si="9"/>
        <v>0</v>
      </c>
      <c r="H43" s="102">
        <f t="shared" si="9"/>
        <v>0</v>
      </c>
      <c r="I43" s="1"/>
    </row>
    <row r="44" spans="1:9" ht="12.75">
      <c r="A44" s="102"/>
      <c r="B44" s="108" t="s">
        <v>1240</v>
      </c>
      <c r="C44" s="110">
        <f aca="true" t="shared" si="10" ref="C44:H44">IF(Insured_State="OK",C37*C40,0)</f>
        <v>0</v>
      </c>
      <c r="D44" s="110">
        <f t="shared" si="10"/>
        <v>0</v>
      </c>
      <c r="E44" s="110">
        <f t="shared" si="10"/>
        <v>0</v>
      </c>
      <c r="F44" s="110">
        <f t="shared" si="10"/>
        <v>0</v>
      </c>
      <c r="G44" s="110">
        <f t="shared" si="10"/>
        <v>0</v>
      </c>
      <c r="H44" s="110">
        <f t="shared" si="10"/>
        <v>0</v>
      </c>
      <c r="I44" s="1"/>
    </row>
    <row r="45" spans="1:9" ht="12.75">
      <c r="A45" s="102"/>
      <c r="B45" s="108" t="s">
        <v>63</v>
      </c>
      <c r="C45" s="110">
        <f aca="true" t="shared" si="11" ref="C45:H45">IF(AND(Insured_State="TN",INDEX(Driver_Training_assigned_for_Vehicle,,1)="Y"),C37*C41,0)</f>
        <v>0</v>
      </c>
      <c r="D45" s="110">
        <f t="shared" si="11"/>
        <v>0</v>
      </c>
      <c r="E45" s="110">
        <f t="shared" si="11"/>
        <v>0</v>
      </c>
      <c r="F45" s="110">
        <f t="shared" si="11"/>
        <v>0</v>
      </c>
      <c r="G45" s="110">
        <f t="shared" si="11"/>
        <v>0</v>
      </c>
      <c r="H45" s="110">
        <f t="shared" si="11"/>
        <v>0</v>
      </c>
      <c r="I45" s="1"/>
    </row>
    <row r="46" spans="1:9" ht="12.75">
      <c r="A46" s="106"/>
      <c r="B46" s="108"/>
      <c r="C46" s="102"/>
      <c r="D46" s="102"/>
      <c r="E46" s="102"/>
      <c r="F46" s="102"/>
      <c r="G46" s="102"/>
      <c r="H46" s="102"/>
      <c r="I46" s="1"/>
    </row>
    <row r="47" spans="1:9" ht="12.75">
      <c r="A47" s="106" t="s">
        <v>1243</v>
      </c>
      <c r="B47" s="102" t="s">
        <v>1244</v>
      </c>
      <c r="C47" s="110">
        <f aca="true" t="shared" si="12" ref="C47:H47">(C37+C43-C44-C45)</f>
        <v>0</v>
      </c>
      <c r="D47" s="110">
        <f t="shared" si="12"/>
        <v>0</v>
      </c>
      <c r="E47" s="110">
        <f t="shared" si="12"/>
        <v>0</v>
      </c>
      <c r="F47" s="110">
        <f t="shared" si="12"/>
        <v>0</v>
      </c>
      <c r="G47" s="110">
        <f t="shared" si="12"/>
        <v>0</v>
      </c>
      <c r="H47" s="110">
        <f t="shared" si="12"/>
        <v>0</v>
      </c>
      <c r="I47" s="1"/>
    </row>
    <row r="48" spans="1:9" ht="12.75">
      <c r="A48" s="102"/>
      <c r="B48" s="102"/>
      <c r="C48" s="102"/>
      <c r="D48" s="102"/>
      <c r="E48" s="102"/>
      <c r="F48" s="102"/>
      <c r="G48" s="102"/>
      <c r="H48" s="102"/>
      <c r="I48" s="1"/>
    </row>
    <row r="49" spans="1:9" s="102" customFormat="1" ht="15" customHeight="1">
      <c r="A49" s="106"/>
      <c r="B49" s="102" t="s">
        <v>64</v>
      </c>
      <c r="C49" s="102">
        <f>IF(OR(INDEX(Vehicle_Type,,1)="MC",INDEX(Vehicle_Type,,1)="CMCMS"),1,0)</f>
        <v>0</v>
      </c>
      <c r="D49" s="102">
        <f>IF(OR(INDEX(Vehicle_Type,,2)="MC",INDEX(Vehicle_Type,,2)="CMCMS"),1,0)</f>
        <v>0</v>
      </c>
      <c r="E49" s="102">
        <f>IF(OR(INDEX(Vehicle_Type,,3)="MC",INDEX(Vehicle_Type,,3)="CMCMS"),1,0)</f>
        <v>0</v>
      </c>
      <c r="F49" s="102">
        <f>IF(OR(INDEX(Vehicle_Type,,4)="MC",INDEX(Vehicle_Type,,4)="CMCMS"),1,0)</f>
        <v>0</v>
      </c>
      <c r="G49" s="102">
        <f>IF(OR(INDEX(Vehicle_Type,,5)="MC",INDEX(Vehicle_Type,,5)="CMCMS"),1,0)</f>
        <v>0</v>
      </c>
      <c r="H49" s="102">
        <f>IF(OR(INDEX(Vehicle_Type,,6)="MC",INDEX(Vehicle_Type,,6)="CMCMS"),1,0)</f>
        <v>0</v>
      </c>
      <c r="I49" s="1"/>
    </row>
    <row r="50" spans="1:9" s="102" customFormat="1" ht="12.75">
      <c r="A50" s="106"/>
      <c r="B50" s="102" t="s">
        <v>65</v>
      </c>
      <c r="C50" s="102">
        <f>IF(INDEX(Vehicle_Type,,1)="GO",1,0)</f>
        <v>0</v>
      </c>
      <c r="D50" s="102">
        <f>IF(INDEX(Vehicle_Type,,2)="GO",1,0)</f>
        <v>0</v>
      </c>
      <c r="E50" s="102">
        <f>IF(INDEX(Vehicle_Type,,3)="GO",1,0)</f>
        <v>0</v>
      </c>
      <c r="F50" s="102">
        <f>IF(INDEX(Vehicle_Type,,4)="GO",1,0)</f>
        <v>0</v>
      </c>
      <c r="G50" s="102">
        <f>IF(INDEX(Vehicle_Type,,5)="GO",1,0)</f>
        <v>0</v>
      </c>
      <c r="H50" s="102">
        <f>IF(INDEX(Vehicle_Type,,6)="GO",1,0)</f>
        <v>0</v>
      </c>
      <c r="I50" s="1"/>
    </row>
    <row r="51" spans="1:9" s="102" customFormat="1" ht="12.75">
      <c r="A51" s="106"/>
      <c r="B51" s="102" t="s">
        <v>66</v>
      </c>
      <c r="C51" s="102">
        <f>IF(INDEX(Vehicle_Type,,1)="SNOWM",1,0)</f>
        <v>0</v>
      </c>
      <c r="D51" s="102">
        <f>IF(INDEX(Vehicle_Type,,2)="SNOWM",1,0)</f>
        <v>0</v>
      </c>
      <c r="E51" s="102">
        <f>IF(INDEX(Vehicle_Type,,3)="SNOWM",1,0)</f>
        <v>0</v>
      </c>
      <c r="F51" s="102">
        <f>IF(INDEX(Vehicle_Type,,4)="SNOWM",1,0)</f>
        <v>0</v>
      </c>
      <c r="G51" s="102">
        <f>IF(INDEX(Vehicle_Type,,5)="SNOWM",1,0)</f>
        <v>0</v>
      </c>
      <c r="H51" s="102">
        <f>IF(INDEX(Vehicle_Type,,6)="SNOWM",1,0)</f>
        <v>0</v>
      </c>
      <c r="I51" s="1"/>
    </row>
    <row r="52" spans="1:9" s="102" customFormat="1" ht="12.75">
      <c r="A52" s="106"/>
      <c r="B52" s="102" t="s">
        <v>67</v>
      </c>
      <c r="C52" s="102">
        <f>IF(INDEX(Vehicle_Type,,1)="ATV",1,0)</f>
        <v>0</v>
      </c>
      <c r="D52" s="102">
        <f>IF(INDEX(Vehicle_Type,,2)="ATV",1,0)</f>
        <v>0</v>
      </c>
      <c r="E52" s="102">
        <f>IF(INDEX(Vehicle_Type,,3)="ATV",1,0)</f>
        <v>0</v>
      </c>
      <c r="F52" s="102">
        <f>IF(INDEX(Vehicle_Type,,4)="ATV",1,0)</f>
        <v>0</v>
      </c>
      <c r="G52" s="102">
        <f>IF(INDEX(Vehicle_Type,,5)="ATV",1,0)</f>
        <v>0</v>
      </c>
      <c r="H52" s="102">
        <f>IF(INDEX(Vehicle_Type,,6)="ATV",1,0)</f>
        <v>0</v>
      </c>
      <c r="I52" s="1"/>
    </row>
    <row r="53" spans="1:9" s="102" customFormat="1" ht="12.75">
      <c r="A53" s="106"/>
      <c r="B53" s="102" t="s">
        <v>68</v>
      </c>
      <c r="C53" s="102">
        <f>IF(INDEX(Vehicle_Type,,1)="DB",1,0)</f>
        <v>0</v>
      </c>
      <c r="D53" s="102">
        <f>IF(INDEX(Vehicle_Type,,2)="DB",1,0)</f>
        <v>0</v>
      </c>
      <c r="E53" s="102">
        <f>IF(INDEX(Vehicle_Type,,3)="DB",1,0)</f>
        <v>0</v>
      </c>
      <c r="F53" s="102">
        <f>IF(INDEX(Vehicle_Type,,4)="DB",1,0)</f>
        <v>0</v>
      </c>
      <c r="G53" s="102">
        <f>IF(INDEX(Vehicle_Type,,5)="DB",1,0)</f>
        <v>0</v>
      </c>
      <c r="H53" s="102">
        <f>IF(INDEX(Vehicle_Type,,6)="DB",1,0)</f>
        <v>0</v>
      </c>
      <c r="I53" s="1"/>
    </row>
    <row r="54" spans="1:9" s="102" customFormat="1" ht="12.75">
      <c r="A54" s="106"/>
      <c r="B54" s="102" t="s">
        <v>70</v>
      </c>
      <c r="C54" s="102">
        <f>IF(INDEX(Vehicle_Type,,1)="AA",1,0)</f>
        <v>0</v>
      </c>
      <c r="D54" s="102">
        <f>IF(INDEX(Vehicle_Type,,2)="AA",1,0)</f>
        <v>0</v>
      </c>
      <c r="E54" s="102">
        <f>IF(INDEX(Vehicle_Type,,3)="AA",1,0)</f>
        <v>0</v>
      </c>
      <c r="F54" s="102">
        <f>IF(INDEX(Vehicle_Type,,4)="AA",1,0)</f>
        <v>0</v>
      </c>
      <c r="G54" s="102">
        <f>IF(INDEX(Vehicle_Type,,5)="AA",1,0)</f>
        <v>0</v>
      </c>
      <c r="H54" s="102">
        <f>IF(INDEX(Vehicle_Type,,6)="AA",1,0)</f>
        <v>0</v>
      </c>
      <c r="I54" s="1"/>
    </row>
    <row r="55" spans="1:9" ht="12.75">
      <c r="A55" s="106"/>
      <c r="B55" s="102"/>
      <c r="C55" s="102"/>
      <c r="D55" s="102"/>
      <c r="E55" s="102"/>
      <c r="F55" s="102"/>
      <c r="G55" s="102"/>
      <c r="H55" s="102"/>
      <c r="I55" s="1"/>
    </row>
    <row r="56" spans="1:9" s="102" customFormat="1" ht="12.75">
      <c r="A56" s="106"/>
      <c r="B56" s="102" t="s">
        <v>88</v>
      </c>
      <c r="C56" s="102">
        <f aca="true" t="shared" si="13" ref="C56:H56">IF(OR(ISERROR(C47),C47&lt;=0,C49=0),0,Expense_Fees_MC_PD)</f>
        <v>0</v>
      </c>
      <c r="D56" s="102">
        <f t="shared" si="13"/>
        <v>0</v>
      </c>
      <c r="E56" s="102">
        <f t="shared" si="13"/>
        <v>0</v>
      </c>
      <c r="F56" s="102">
        <f t="shared" si="13"/>
        <v>0</v>
      </c>
      <c r="G56" s="102">
        <f t="shared" si="13"/>
        <v>0</v>
      </c>
      <c r="H56" s="102">
        <f t="shared" si="13"/>
        <v>0</v>
      </c>
      <c r="I56" s="1"/>
    </row>
    <row r="57" spans="1:9" s="102" customFormat="1" ht="12.75" customHeight="1">
      <c r="A57" s="106"/>
      <c r="B57" s="102" t="s">
        <v>89</v>
      </c>
      <c r="C57" s="102">
        <f aca="true" t="shared" si="14" ref="C57:H57">IF(OR(ISERROR(C47),C47&lt;=0,C50=0),0,Expense_Fees_MC_PD)</f>
        <v>0</v>
      </c>
      <c r="D57" s="102">
        <f t="shared" si="14"/>
        <v>0</v>
      </c>
      <c r="E57" s="102">
        <f t="shared" si="14"/>
        <v>0</v>
      </c>
      <c r="F57" s="102">
        <f t="shared" si="14"/>
        <v>0</v>
      </c>
      <c r="G57" s="102">
        <f t="shared" si="14"/>
        <v>0</v>
      </c>
      <c r="H57" s="102">
        <f t="shared" si="14"/>
        <v>0</v>
      </c>
      <c r="I57" s="1" t="s">
        <v>73</v>
      </c>
    </row>
    <row r="58" spans="1:9" s="102" customFormat="1" ht="12.75" customHeight="1">
      <c r="A58" s="106"/>
      <c r="B58" s="102" t="s">
        <v>90</v>
      </c>
      <c r="C58" s="102">
        <f aca="true" t="shared" si="15" ref="C58:H58">IF(OR(ISERROR(C47),C47&lt;=0,C51=0),0,Expense_Fees_MC_PD)</f>
        <v>0</v>
      </c>
      <c r="D58" s="102">
        <f t="shared" si="15"/>
        <v>0</v>
      </c>
      <c r="E58" s="102">
        <f t="shared" si="15"/>
        <v>0</v>
      </c>
      <c r="F58" s="102">
        <f t="shared" si="15"/>
        <v>0</v>
      </c>
      <c r="G58" s="102">
        <f t="shared" si="15"/>
        <v>0</v>
      </c>
      <c r="H58" s="102">
        <f t="shared" si="15"/>
        <v>0</v>
      </c>
      <c r="I58" s="1" t="s">
        <v>73</v>
      </c>
    </row>
    <row r="59" spans="1:9" s="102" customFormat="1" ht="12.75" customHeight="1">
      <c r="A59" s="106"/>
      <c r="B59" s="102" t="s">
        <v>91</v>
      </c>
      <c r="C59" s="102">
        <f aca="true" t="shared" si="16" ref="C59:H59">IF(OR(ISERROR(C47),C47&lt;=0,C52=0),0,Expense_Fees_MC_PD)</f>
        <v>0</v>
      </c>
      <c r="D59" s="102">
        <f t="shared" si="16"/>
        <v>0</v>
      </c>
      <c r="E59" s="102">
        <f t="shared" si="16"/>
        <v>0</v>
      </c>
      <c r="F59" s="102">
        <f t="shared" si="16"/>
        <v>0</v>
      </c>
      <c r="G59" s="102">
        <f t="shared" si="16"/>
        <v>0</v>
      </c>
      <c r="H59" s="102">
        <f t="shared" si="16"/>
        <v>0</v>
      </c>
      <c r="I59" s="1" t="s">
        <v>73</v>
      </c>
    </row>
    <row r="60" spans="1:9" s="102" customFormat="1" ht="12.75" customHeight="1">
      <c r="A60" s="106"/>
      <c r="B60" s="102" t="s">
        <v>92</v>
      </c>
      <c r="C60" s="102">
        <f aca="true" t="shared" si="17" ref="C60:H60">IF(OR(ISERROR(C47),C47&lt;=0,C53=0),0,Expense_Fees_MC_PD)</f>
        <v>0</v>
      </c>
      <c r="D60" s="102">
        <f t="shared" si="17"/>
        <v>0</v>
      </c>
      <c r="E60" s="102">
        <f t="shared" si="17"/>
        <v>0</v>
      </c>
      <c r="F60" s="102">
        <f t="shared" si="17"/>
        <v>0</v>
      </c>
      <c r="G60" s="102">
        <f t="shared" si="17"/>
        <v>0</v>
      </c>
      <c r="H60" s="102">
        <f t="shared" si="17"/>
        <v>0</v>
      </c>
      <c r="I60" s="1" t="s">
        <v>73</v>
      </c>
    </row>
    <row r="61" spans="1:9" s="102" customFormat="1" ht="12.75" customHeight="1">
      <c r="A61" s="106"/>
      <c r="B61" s="102" t="s">
        <v>93</v>
      </c>
      <c r="C61" s="102">
        <f aca="true" t="shared" si="18" ref="C61:H61">IF(OR(ISERROR(C47),C47&lt;=0,C54=0),0,Expense_Fees_MC_PD)</f>
        <v>0</v>
      </c>
      <c r="D61" s="102">
        <f t="shared" si="18"/>
        <v>0</v>
      </c>
      <c r="E61" s="102">
        <f t="shared" si="18"/>
        <v>0</v>
      </c>
      <c r="F61" s="102">
        <f t="shared" si="18"/>
        <v>0</v>
      </c>
      <c r="G61" s="102">
        <f t="shared" si="18"/>
        <v>0</v>
      </c>
      <c r="H61" s="102">
        <f t="shared" si="18"/>
        <v>0</v>
      </c>
      <c r="I61" s="1" t="s">
        <v>73</v>
      </c>
    </row>
    <row r="62" spans="1:9" s="102" customFormat="1" ht="12.75">
      <c r="A62" s="106"/>
      <c r="B62" s="102" t="s">
        <v>79</v>
      </c>
      <c r="C62" s="102">
        <f aca="true" t="shared" si="19" ref="C62:H62">SUM(C55:C61)</f>
        <v>0</v>
      </c>
      <c r="D62" s="102">
        <f t="shared" si="19"/>
        <v>0</v>
      </c>
      <c r="E62" s="102">
        <f t="shared" si="19"/>
        <v>0</v>
      </c>
      <c r="F62" s="102">
        <f t="shared" si="19"/>
        <v>0</v>
      </c>
      <c r="G62" s="102">
        <f t="shared" si="19"/>
        <v>0</v>
      </c>
      <c r="H62" s="102">
        <f t="shared" si="19"/>
        <v>0</v>
      </c>
      <c r="I62" s="1"/>
    </row>
    <row r="63" spans="1:9" s="102" customFormat="1" ht="12.75">
      <c r="A63" s="106"/>
      <c r="B63" s="102" t="s">
        <v>1246</v>
      </c>
      <c r="C63" s="110">
        <f aca="true" t="shared" si="20" ref="C63:H63">C47+C62</f>
        <v>0</v>
      </c>
      <c r="D63" s="110">
        <f t="shared" si="20"/>
        <v>0</v>
      </c>
      <c r="E63" s="110">
        <f t="shared" si="20"/>
        <v>0</v>
      </c>
      <c r="F63" s="110">
        <f t="shared" si="20"/>
        <v>0</v>
      </c>
      <c r="G63" s="110">
        <f t="shared" si="20"/>
        <v>0</v>
      </c>
      <c r="H63" s="110">
        <f t="shared" si="20"/>
        <v>0</v>
      </c>
      <c r="I63" s="1"/>
    </row>
    <row r="64" spans="1:9" s="102" customFormat="1" ht="12.75" customHeight="1">
      <c r="A64" s="106"/>
      <c r="I64" s="1"/>
    </row>
    <row r="65" spans="1:9" ht="12.75">
      <c r="A65" s="106" t="s">
        <v>1247</v>
      </c>
      <c r="B65" s="102" t="s">
        <v>1248</v>
      </c>
      <c r="C65" s="102">
        <f>IF(CSL,0,INDEX(PD_Minimum_Premium,1,1))</f>
        <v>0</v>
      </c>
      <c r="D65" s="102">
        <f>IF(CSL,0,INDEX(PD_Minimum_Premium,1,2))</f>
        <v>0</v>
      </c>
      <c r="E65" s="102">
        <f>IF(CSL,0,INDEX(PD_Minimum_Premium,1,3))</f>
        <v>0</v>
      </c>
      <c r="F65" s="102">
        <f>IF(CSL,0,INDEX(PD_Minimum_Premium,1,4))</f>
        <v>0</v>
      </c>
      <c r="G65" s="102">
        <f>IF(CSL,0,INDEX(PD_Minimum_Premium,1,5))</f>
        <v>0</v>
      </c>
      <c r="H65" s="102">
        <f>IF(CSL,0,INDEX(PD_Minimum_Premium,1,6))</f>
        <v>0</v>
      </c>
      <c r="I65" s="1"/>
    </row>
    <row r="66" spans="1:9" ht="12.75">
      <c r="A66" s="106"/>
      <c r="B66" s="102" t="s">
        <v>1249</v>
      </c>
      <c r="C66" s="102">
        <f aca="true" t="shared" si="21" ref="C66:H66">IF(C63&lt;C65,C65,C63)</f>
        <v>0</v>
      </c>
      <c r="D66" s="102">
        <f t="shared" si="21"/>
        <v>0</v>
      </c>
      <c r="E66" s="102">
        <f t="shared" si="21"/>
        <v>0</v>
      </c>
      <c r="F66" s="102">
        <f t="shared" si="21"/>
        <v>0</v>
      </c>
      <c r="G66" s="102">
        <f t="shared" si="21"/>
        <v>0</v>
      </c>
      <c r="H66" s="102">
        <f t="shared" si="21"/>
        <v>0</v>
      </c>
      <c r="I66" s="1"/>
    </row>
    <row r="67" spans="1:9" ht="12.75">
      <c r="A67" s="102"/>
      <c r="B67" s="109"/>
      <c r="C67" s="102"/>
      <c r="D67" s="102"/>
      <c r="E67" s="102"/>
      <c r="F67" s="102"/>
      <c r="G67" s="102"/>
      <c r="H67" s="102"/>
      <c r="I67" s="1"/>
    </row>
    <row r="68" spans="1:9" ht="12.75">
      <c r="A68" s="106" t="s">
        <v>1250</v>
      </c>
      <c r="B68" s="102" t="s">
        <v>1251</v>
      </c>
      <c r="C68" s="102">
        <f aca="true" t="shared" si="22" ref="C68:H68">C66</f>
        <v>0</v>
      </c>
      <c r="D68" s="102">
        <f t="shared" si="22"/>
        <v>0</v>
      </c>
      <c r="E68" s="102">
        <f t="shared" si="22"/>
        <v>0</v>
      </c>
      <c r="F68" s="102">
        <f t="shared" si="22"/>
        <v>0</v>
      </c>
      <c r="G68" s="102">
        <f t="shared" si="22"/>
        <v>0</v>
      </c>
      <c r="H68" s="102">
        <f t="shared" si="22"/>
        <v>0</v>
      </c>
      <c r="I68" s="1"/>
    </row>
    <row r="69" spans="1:9" ht="12.75">
      <c r="A69" s="102"/>
      <c r="B69" s="109"/>
      <c r="C69" s="102"/>
      <c r="D69" s="102"/>
      <c r="E69" s="102"/>
      <c r="F69" s="102"/>
      <c r="G69" s="102"/>
      <c r="H69" s="102"/>
      <c r="I69" s="1"/>
    </row>
    <row r="70" spans="1:9" s="102" customFormat="1" ht="12.75">
      <c r="A70" s="106" t="s">
        <v>1254</v>
      </c>
      <c r="B70" s="102" t="s">
        <v>1255</v>
      </c>
      <c r="C70" s="102">
        <f aca="true" t="shared" si="23" ref="C70:H70">C68-(C68*Valued_Customer_Discount_Factor)</f>
        <v>0</v>
      </c>
      <c r="D70" s="102">
        <f t="shared" si="23"/>
        <v>0</v>
      </c>
      <c r="E70" s="102">
        <f t="shared" si="23"/>
        <v>0</v>
      </c>
      <c r="F70" s="102">
        <f t="shared" si="23"/>
        <v>0</v>
      </c>
      <c r="G70" s="102">
        <f t="shared" si="23"/>
        <v>0</v>
      </c>
      <c r="H70" s="102">
        <f t="shared" si="23"/>
        <v>0</v>
      </c>
      <c r="I70" s="1"/>
    </row>
    <row r="71" spans="1:9" s="102" customFormat="1" ht="12.75">
      <c r="A71" s="106"/>
      <c r="B71" s="102" t="s">
        <v>1257</v>
      </c>
      <c r="C71" s="102">
        <f aca="true" t="shared" si="24" ref="C71:H71">C70*Policy_Period_Factor</f>
        <v>0</v>
      </c>
      <c r="D71" s="102">
        <f t="shared" si="24"/>
        <v>0</v>
      </c>
      <c r="E71" s="102">
        <f t="shared" si="24"/>
        <v>0</v>
      </c>
      <c r="F71" s="102">
        <f t="shared" si="24"/>
        <v>0</v>
      </c>
      <c r="G71" s="102">
        <f t="shared" si="24"/>
        <v>0</v>
      </c>
      <c r="H71" s="102">
        <f t="shared" si="24"/>
        <v>0</v>
      </c>
      <c r="I71" s="1"/>
    </row>
    <row r="72" spans="1:9" s="102" customFormat="1" ht="12.75">
      <c r="A72" s="106"/>
      <c r="B72" s="102" t="s">
        <v>1258</v>
      </c>
      <c r="C72" s="102">
        <f aca="true" t="shared" si="25" ref="C72:H72">C71-(C71*Fampak_Discount_Factor)</f>
        <v>0</v>
      </c>
      <c r="D72" s="102">
        <f t="shared" si="25"/>
        <v>0</v>
      </c>
      <c r="E72" s="102">
        <f t="shared" si="25"/>
        <v>0</v>
      </c>
      <c r="F72" s="102">
        <f t="shared" si="25"/>
        <v>0</v>
      </c>
      <c r="G72" s="102">
        <f t="shared" si="25"/>
        <v>0</v>
      </c>
      <c r="H72" s="102">
        <f t="shared" si="25"/>
        <v>0</v>
      </c>
      <c r="I72" s="1"/>
    </row>
    <row r="73" spans="1:9" s="102" customFormat="1" ht="12.75">
      <c r="A73" s="106"/>
      <c r="B73" s="112" t="s">
        <v>1259</v>
      </c>
      <c r="C73" s="102">
        <f aca="true" t="shared" si="26" ref="C73:H73">C72-(C72*Prime_Life_Discount_Factor)</f>
        <v>0</v>
      </c>
      <c r="D73" s="102">
        <f t="shared" si="26"/>
        <v>0</v>
      </c>
      <c r="E73" s="102">
        <f t="shared" si="26"/>
        <v>0</v>
      </c>
      <c r="F73" s="102">
        <f t="shared" si="26"/>
        <v>0</v>
      </c>
      <c r="G73" s="102">
        <f t="shared" si="26"/>
        <v>0</v>
      </c>
      <c r="H73" s="102">
        <f t="shared" si="26"/>
        <v>0</v>
      </c>
      <c r="I73" s="1"/>
    </row>
    <row r="74" spans="1:9" s="102" customFormat="1" ht="12.75">
      <c r="A74" s="106" t="s">
        <v>1265</v>
      </c>
      <c r="B74" s="112" t="s">
        <v>1266</v>
      </c>
      <c r="C74" s="102">
        <f aca="true" t="shared" si="27" ref="C74:H74">C73</f>
        <v>0</v>
      </c>
      <c r="D74" s="102">
        <f t="shared" si="27"/>
        <v>0</v>
      </c>
      <c r="E74" s="102">
        <f t="shared" si="27"/>
        <v>0</v>
      </c>
      <c r="F74" s="102">
        <f t="shared" si="27"/>
        <v>0</v>
      </c>
      <c r="G74" s="102">
        <f t="shared" si="27"/>
        <v>0</v>
      </c>
      <c r="H74" s="102">
        <f t="shared" si="27"/>
        <v>0</v>
      </c>
      <c r="I74" s="1"/>
    </row>
    <row r="75" spans="1:9" s="102" customFormat="1" ht="12.75">
      <c r="A75" s="106"/>
      <c r="B75" s="112"/>
      <c r="I75" s="1"/>
    </row>
    <row r="76" spans="1:9" s="102" customFormat="1" ht="12.75">
      <c r="A76" s="106" t="s">
        <v>1270</v>
      </c>
      <c r="B76" s="106" t="s">
        <v>94</v>
      </c>
      <c r="C76" s="119">
        <f aca="true" t="shared" si="28" ref="C76:H76">IF(OR(ISERROR(C74),C74&lt;=0,C49=0),0,ROUND(C74,2))</f>
        <v>0</v>
      </c>
      <c r="D76" s="119">
        <f t="shared" si="28"/>
        <v>0</v>
      </c>
      <c r="E76" s="119">
        <f t="shared" si="28"/>
        <v>0</v>
      </c>
      <c r="F76" s="119">
        <f t="shared" si="28"/>
        <v>0</v>
      </c>
      <c r="G76" s="119">
        <f t="shared" si="28"/>
        <v>0</v>
      </c>
      <c r="H76" s="119">
        <f t="shared" si="28"/>
        <v>0</v>
      </c>
      <c r="I76" s="1"/>
    </row>
    <row r="77" spans="2:8" ht="12.75">
      <c r="B77" s="106" t="s">
        <v>95</v>
      </c>
      <c r="C77" s="119">
        <f aca="true" t="shared" si="29" ref="C77:H77">IF(OR(ISERROR(C74),C74&lt;=0,C50=0),0,ROUND(C74,2))</f>
        <v>0</v>
      </c>
      <c r="D77" s="119">
        <f t="shared" si="29"/>
        <v>0</v>
      </c>
      <c r="E77" s="119">
        <f t="shared" si="29"/>
        <v>0</v>
      </c>
      <c r="F77" s="119">
        <f t="shared" si="29"/>
        <v>0</v>
      </c>
      <c r="G77" s="119">
        <f t="shared" si="29"/>
        <v>0</v>
      </c>
      <c r="H77" s="119">
        <f t="shared" si="29"/>
        <v>0</v>
      </c>
    </row>
    <row r="78" spans="2:8" ht="12.75">
      <c r="B78" s="106" t="s">
        <v>96</v>
      </c>
      <c r="C78" s="119">
        <f aca="true" t="shared" si="30" ref="C78:H78">IF(OR(ISERROR(C74),C74&lt;=0,C51=0),0,ROUND(C74,2))</f>
        <v>0</v>
      </c>
      <c r="D78" s="119">
        <f t="shared" si="30"/>
        <v>0</v>
      </c>
      <c r="E78" s="119">
        <f t="shared" si="30"/>
        <v>0</v>
      </c>
      <c r="F78" s="119">
        <f t="shared" si="30"/>
        <v>0</v>
      </c>
      <c r="G78" s="119">
        <f t="shared" si="30"/>
        <v>0</v>
      </c>
      <c r="H78" s="119">
        <f t="shared" si="30"/>
        <v>0</v>
      </c>
    </row>
    <row r="79" spans="2:8" ht="12.75">
      <c r="B79" s="106" t="s">
        <v>97</v>
      </c>
      <c r="C79" s="119">
        <f aca="true" t="shared" si="31" ref="C79:H79">IF(OR(ISERROR(C74),C74&lt;=0,C52=0),0,ROUND(C74,2))</f>
        <v>0</v>
      </c>
      <c r="D79" s="119">
        <f t="shared" si="31"/>
        <v>0</v>
      </c>
      <c r="E79" s="119">
        <f t="shared" si="31"/>
        <v>0</v>
      </c>
      <c r="F79" s="119">
        <f t="shared" si="31"/>
        <v>0</v>
      </c>
      <c r="G79" s="119">
        <f t="shared" si="31"/>
        <v>0</v>
      </c>
      <c r="H79" s="119">
        <f t="shared" si="31"/>
        <v>0</v>
      </c>
    </row>
    <row r="80" spans="2:8" ht="12.75">
      <c r="B80" s="106" t="s">
        <v>98</v>
      </c>
      <c r="C80" s="119">
        <f aca="true" t="shared" si="32" ref="C80:H80">IF(OR(ISERROR(C74),C74&lt;=0,C53=0),0,ROUND(C74,2))</f>
        <v>0</v>
      </c>
      <c r="D80" s="119">
        <f t="shared" si="32"/>
        <v>0</v>
      </c>
      <c r="E80" s="119">
        <f t="shared" si="32"/>
        <v>0</v>
      </c>
      <c r="F80" s="119">
        <f t="shared" si="32"/>
        <v>0</v>
      </c>
      <c r="G80" s="119">
        <f t="shared" si="32"/>
        <v>0</v>
      </c>
      <c r="H80" s="119">
        <f t="shared" si="32"/>
        <v>0</v>
      </c>
    </row>
    <row r="81" spans="2:8" ht="12.75">
      <c r="B81" s="106" t="s">
        <v>99</v>
      </c>
      <c r="C81" s="119">
        <f aca="true" t="shared" si="33" ref="C81:H81">IF(OR(ISERROR(C74),C74&lt;=0,C54=0),0,ROUND(C74,2))</f>
        <v>0</v>
      </c>
      <c r="D81" s="119">
        <f t="shared" si="33"/>
        <v>0</v>
      </c>
      <c r="E81" s="119">
        <f t="shared" si="33"/>
        <v>0</v>
      </c>
      <c r="F81" s="119">
        <f t="shared" si="33"/>
        <v>0</v>
      </c>
      <c r="G81" s="119">
        <f t="shared" si="33"/>
        <v>0</v>
      </c>
      <c r="H81" s="119">
        <f t="shared" si="33"/>
        <v>0</v>
      </c>
    </row>
  </sheetData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BK63"/>
  <sheetViews>
    <sheetView zoomScale="75" zoomScaleNormal="75" workbookViewId="0" topLeftCell="A39">
      <selection activeCell="C17" sqref="C17"/>
    </sheetView>
  </sheetViews>
  <sheetFormatPr defaultColWidth="9.140625" defaultRowHeight="12.75"/>
  <cols>
    <col min="2" max="2" width="39.28125" style="0" customWidth="1"/>
    <col min="9" max="9" width="17.57421875" style="0" customWidth="1"/>
  </cols>
  <sheetData>
    <row r="1" spans="1:9" ht="20.25" customHeight="1">
      <c r="A1" s="103"/>
      <c r="B1" s="104" t="s">
        <v>100</v>
      </c>
      <c r="C1" s="103"/>
      <c r="D1" s="103"/>
      <c r="E1" s="103"/>
      <c r="F1" s="102"/>
      <c r="G1" s="102"/>
      <c r="H1" s="102"/>
      <c r="I1" s="1"/>
    </row>
    <row r="3" spans="1:9" ht="12.75">
      <c r="A3" s="106" t="s">
        <v>1206</v>
      </c>
      <c r="B3" s="106" t="s">
        <v>1207</v>
      </c>
      <c r="C3" s="106" t="s">
        <v>428</v>
      </c>
      <c r="D3" s="106" t="s">
        <v>429</v>
      </c>
      <c r="E3" s="106" t="s">
        <v>430</v>
      </c>
      <c r="F3" s="106" t="s">
        <v>431</v>
      </c>
      <c r="G3" s="106" t="s">
        <v>432</v>
      </c>
      <c r="H3" s="106" t="s">
        <v>433</v>
      </c>
      <c r="I3" s="6" t="s">
        <v>229</v>
      </c>
    </row>
    <row r="4" spans="1:9" ht="12.75">
      <c r="A4" s="106" t="s">
        <v>1208</v>
      </c>
      <c r="B4" s="102" t="s">
        <v>1209</v>
      </c>
      <c r="C4" s="102">
        <f>INDEX(Medical_Base_Rate,1,1)</f>
        <v>0</v>
      </c>
      <c r="D4" s="102">
        <f>INDEX(Medical_Base_Rate,1,2)</f>
        <v>0</v>
      </c>
      <c r="E4" s="102">
        <f>INDEX(Medical_Base_Rate,1,3)</f>
        <v>0</v>
      </c>
      <c r="F4" s="102">
        <f>INDEX(Medical_Base_Rate,1,4)</f>
        <v>0</v>
      </c>
      <c r="G4" s="102">
        <f>INDEX(Medical_Base_Rate,1,5)</f>
        <v>0</v>
      </c>
      <c r="H4" s="102">
        <f>INDEX(Medical_Base_Rate,1,6)</f>
        <v>0</v>
      </c>
      <c r="I4" s="1"/>
    </row>
    <row r="5" spans="1:9" s="102" customFormat="1" ht="12.75" customHeight="1">
      <c r="A5" s="106"/>
      <c r="B5" s="102" t="s">
        <v>1210</v>
      </c>
      <c r="C5" s="102">
        <f>INDEX(NC_Adjusted_Medical_Rate,,1)</f>
        <v>0</v>
      </c>
      <c r="D5" s="102">
        <f>INDEX(NC_Adjusted_Medical_Rate,,2)</f>
        <v>0</v>
      </c>
      <c r="E5" s="102">
        <f>INDEX(NC_Adjusted_Medical_Rate,,3)</f>
        <v>0</v>
      </c>
      <c r="F5" s="102">
        <f>INDEX(NC_Adjusted_Medical_Rate,,4)</f>
        <v>0</v>
      </c>
      <c r="G5" s="102">
        <f>INDEX(NC_Adjusted_Medical_Rate,,5)</f>
        <v>0</v>
      </c>
      <c r="H5" s="102">
        <f>INDEX(NC_Adjusted_Medical_Rate,,6)</f>
        <v>0</v>
      </c>
      <c r="I5" s="1" t="s">
        <v>1473</v>
      </c>
    </row>
    <row r="6" spans="1:9" s="102" customFormat="1" ht="12.75">
      <c r="A6" s="106"/>
      <c r="B6" s="102" t="s">
        <v>1211</v>
      </c>
      <c r="C6" s="102">
        <f aca="true" t="shared" si="0" ref="C6:H6">SUM(C4:C5)</f>
        <v>0</v>
      </c>
      <c r="D6" s="102">
        <f t="shared" si="0"/>
        <v>0</v>
      </c>
      <c r="E6" s="102">
        <f t="shared" si="0"/>
        <v>0</v>
      </c>
      <c r="F6" s="102">
        <f t="shared" si="0"/>
        <v>0</v>
      </c>
      <c r="G6" s="102">
        <f t="shared" si="0"/>
        <v>0</v>
      </c>
      <c r="H6" s="102">
        <f t="shared" si="0"/>
        <v>0</v>
      </c>
      <c r="I6" s="1"/>
    </row>
    <row r="7" spans="1:9" ht="12.75">
      <c r="A7" s="106"/>
      <c r="B7" s="102"/>
      <c r="C7" s="102"/>
      <c r="D7" s="102"/>
      <c r="E7" s="102"/>
      <c r="F7" s="102"/>
      <c r="G7" s="102"/>
      <c r="H7" s="102"/>
      <c r="I7" s="1"/>
    </row>
    <row r="8" spans="1:9" s="102" customFormat="1" ht="12.75">
      <c r="A8" s="106" t="s">
        <v>1212</v>
      </c>
      <c r="B8" s="107" t="s">
        <v>1213</v>
      </c>
      <c r="C8" s="102">
        <f aca="true" t="shared" si="1" ref="C8:H8">(C6*IF(Insured_State="NC",Company_Deviation_Factor_NC,Company_Deviation_Factor_Medical))</f>
        <v>0</v>
      </c>
      <c r="D8" s="102">
        <f t="shared" si="1"/>
        <v>0</v>
      </c>
      <c r="E8" s="102">
        <f t="shared" si="1"/>
        <v>0</v>
      </c>
      <c r="F8" s="102">
        <f t="shared" si="1"/>
        <v>0</v>
      </c>
      <c r="G8" s="102">
        <f t="shared" si="1"/>
        <v>0</v>
      </c>
      <c r="H8" s="102">
        <f t="shared" si="1"/>
        <v>0</v>
      </c>
      <c r="I8" s="1"/>
    </row>
    <row r="9" spans="1:9" s="102" customFormat="1" ht="12.75">
      <c r="A9" s="106"/>
      <c r="B9" s="107"/>
      <c r="I9" s="1"/>
    </row>
    <row r="10" spans="1:63" s="117" customFormat="1" ht="12.75" customHeight="1">
      <c r="A10" s="106" t="s">
        <v>1214</v>
      </c>
      <c r="B10" s="102"/>
      <c r="C10" s="102"/>
      <c r="D10" s="102"/>
      <c r="E10" s="102"/>
      <c r="F10" s="102"/>
      <c r="G10" s="102"/>
      <c r="H10" s="102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</row>
    <row r="11" spans="1:63" s="117" customFormat="1" ht="12.75" customHeight="1">
      <c r="A11" s="106"/>
      <c r="B11" s="102" t="s">
        <v>101</v>
      </c>
      <c r="C11" s="102">
        <f>IF(OR(INDEX(Vehicle_Type,,1)="SNOWM",INDEX(Vehicle_Type,,1)="ATV"),INDEX(Medical_Increased_Limits_Factor_SNOWM,,1),0)</f>
        <v>0</v>
      </c>
      <c r="D11" s="102">
        <f>IF(OR(INDEX(Vehicle_Type,,2)="SNOWM",INDEX(Vehicle_Type,,2)="ATV"),INDEX(Medical_Increased_Limits_Factor_SNOWM,,2),0)</f>
        <v>0</v>
      </c>
      <c r="E11" s="102">
        <f>IF(OR(INDEX(Vehicle_Type,,3)="SNOWM",INDEX(Vehicle_Type,,3)="ATV"),INDEX(Medical_Increased_Limits_Factor_SNOWM,,3),0)</f>
        <v>0</v>
      </c>
      <c r="F11" s="102">
        <f>IF(OR(INDEX(Vehicle_Type,,4)="SNOWM",INDEX(Vehicle_Type,,4)="ATV"),INDEX(Medical_Increased_Limits_Factor_SNOWM,,4),0)</f>
        <v>0</v>
      </c>
      <c r="G11" s="102">
        <f>IF(OR(INDEX(Vehicle_Type,,5)="SNOWM",INDEX(Vehicle_Type,,5)="ATV"),INDEX(Medical_Increased_Limits_Factor_SNOWM,,5),0)</f>
        <v>0</v>
      </c>
      <c r="H11" s="102">
        <f>IF(OR(INDEX(Vehicle_Type,,6)="SNOWM",INDEX(Vehicle_Type,,6)="ATV"),INDEX(Medical_Increased_Limits_Factor_SNOWM,,6),0)</f>
        <v>0</v>
      </c>
      <c r="I11" s="1" t="s">
        <v>1473</v>
      </c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</row>
    <row r="12" spans="1:63" s="117" customFormat="1" ht="12.75" customHeight="1">
      <c r="A12" s="106"/>
      <c r="B12" s="102" t="s">
        <v>102</v>
      </c>
      <c r="C12" s="102">
        <f>IF(INDEX(Vehicle_Type,,1)="DB",INDEX(Medical_Increased_Limits_Factor_DB,,1),0)</f>
        <v>0</v>
      </c>
      <c r="D12" s="102">
        <f>IF(INDEX(Vehicle_Type,,2)="DB",INDEX(Medical_Increased_Limits_Factor_DB,,2),0)</f>
        <v>0</v>
      </c>
      <c r="E12" s="102">
        <f>IF(INDEX(Vehicle_Type,,3)="DB",INDEX(Medical_Increased_Limits_Factor_DB,,3),0)</f>
        <v>0</v>
      </c>
      <c r="F12" s="102">
        <f>IF(INDEX(Vehicle_Type,,4)="DB",INDEX(Medical_Increased_Limits_Factor_DB,,4),0)</f>
        <v>0</v>
      </c>
      <c r="G12" s="102">
        <f>IF(INDEX(Vehicle_Type,,5)="DB",INDEX(Medical_Increased_Limits_Factor_DB,,5),0)</f>
        <v>0</v>
      </c>
      <c r="H12" s="102">
        <f>IF(INDEX(Vehicle_Type,,6)="DB",INDEX(Medical_Increased_Limits_Factor_DB,,6),0)</f>
        <v>0</v>
      </c>
      <c r="I12" s="1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</row>
    <row r="13" spans="1:63" s="117" customFormat="1" ht="12.75" customHeight="1">
      <c r="A13" s="106"/>
      <c r="B13" s="102" t="s">
        <v>103</v>
      </c>
      <c r="C13" s="102">
        <f>IF(INDEX(Vehicle_Type,,1)="AA",INDEX(Medical_Increased_Limits_Factor_AA,,1),0)</f>
        <v>0</v>
      </c>
      <c r="D13" s="102">
        <f>IF(INDEX(Vehicle_Type,,2)="AA",INDEX(Medical_Increased_Limits_Factor_AA,,2),0)</f>
        <v>0</v>
      </c>
      <c r="E13" s="102">
        <f>IF(INDEX(Vehicle_Type,,3)="AA",INDEX(Medical_Increased_Limits_Factor_AA,,3),0)</f>
        <v>0</v>
      </c>
      <c r="F13" s="102">
        <f>IF(INDEX(Vehicle_Type,,4)="AA",INDEX(Medical_Increased_Limits_Factor_AA,,4),0)</f>
        <v>0</v>
      </c>
      <c r="G13" s="102">
        <f>IF(INDEX(Vehicle_Type,,5)="AA",INDEX(Medical_Increased_Limits_Factor_AA,,5),0)</f>
        <v>0</v>
      </c>
      <c r="H13" s="102">
        <f>IF(INDEX(Vehicle_Type,,6)="AA",INDEX(Medical_Increased_Limits_Factor_AA,,6),0)</f>
        <v>0</v>
      </c>
      <c r="I13" s="1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</row>
    <row r="14" spans="1:63" s="117" customFormat="1" ht="12.75" customHeight="1">
      <c r="A14" s="106"/>
      <c r="B14" s="102" t="s">
        <v>1215</v>
      </c>
      <c r="C14" s="102">
        <f aca="true" t="shared" si="2" ref="C14:H14">IF(SUM(C11:C13)&lt;=0,1,SUM(C11:C13))</f>
        <v>1</v>
      </c>
      <c r="D14" s="102">
        <f t="shared" si="2"/>
        <v>1</v>
      </c>
      <c r="E14" s="102">
        <f t="shared" si="2"/>
        <v>1</v>
      </c>
      <c r="F14" s="102">
        <f t="shared" si="2"/>
        <v>1</v>
      </c>
      <c r="G14" s="102">
        <f t="shared" si="2"/>
        <v>1</v>
      </c>
      <c r="H14" s="102">
        <f t="shared" si="2"/>
        <v>1</v>
      </c>
      <c r="I14" s="1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</row>
    <row r="15" spans="1:9" s="102" customFormat="1" ht="12.75" customHeight="1">
      <c r="A15" s="106"/>
      <c r="B15" s="102" t="s">
        <v>49</v>
      </c>
      <c r="C15" s="102">
        <f>INDEX(Non_PIP_Vehicle_Medical_Rate,,1)</f>
        <v>0</v>
      </c>
      <c r="D15" s="102">
        <f>INDEX(Non_PIP_Vehicle_Medical_Rate,,2)</f>
        <v>0</v>
      </c>
      <c r="E15" s="102">
        <f>INDEX(Non_PIP_Vehicle_Medical_Rate,,3)</f>
        <v>0</v>
      </c>
      <c r="F15" s="102">
        <f>INDEX(Non_PIP_Vehicle_Medical_Rate,,4)</f>
        <v>0</v>
      </c>
      <c r="G15" s="102">
        <f>INDEX(Non_PIP_Vehicle_Medical_Rate,,5)</f>
        <v>0</v>
      </c>
      <c r="H15" s="102">
        <f>INDEX(Non_PIP_Vehicle_Medical_Rate,,6)</f>
        <v>0</v>
      </c>
      <c r="I15" s="1" t="s">
        <v>104</v>
      </c>
    </row>
    <row r="16" spans="1:9" s="102" customFormat="1" ht="12.75">
      <c r="A16" s="106"/>
      <c r="B16" s="102" t="s">
        <v>1217</v>
      </c>
      <c r="C16" s="102">
        <f aca="true" t="shared" si="3" ref="C16:H16">IF(C15&lt;=0,1,C15)*C14</f>
        <v>1</v>
      </c>
      <c r="D16" s="102">
        <f t="shared" si="3"/>
        <v>1</v>
      </c>
      <c r="E16" s="102">
        <f t="shared" si="3"/>
        <v>1</v>
      </c>
      <c r="F16" s="102">
        <f t="shared" si="3"/>
        <v>1</v>
      </c>
      <c r="G16" s="102">
        <f t="shared" si="3"/>
        <v>1</v>
      </c>
      <c r="H16" s="102">
        <f t="shared" si="3"/>
        <v>1</v>
      </c>
      <c r="I16" s="1"/>
    </row>
    <row r="17" spans="1:63" s="117" customFormat="1" ht="12.75">
      <c r="A17" s="102"/>
      <c r="B17" s="108" t="s">
        <v>1219</v>
      </c>
      <c r="C17" s="102">
        <f aca="true" t="shared" si="4" ref="C17:H17">(C8*C15)</f>
        <v>0</v>
      </c>
      <c r="D17" s="102">
        <f t="shared" si="4"/>
        <v>0</v>
      </c>
      <c r="E17" s="102">
        <f t="shared" si="4"/>
        <v>0</v>
      </c>
      <c r="F17" s="102">
        <f t="shared" si="4"/>
        <v>0</v>
      </c>
      <c r="G17" s="102">
        <f t="shared" si="4"/>
        <v>0</v>
      </c>
      <c r="H17" s="102">
        <f t="shared" si="4"/>
        <v>0</v>
      </c>
      <c r="I17" s="1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</row>
    <row r="18" spans="1:9" s="102" customFormat="1" ht="12.75">
      <c r="A18" s="106"/>
      <c r="B18" s="112"/>
      <c r="I18" s="1"/>
    </row>
    <row r="19" spans="1:9" ht="12.75">
      <c r="A19" s="106" t="s">
        <v>1334</v>
      </c>
      <c r="B19" s="102" t="s">
        <v>860</v>
      </c>
      <c r="C19" s="102">
        <f aca="true" t="shared" si="5" ref="C19:H19">Policy_Period_Factor</f>
        <v>0</v>
      </c>
      <c r="D19" s="102">
        <f t="shared" si="5"/>
        <v>0</v>
      </c>
      <c r="E19" s="102">
        <f t="shared" si="5"/>
        <v>0</v>
      </c>
      <c r="F19" s="102">
        <f t="shared" si="5"/>
        <v>0</v>
      </c>
      <c r="G19" s="102">
        <f t="shared" si="5"/>
        <v>0</v>
      </c>
      <c r="H19" s="102">
        <f t="shared" si="5"/>
        <v>0</v>
      </c>
      <c r="I19" s="1"/>
    </row>
    <row r="20" spans="1:9" ht="12.75">
      <c r="A20" s="106"/>
      <c r="B20" s="102" t="s">
        <v>105</v>
      </c>
      <c r="C20" s="102">
        <f aca="true" t="shared" si="6" ref="C20:H20">C17*C19</f>
        <v>0</v>
      </c>
      <c r="D20" s="102">
        <f t="shared" si="6"/>
        <v>0</v>
      </c>
      <c r="E20" s="102">
        <f t="shared" si="6"/>
        <v>0</v>
      </c>
      <c r="F20" s="102">
        <f t="shared" si="6"/>
        <v>0</v>
      </c>
      <c r="G20" s="102">
        <f t="shared" si="6"/>
        <v>0</v>
      </c>
      <c r="H20" s="102">
        <f t="shared" si="6"/>
        <v>0</v>
      </c>
      <c r="I20" s="1"/>
    </row>
    <row r="21" spans="1:9" ht="12.75">
      <c r="A21" s="106"/>
      <c r="B21" s="102"/>
      <c r="C21" s="102"/>
      <c r="D21" s="102"/>
      <c r="E21" s="102"/>
      <c r="F21" s="102"/>
      <c r="G21" s="102"/>
      <c r="H21" s="102"/>
      <c r="I21" s="1"/>
    </row>
    <row r="22" spans="1:8" s="102" customFormat="1" ht="15" customHeight="1">
      <c r="A22" s="106"/>
      <c r="B22" s="102" t="s">
        <v>64</v>
      </c>
      <c r="C22" s="102">
        <f>IF(OR(INDEX(Vehicle_Type,,1)="MC",INDEX(Vehicle_Type,,1)="CMCMS"),1,0)</f>
        <v>0</v>
      </c>
      <c r="D22" s="102">
        <f>IF(OR(INDEX(Vehicle_Type,,2)="MC",INDEX(Vehicle_Type,,2)="CMCMS"),1,0)</f>
        <v>0</v>
      </c>
      <c r="E22" s="102">
        <f>IF(OR(INDEX(Vehicle_Type,,3)="MC",INDEX(Vehicle_Type,,3)="CMCMS"),1,0)</f>
        <v>0</v>
      </c>
      <c r="F22" s="102">
        <f>IF(OR(INDEX(Vehicle_Type,,4)="MC",INDEX(Vehicle_Type,,4)="CMCMS"),1,0)</f>
        <v>0</v>
      </c>
      <c r="G22" s="102">
        <f>IF(OR(INDEX(Vehicle_Type,,5)="MC",INDEX(Vehicle_Type,,5)="CMCMS"),1,0)</f>
        <v>0</v>
      </c>
      <c r="H22" s="102">
        <f>IF(OR(INDEX(Vehicle_Type,,6)="MC",INDEX(Vehicle_Type,,6)="CMCMS"),1,0)</f>
        <v>0</v>
      </c>
    </row>
    <row r="23" spans="1:9" s="102" customFormat="1" ht="12.75">
      <c r="A23" s="106"/>
      <c r="B23" s="102" t="s">
        <v>66</v>
      </c>
      <c r="C23" s="102">
        <f>IF(INDEX(Vehicle_Type,,1)="SNOWM",1,0)</f>
        <v>0</v>
      </c>
      <c r="D23" s="102">
        <f>IF(INDEX(Vehicle_Type,,2)="SNOWM",1,0)</f>
        <v>0</v>
      </c>
      <c r="E23" s="102">
        <f>IF(INDEX(Vehicle_Type,,3)="SNOWM",1,0)</f>
        <v>0</v>
      </c>
      <c r="F23" s="102">
        <f>IF(INDEX(Vehicle_Type,,4)="SNOWM",1,0)</f>
        <v>0</v>
      </c>
      <c r="G23" s="102">
        <f>IF(INDEX(Vehicle_Type,,5)="SNOWM",1,0)</f>
        <v>0</v>
      </c>
      <c r="H23" s="102">
        <f>IF(INDEX(Vehicle_Type,,6)="SNOWM",1,0)</f>
        <v>0</v>
      </c>
      <c r="I23" s="1"/>
    </row>
    <row r="24" spans="1:9" s="102" customFormat="1" ht="12.75">
      <c r="A24" s="106"/>
      <c r="B24" s="102" t="s">
        <v>67</v>
      </c>
      <c r="C24" s="102">
        <f>IF(INDEX(Vehicle_Type,,1)="ATV",1,0)</f>
        <v>0</v>
      </c>
      <c r="D24" s="102">
        <f>IF(INDEX(Vehicle_Type,,2)="ATV",1,0)</f>
        <v>0</v>
      </c>
      <c r="E24" s="102">
        <f>IF(INDEX(Vehicle_Type,,3)="ATV",1,0)</f>
        <v>0</v>
      </c>
      <c r="F24" s="102">
        <f>IF(INDEX(Vehicle_Type,,4)="ATV",1,0)</f>
        <v>0</v>
      </c>
      <c r="G24" s="102">
        <f>IF(INDEX(Vehicle_Type,,5)="ATV",1,0)</f>
        <v>0</v>
      </c>
      <c r="H24" s="102">
        <f>IF(INDEX(Vehicle_Type,,6)="ATV",1,0)</f>
        <v>0</v>
      </c>
      <c r="I24" s="1"/>
    </row>
    <row r="25" spans="1:9" s="102" customFormat="1" ht="12.75">
      <c r="A25" s="106"/>
      <c r="B25" s="102" t="s">
        <v>68</v>
      </c>
      <c r="C25" s="102">
        <f>IF(INDEX(Vehicle_Type,,1)="DB",1,0)</f>
        <v>0</v>
      </c>
      <c r="D25" s="102">
        <f>IF(INDEX(Vehicle_Type,,2)="DB",1,0)</f>
        <v>0</v>
      </c>
      <c r="E25" s="102">
        <f>IF(INDEX(Vehicle_Type,,3)="DB",1,0)</f>
        <v>0</v>
      </c>
      <c r="F25" s="102">
        <f>IF(INDEX(Vehicle_Type,,4)="DB",1,0)</f>
        <v>0</v>
      </c>
      <c r="G25" s="102">
        <f>IF(INDEX(Vehicle_Type,,5)="DB",1,0)</f>
        <v>0</v>
      </c>
      <c r="H25" s="102">
        <f>IF(INDEX(Vehicle_Type,,6)="DB",1,0)</f>
        <v>0</v>
      </c>
      <c r="I25" s="1"/>
    </row>
    <row r="26" spans="1:9" s="102" customFormat="1" ht="12.75">
      <c r="A26" s="106"/>
      <c r="B26" s="102" t="s">
        <v>70</v>
      </c>
      <c r="C26" s="102">
        <f>IF(INDEX(Vehicle_Type,,1)="AA",1,0)</f>
        <v>0</v>
      </c>
      <c r="D26" s="102">
        <f>IF(INDEX(Vehicle_Type,,2)="AA",1,0)</f>
        <v>0</v>
      </c>
      <c r="E26" s="102">
        <f>IF(INDEX(Vehicle_Type,,3)="AA",1,0)</f>
        <v>0</v>
      </c>
      <c r="F26" s="102">
        <f>IF(INDEX(Vehicle_Type,,4)="AA",1,0)</f>
        <v>0</v>
      </c>
      <c r="G26" s="102">
        <f>IF(INDEX(Vehicle_Type,,5)="AA",1,0)</f>
        <v>0</v>
      </c>
      <c r="H26" s="102">
        <f>IF(INDEX(Vehicle_Type,,6)="AA",1,0)</f>
        <v>0</v>
      </c>
      <c r="I26" s="1"/>
    </row>
    <row r="27" spans="1:9" ht="12.75">
      <c r="A27" s="106"/>
      <c r="B27" s="102"/>
      <c r="C27" s="102"/>
      <c r="D27" s="102"/>
      <c r="E27" s="102"/>
      <c r="F27" s="102"/>
      <c r="G27" s="102"/>
      <c r="H27" s="102"/>
      <c r="I27" s="1"/>
    </row>
    <row r="28" spans="2:9" ht="12.75" customHeight="1">
      <c r="B28" s="112" t="s">
        <v>106</v>
      </c>
      <c r="C28" s="112">
        <f aca="true" t="shared" si="7" ref="C28:H28">IF(AND(Insured_State="MI",C22=1,MedPay_Limit&lt;&gt;""),35*Company_Deviation_Factor_Medical,0)</f>
        <v>0</v>
      </c>
      <c r="D28" s="112">
        <f t="shared" si="7"/>
        <v>0</v>
      </c>
      <c r="E28" s="112">
        <f t="shared" si="7"/>
        <v>0</v>
      </c>
      <c r="F28" s="112">
        <f t="shared" si="7"/>
        <v>0</v>
      </c>
      <c r="G28" s="112">
        <f t="shared" si="7"/>
        <v>0</v>
      </c>
      <c r="H28" s="112">
        <f t="shared" si="7"/>
        <v>0</v>
      </c>
      <c r="I28" s="1" t="s">
        <v>107</v>
      </c>
    </row>
    <row r="29" spans="2:9" ht="12.75" customHeight="1">
      <c r="B29" s="112" t="s">
        <v>108</v>
      </c>
      <c r="C29" s="112">
        <f aca="true" t="shared" si="8" ref="C29:H29">IF(Insured_State&lt;&gt;"MI",IF(C22,C20,0),C28)</f>
        <v>0</v>
      </c>
      <c r="D29" s="112">
        <f t="shared" si="8"/>
        <v>0</v>
      </c>
      <c r="E29" s="112">
        <f t="shared" si="8"/>
        <v>0</v>
      </c>
      <c r="F29" s="112">
        <f t="shared" si="8"/>
        <v>0</v>
      </c>
      <c r="G29" s="112">
        <f t="shared" si="8"/>
        <v>0</v>
      </c>
      <c r="H29" s="112">
        <f t="shared" si="8"/>
        <v>0</v>
      </c>
      <c r="I29" s="1"/>
    </row>
    <row r="30" spans="1:9" ht="12.75">
      <c r="A30" s="106"/>
      <c r="B30" s="112" t="s">
        <v>109</v>
      </c>
      <c r="C30" s="112">
        <f aca="true" t="shared" si="9" ref="C30:H30">IF(OR(ISERROR(C20),C20&lt;=0,C23=0),0,C20)</f>
        <v>0</v>
      </c>
      <c r="D30" s="112">
        <f t="shared" si="9"/>
        <v>0</v>
      </c>
      <c r="E30" s="112">
        <f t="shared" si="9"/>
        <v>0</v>
      </c>
      <c r="F30" s="112">
        <f t="shared" si="9"/>
        <v>0</v>
      </c>
      <c r="G30" s="112">
        <f t="shared" si="9"/>
        <v>0</v>
      </c>
      <c r="H30" s="112">
        <f t="shared" si="9"/>
        <v>0</v>
      </c>
      <c r="I30" s="6"/>
    </row>
    <row r="31" spans="2:9" s="106" customFormat="1" ht="12.75">
      <c r="B31" s="112" t="s">
        <v>110</v>
      </c>
      <c r="C31" s="112">
        <f aca="true" t="shared" si="10" ref="C31:H31">IF(OR(ISERROR(C20),C20&lt;=0,C24=0),0,C20)</f>
        <v>0</v>
      </c>
      <c r="D31" s="112">
        <f t="shared" si="10"/>
        <v>0</v>
      </c>
      <c r="E31" s="112">
        <f t="shared" si="10"/>
        <v>0</v>
      </c>
      <c r="F31" s="112">
        <f t="shared" si="10"/>
        <v>0</v>
      </c>
      <c r="G31" s="112">
        <f t="shared" si="10"/>
        <v>0</v>
      </c>
      <c r="H31" s="112">
        <f t="shared" si="10"/>
        <v>0</v>
      </c>
      <c r="I31" s="6"/>
    </row>
    <row r="32" spans="2:9" s="106" customFormat="1" ht="12.75">
      <c r="B32" s="112" t="s">
        <v>111</v>
      </c>
      <c r="C32" s="112">
        <f aca="true" t="shared" si="11" ref="C32:H32">IF(OR(ISERROR(C20),C20&lt;=0,C25=0),0,C20)</f>
        <v>0</v>
      </c>
      <c r="D32" s="112">
        <f t="shared" si="11"/>
        <v>0</v>
      </c>
      <c r="E32" s="112">
        <f t="shared" si="11"/>
        <v>0</v>
      </c>
      <c r="F32" s="112">
        <f t="shared" si="11"/>
        <v>0</v>
      </c>
      <c r="G32" s="112">
        <f t="shared" si="11"/>
        <v>0</v>
      </c>
      <c r="H32" s="112">
        <f t="shared" si="11"/>
        <v>0</v>
      </c>
      <c r="I32" s="6"/>
    </row>
    <row r="33" spans="2:9" s="106" customFormat="1" ht="12.75">
      <c r="B33" s="112" t="s">
        <v>112</v>
      </c>
      <c r="C33" s="112">
        <f aca="true" t="shared" si="12" ref="C33:H33">IF(OR(ISERROR(C20),C20&lt;=0,C26=0),0,C20)</f>
        <v>0</v>
      </c>
      <c r="D33" s="112">
        <f t="shared" si="12"/>
        <v>0</v>
      </c>
      <c r="E33" s="112">
        <f t="shared" si="12"/>
        <v>0</v>
      </c>
      <c r="F33" s="112">
        <f t="shared" si="12"/>
        <v>0</v>
      </c>
      <c r="G33" s="112">
        <f t="shared" si="12"/>
        <v>0</v>
      </c>
      <c r="H33" s="112">
        <f t="shared" si="12"/>
        <v>0</v>
      </c>
      <c r="I33" s="6"/>
    </row>
    <row r="34" spans="1:8" ht="12.75">
      <c r="A34" s="106" t="s">
        <v>1270</v>
      </c>
      <c r="B34" s="106" t="s">
        <v>113</v>
      </c>
      <c r="C34" s="118">
        <f aca="true" t="shared" si="13" ref="C34:H34">IF(ISERROR(C29),0,C29)</f>
        <v>0</v>
      </c>
      <c r="D34" s="118">
        <f t="shared" si="13"/>
        <v>0</v>
      </c>
      <c r="E34" s="118">
        <f t="shared" si="13"/>
        <v>0</v>
      </c>
      <c r="F34" s="118">
        <f t="shared" si="13"/>
        <v>0</v>
      </c>
      <c r="G34" s="118">
        <f t="shared" si="13"/>
        <v>0</v>
      </c>
      <c r="H34" s="118">
        <f t="shared" si="13"/>
        <v>0</v>
      </c>
    </row>
    <row r="35" spans="2:8" ht="12.75">
      <c r="B35" s="106" t="s">
        <v>114</v>
      </c>
      <c r="C35" s="118">
        <f aca="true" t="shared" si="14" ref="C35:H38">IF(ISERROR(C30),0,C30)</f>
        <v>0</v>
      </c>
      <c r="D35" s="118">
        <f t="shared" si="14"/>
        <v>0</v>
      </c>
      <c r="E35" s="118">
        <f t="shared" si="14"/>
        <v>0</v>
      </c>
      <c r="F35" s="118">
        <f t="shared" si="14"/>
        <v>0</v>
      </c>
      <c r="G35" s="118">
        <f t="shared" si="14"/>
        <v>0</v>
      </c>
      <c r="H35" s="118">
        <f t="shared" si="14"/>
        <v>0</v>
      </c>
    </row>
    <row r="36" spans="2:8" ht="12.75">
      <c r="B36" s="106" t="s">
        <v>115</v>
      </c>
      <c r="C36" s="118">
        <f t="shared" si="14"/>
        <v>0</v>
      </c>
      <c r="D36" s="118">
        <f t="shared" si="14"/>
        <v>0</v>
      </c>
      <c r="E36" s="118">
        <f t="shared" si="14"/>
        <v>0</v>
      </c>
      <c r="F36" s="118">
        <f t="shared" si="14"/>
        <v>0</v>
      </c>
      <c r="G36" s="118">
        <f t="shared" si="14"/>
        <v>0</v>
      </c>
      <c r="H36" s="118">
        <f t="shared" si="14"/>
        <v>0</v>
      </c>
    </row>
    <row r="37" spans="2:8" ht="12.75">
      <c r="B37" s="106" t="s">
        <v>116</v>
      </c>
      <c r="C37" s="118">
        <f t="shared" si="14"/>
        <v>0</v>
      </c>
      <c r="D37" s="118">
        <f t="shared" si="14"/>
        <v>0</v>
      </c>
      <c r="E37" s="118">
        <f t="shared" si="14"/>
        <v>0</v>
      </c>
      <c r="F37" s="118">
        <f t="shared" si="14"/>
        <v>0</v>
      </c>
      <c r="G37" s="118">
        <f t="shared" si="14"/>
        <v>0</v>
      </c>
      <c r="H37" s="118">
        <f t="shared" si="14"/>
        <v>0</v>
      </c>
    </row>
    <row r="38" spans="2:8" ht="12.75">
      <c r="B38" s="106" t="s">
        <v>117</v>
      </c>
      <c r="C38" s="118">
        <f t="shared" si="14"/>
        <v>0</v>
      </c>
      <c r="D38" s="118">
        <f t="shared" si="14"/>
        <v>0</v>
      </c>
      <c r="E38" s="118">
        <f t="shared" si="14"/>
        <v>0</v>
      </c>
      <c r="F38" s="118">
        <f t="shared" si="14"/>
        <v>0</v>
      </c>
      <c r="G38" s="118">
        <f t="shared" si="14"/>
        <v>0</v>
      </c>
      <c r="H38" s="118">
        <f t="shared" si="14"/>
        <v>0</v>
      </c>
    </row>
    <row r="41" ht="20.25" customHeight="1">
      <c r="B41" s="104" t="s">
        <v>118</v>
      </c>
    </row>
    <row r="42" ht="20.25" customHeight="1">
      <c r="B42" s="104"/>
    </row>
    <row r="43" spans="1:9" ht="12.75" customHeight="1">
      <c r="A43" s="106" t="s">
        <v>1208</v>
      </c>
      <c r="B43" s="102" t="s">
        <v>1209</v>
      </c>
      <c r="C43" s="102">
        <f>IF(PIP,INDEX(PIP_Base_Rate,,1),0)</f>
        <v>0</v>
      </c>
      <c r="D43" s="102">
        <f>IF(PIP,INDEX(PIP_Base_Rate,,2),0)</f>
        <v>0</v>
      </c>
      <c r="E43" s="102">
        <f>IF(PIP,INDEX(PIP_Base_Rate,,3),0)</f>
        <v>0</v>
      </c>
      <c r="F43" s="102">
        <f>IF(PIP,INDEX(PIP_Base_Rate,,4),0)</f>
        <v>0</v>
      </c>
      <c r="G43" s="102">
        <f>IF(PIP,INDEX(PIP_Base_Rate,,5),0)</f>
        <v>0</v>
      </c>
      <c r="H43" s="102">
        <f>IF(PIP,INDEX(PIP_Base_Rate,,6),0)</f>
        <v>0</v>
      </c>
      <c r="I43" s="1" t="s">
        <v>119</v>
      </c>
    </row>
    <row r="44" spans="1:9" s="102" customFormat="1" ht="12.75">
      <c r="A44" s="106"/>
      <c r="B44" s="102" t="s">
        <v>1211</v>
      </c>
      <c r="C44" s="102">
        <f aca="true" t="shared" si="15" ref="C44:H44">C43</f>
        <v>0</v>
      </c>
      <c r="D44" s="102">
        <f t="shared" si="15"/>
        <v>0</v>
      </c>
      <c r="E44" s="102">
        <f t="shared" si="15"/>
        <v>0</v>
      </c>
      <c r="F44" s="102">
        <f t="shared" si="15"/>
        <v>0</v>
      </c>
      <c r="G44" s="102">
        <f t="shared" si="15"/>
        <v>0</v>
      </c>
      <c r="H44" s="102">
        <f t="shared" si="15"/>
        <v>0</v>
      </c>
      <c r="I44" s="1"/>
    </row>
    <row r="45" spans="1:9" s="102" customFormat="1" ht="12.75">
      <c r="A45" s="106"/>
      <c r="B45" s="107"/>
      <c r="I45" s="1"/>
    </row>
    <row r="46" spans="1:9" s="102" customFormat="1" ht="12.75">
      <c r="A46" s="106" t="s">
        <v>1212</v>
      </c>
      <c r="B46" s="107" t="s">
        <v>1293</v>
      </c>
      <c r="C46" s="102">
        <f>INDEX(PIP_Deductible_Copay_Factor,,1)</f>
        <v>0</v>
      </c>
      <c r="D46" s="102">
        <f>INDEX(PIP_Deductible_Copay_Factor,,2)</f>
        <v>0</v>
      </c>
      <c r="E46" s="102">
        <f>INDEX(PIP_Deductible_Copay_Factor,,3)</f>
        <v>0</v>
      </c>
      <c r="F46" s="102">
        <f>INDEX(PIP_Deductible_Copay_Factor,,4)</f>
        <v>0</v>
      </c>
      <c r="G46" s="102">
        <f>INDEX(PIP_Deductible_Copay_Factor,,5)</f>
        <v>0</v>
      </c>
      <c r="H46" s="102">
        <f>INDEX(PIP_Deductible_Copay_Factor,,6)</f>
        <v>0</v>
      </c>
      <c r="I46" s="1"/>
    </row>
    <row r="47" spans="1:9" s="102" customFormat="1" ht="12.75">
      <c r="A47" s="106"/>
      <c r="B47" s="107" t="s">
        <v>1294</v>
      </c>
      <c r="C47" s="102">
        <f aca="true" t="shared" si="16" ref="C47:H47">IF(C46&gt;0,C44*C46,C44)</f>
        <v>0</v>
      </c>
      <c r="D47" s="102">
        <f t="shared" si="16"/>
        <v>0</v>
      </c>
      <c r="E47" s="102">
        <f t="shared" si="16"/>
        <v>0</v>
      </c>
      <c r="F47" s="102">
        <f t="shared" si="16"/>
        <v>0</v>
      </c>
      <c r="G47" s="102">
        <f t="shared" si="16"/>
        <v>0</v>
      </c>
      <c r="H47" s="102">
        <f t="shared" si="16"/>
        <v>0</v>
      </c>
      <c r="I47" s="1"/>
    </row>
    <row r="48" spans="1:9" s="102" customFormat="1" ht="12.75">
      <c r="A48" s="106"/>
      <c r="B48" s="107"/>
      <c r="I48" s="1"/>
    </row>
    <row r="49" spans="1:63" s="117" customFormat="1" ht="12.75">
      <c r="A49" s="102"/>
      <c r="B49" s="108" t="s">
        <v>120</v>
      </c>
      <c r="C49" s="102">
        <f aca="true" t="shared" si="17" ref="C49:H49">C47*Company_Deviation_Factor_PIP</f>
        <v>0</v>
      </c>
      <c r="D49" s="102">
        <f t="shared" si="17"/>
        <v>0</v>
      </c>
      <c r="E49" s="102">
        <f t="shared" si="17"/>
        <v>0</v>
      </c>
      <c r="F49" s="102">
        <f t="shared" si="17"/>
        <v>0</v>
      </c>
      <c r="G49" s="102">
        <f t="shared" si="17"/>
        <v>0</v>
      </c>
      <c r="H49" s="102">
        <f t="shared" si="17"/>
        <v>0</v>
      </c>
      <c r="I49" s="1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47"/>
      <c r="AU49" s="47"/>
      <c r="AV49" s="47"/>
      <c r="AW49" s="47"/>
      <c r="AX49" s="47"/>
      <c r="AY49" s="47"/>
      <c r="AZ49" s="47"/>
      <c r="BA49" s="47"/>
      <c r="BB49" s="47"/>
      <c r="BC49" s="47"/>
      <c r="BD49" s="47"/>
      <c r="BE49" s="47"/>
      <c r="BF49" s="47"/>
      <c r="BG49" s="47"/>
      <c r="BH49" s="47"/>
      <c r="BI49" s="47"/>
      <c r="BJ49" s="47"/>
      <c r="BK49" s="47"/>
    </row>
    <row r="50" spans="1:63" s="117" customFormat="1" ht="12.75">
      <c r="A50" s="102"/>
      <c r="B50" s="108"/>
      <c r="C50" s="102"/>
      <c r="D50" s="102"/>
      <c r="E50" s="102"/>
      <c r="F50" s="102"/>
      <c r="G50" s="102"/>
      <c r="H50" s="102"/>
      <c r="I50" s="1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47"/>
      <c r="AW50" s="47"/>
      <c r="AX50" s="47"/>
      <c r="AY50" s="47"/>
      <c r="AZ50" s="47"/>
      <c r="BA50" s="47"/>
      <c r="BB50" s="47"/>
      <c r="BC50" s="47"/>
      <c r="BD50" s="47"/>
      <c r="BE50" s="47"/>
      <c r="BF50" s="47"/>
      <c r="BG50" s="47"/>
      <c r="BH50" s="47"/>
      <c r="BI50" s="47"/>
      <c r="BJ50" s="47"/>
      <c r="BK50" s="47"/>
    </row>
    <row r="51" spans="1:63" s="117" customFormat="1" ht="12.75">
      <c r="A51" s="106" t="s">
        <v>1214</v>
      </c>
      <c r="B51" s="108" t="s">
        <v>121</v>
      </c>
      <c r="C51" s="102">
        <f>INDEX(KY_Motor_Cycle_PIP_Rate,,1)*C49</f>
        <v>0</v>
      </c>
      <c r="D51" s="102">
        <f>INDEX(KY_Motor_Cycle_PIP_Rate,,2)*D49</f>
        <v>0</v>
      </c>
      <c r="E51" s="102">
        <f>INDEX(KY_Motor_Cycle_PIP_Rate,,3)*E49</f>
        <v>0</v>
      </c>
      <c r="F51" s="102">
        <f>INDEX(KY_Motor_Cycle_PIP_Rate,,4)*F49</f>
        <v>0</v>
      </c>
      <c r="G51" s="102">
        <f>INDEX(KY_Motor_Cycle_PIP_Rate,,5)*G49</f>
        <v>0</v>
      </c>
      <c r="H51" s="102">
        <f>INDEX(KY_Motor_Cycle_PIP_Rate,,6)*H49</f>
        <v>0</v>
      </c>
      <c r="I51" s="1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/>
      <c r="AX51" s="47"/>
      <c r="AY51" s="47"/>
      <c r="AZ51" s="47"/>
      <c r="BA51" s="47"/>
      <c r="BB51" s="47"/>
      <c r="BC51" s="47"/>
      <c r="BD51" s="47"/>
      <c r="BE51" s="47"/>
      <c r="BF51" s="47"/>
      <c r="BG51" s="47"/>
      <c r="BH51" s="47"/>
      <c r="BI51" s="47"/>
      <c r="BJ51" s="47"/>
      <c r="BK51" s="47"/>
    </row>
    <row r="53" spans="1:9" ht="12.75">
      <c r="A53" s="106" t="s">
        <v>1334</v>
      </c>
      <c r="B53" s="102" t="s">
        <v>1307</v>
      </c>
      <c r="C53" s="102">
        <f>IF(PIP,INDEX(Additional_PIP_Factor,,1),0)</f>
        <v>0</v>
      </c>
      <c r="D53" s="102">
        <f>IF(PIP,INDEX(Additional_PIP_Factor,,2),0)</f>
        <v>0</v>
      </c>
      <c r="E53" s="102">
        <f>IF(PIP,INDEX(Additional_PIP_Factor,,3),0)</f>
        <v>0</v>
      </c>
      <c r="F53" s="102">
        <f>IF(PIP,INDEX(Additional_PIP_Factor,,4),0)</f>
        <v>0</v>
      </c>
      <c r="G53" s="102">
        <f>IF(PIP,INDEX(Additional_PIP_Factor,,5),0)</f>
        <v>0</v>
      </c>
      <c r="H53" s="102">
        <f>IF(PIP,INDEX(Additional_PIP_Factor,,6),0)</f>
        <v>0</v>
      </c>
      <c r="I53" s="1"/>
    </row>
    <row r="54" spans="1:63" s="117" customFormat="1" ht="12.75">
      <c r="A54" s="106"/>
      <c r="B54" s="108" t="s">
        <v>122</v>
      </c>
      <c r="C54" s="102">
        <f>INDEX(KY_Motor_Cycle_APIP_Rate,,1)*C53</f>
        <v>0</v>
      </c>
      <c r="D54" s="102">
        <f>INDEX(KY_Motor_Cycle_APIP_Rate,,2)*D53</f>
        <v>0</v>
      </c>
      <c r="E54" s="102">
        <f>INDEX(KY_Motor_Cycle_APIP_Rate,,3)*E53</f>
        <v>0</v>
      </c>
      <c r="F54" s="102">
        <f>INDEX(KY_Motor_Cycle_APIP_Rate,,4)*F53</f>
        <v>0</v>
      </c>
      <c r="G54" s="102">
        <f>INDEX(KY_Motor_Cycle_APIP_Rate,,5)*G53</f>
        <v>0</v>
      </c>
      <c r="H54" s="102">
        <f>INDEX(KY_Motor_Cycle_APIP_Rate,,6)*H53</f>
        <v>0</v>
      </c>
      <c r="I54" s="1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/>
      <c r="AW54" s="47"/>
      <c r="AX54" s="47"/>
      <c r="AY54" s="47"/>
      <c r="AZ54" s="47"/>
      <c r="BA54" s="47"/>
      <c r="BB54" s="47"/>
      <c r="BC54" s="47"/>
      <c r="BD54" s="47"/>
      <c r="BE54" s="47"/>
      <c r="BF54" s="47"/>
      <c r="BG54" s="47"/>
      <c r="BH54" s="47"/>
      <c r="BI54" s="47"/>
      <c r="BJ54" s="47"/>
      <c r="BK54" s="47"/>
    </row>
    <row r="55" spans="1:9" ht="12.75">
      <c r="A55" s="106"/>
      <c r="B55" s="102"/>
      <c r="C55" s="102"/>
      <c r="D55" s="102"/>
      <c r="E55" s="102"/>
      <c r="F55" s="102"/>
      <c r="G55" s="102"/>
      <c r="H55" s="102"/>
      <c r="I55" s="1"/>
    </row>
    <row r="56" spans="1:63" s="117" customFormat="1" ht="12.75">
      <c r="A56" s="102"/>
      <c r="B56" s="108" t="s">
        <v>123</v>
      </c>
      <c r="C56" s="102">
        <f aca="true" t="shared" si="18" ref="C56:H56">C51+C54</f>
        <v>0</v>
      </c>
      <c r="D56" s="102">
        <f t="shared" si="18"/>
        <v>0</v>
      </c>
      <c r="E56" s="102">
        <f t="shared" si="18"/>
        <v>0</v>
      </c>
      <c r="F56" s="102">
        <f t="shared" si="18"/>
        <v>0</v>
      </c>
      <c r="G56" s="102">
        <f t="shared" si="18"/>
        <v>0</v>
      </c>
      <c r="H56" s="102">
        <f t="shared" si="18"/>
        <v>0</v>
      </c>
      <c r="I56" s="1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47"/>
      <c r="AR56" s="47"/>
      <c r="AS56" s="47"/>
      <c r="AT56" s="47"/>
      <c r="AU56" s="47"/>
      <c r="AV56" s="47"/>
      <c r="AW56" s="47"/>
      <c r="AX56" s="47"/>
      <c r="AY56" s="47"/>
      <c r="AZ56" s="47"/>
      <c r="BA56" s="47"/>
      <c r="BB56" s="47"/>
      <c r="BC56" s="47"/>
      <c r="BD56" s="47"/>
      <c r="BE56" s="47"/>
      <c r="BF56" s="47"/>
      <c r="BG56" s="47"/>
      <c r="BH56" s="47"/>
      <c r="BI56" s="47"/>
      <c r="BJ56" s="47"/>
      <c r="BK56" s="47"/>
    </row>
    <row r="57" spans="1:63" s="117" customFormat="1" ht="12.75">
      <c r="A57" s="102"/>
      <c r="B57" s="108"/>
      <c r="C57" s="102"/>
      <c r="D57" s="102"/>
      <c r="E57" s="102"/>
      <c r="F57" s="102"/>
      <c r="G57" s="102"/>
      <c r="H57" s="102"/>
      <c r="I57" s="1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  <c r="AR57" s="47"/>
      <c r="AS57" s="47"/>
      <c r="AT57" s="47"/>
      <c r="AU57" s="47"/>
      <c r="AV57" s="47"/>
      <c r="AW57" s="47"/>
      <c r="AX57" s="47"/>
      <c r="AY57" s="47"/>
      <c r="AZ57" s="47"/>
      <c r="BA57" s="47"/>
      <c r="BB57" s="47"/>
      <c r="BC57" s="47"/>
      <c r="BD57" s="47"/>
      <c r="BE57" s="47"/>
      <c r="BF57" s="47"/>
      <c r="BG57" s="47"/>
      <c r="BH57" s="47"/>
      <c r="BI57" s="47"/>
      <c r="BJ57" s="47"/>
      <c r="BK57" s="47"/>
    </row>
    <row r="58" spans="2:9" ht="12.75">
      <c r="B58" s="107" t="s">
        <v>124</v>
      </c>
      <c r="C58" s="102">
        <f>INDEX(KS_Motor_Cycle_PIP_Rate,,1)*Company_Deviation_Factor_PIP</f>
        <v>0</v>
      </c>
      <c r="D58" s="102">
        <f>INDEX(KS_Motor_Cycle_PIP_Rate,,2)*Company_Deviation_Factor_PIP</f>
        <v>0</v>
      </c>
      <c r="E58" s="102">
        <f>INDEX(KS_Motor_Cycle_PIP_Rate,,3)*Company_Deviation_Factor_PIP</f>
        <v>0</v>
      </c>
      <c r="F58" s="102">
        <f>INDEX(KS_Motor_Cycle_PIP_Rate,,4)*Company_Deviation_Factor_PIP</f>
        <v>0</v>
      </c>
      <c r="G58" s="102">
        <f>INDEX(KS_Motor_Cycle_PIP_Rate,,5)*Company_Deviation_Factor_PIP</f>
        <v>0</v>
      </c>
      <c r="H58" s="102">
        <f>INDEX(KS_Motor_Cycle_PIP_Rate,,6)*Company_Deviation_Factor_PIP</f>
        <v>0</v>
      </c>
      <c r="I58" t="s">
        <v>125</v>
      </c>
    </row>
    <row r="59" spans="2:9" ht="12.75">
      <c r="B59" s="107" t="s">
        <v>126</v>
      </c>
      <c r="C59">
        <f aca="true" t="shared" si="19" ref="C59:H59">IF(AND(Insured_State="KY",Pedestrain_PIP_Coverage="Y"),1.5,0)</f>
        <v>0</v>
      </c>
      <c r="D59">
        <f t="shared" si="19"/>
        <v>0</v>
      </c>
      <c r="E59">
        <f t="shared" si="19"/>
        <v>0</v>
      </c>
      <c r="F59">
        <f t="shared" si="19"/>
        <v>0</v>
      </c>
      <c r="G59">
        <f t="shared" si="19"/>
        <v>0</v>
      </c>
      <c r="H59">
        <f t="shared" si="19"/>
        <v>0</v>
      </c>
      <c r="I59" t="s">
        <v>132</v>
      </c>
    </row>
    <row r="60" spans="2:9" ht="12.75">
      <c r="B60" s="107" t="s">
        <v>133</v>
      </c>
      <c r="C60">
        <f aca="true" t="shared" si="20" ref="C60:H60">IF(AND(Insured_State="KY",Pedestrain_PIP_Coverage&lt;&gt;"Y"),C56,0)</f>
        <v>0</v>
      </c>
      <c r="D60">
        <f t="shared" si="20"/>
        <v>0</v>
      </c>
      <c r="E60">
        <f t="shared" si="20"/>
        <v>0</v>
      </c>
      <c r="F60">
        <f t="shared" si="20"/>
        <v>0</v>
      </c>
      <c r="G60">
        <f t="shared" si="20"/>
        <v>0</v>
      </c>
      <c r="H60">
        <f t="shared" si="20"/>
        <v>0</v>
      </c>
      <c r="I60" t="s">
        <v>134</v>
      </c>
    </row>
    <row r="61" spans="2:8" ht="12.75">
      <c r="B61" s="107" t="s">
        <v>135</v>
      </c>
      <c r="C61">
        <f aca="true" t="shared" si="21" ref="C61:H61">IF(PIP,SUM(C58:C60),0)</f>
        <v>0</v>
      </c>
      <c r="D61">
        <f t="shared" si="21"/>
        <v>0</v>
      </c>
      <c r="E61">
        <f t="shared" si="21"/>
        <v>0</v>
      </c>
      <c r="F61">
        <f t="shared" si="21"/>
        <v>0</v>
      </c>
      <c r="G61">
        <f t="shared" si="21"/>
        <v>0</v>
      </c>
      <c r="H61">
        <f t="shared" si="21"/>
        <v>0</v>
      </c>
    </row>
    <row r="63" spans="1:8" ht="12.75">
      <c r="A63" s="106" t="s">
        <v>1270</v>
      </c>
      <c r="B63" s="106" t="s">
        <v>136</v>
      </c>
      <c r="C63" s="106">
        <f aca="true" t="shared" si="22" ref="C63:H63">IF(OR(ISERROR(C61),C61&lt;=0,C22=0),0,C61)</f>
        <v>0</v>
      </c>
      <c r="D63" s="106">
        <f t="shared" si="22"/>
        <v>0</v>
      </c>
      <c r="E63" s="106">
        <f t="shared" si="22"/>
        <v>0</v>
      </c>
      <c r="F63" s="106">
        <f t="shared" si="22"/>
        <v>0</v>
      </c>
      <c r="G63" s="106">
        <f t="shared" si="22"/>
        <v>0</v>
      </c>
      <c r="H63" s="106">
        <f t="shared" si="22"/>
        <v>0</v>
      </c>
    </row>
  </sheetData>
  <printOptions/>
  <pageMargins left="0.75" right="0.75" top="1" bottom="1" header="0.5" footer="0.5"/>
  <pageSetup horizontalDpi="600" verticalDpi="6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1:BK29"/>
  <sheetViews>
    <sheetView zoomScale="75" zoomScaleNormal="75" workbookViewId="0" topLeftCell="A5">
      <selection activeCell="C14" sqref="C14"/>
    </sheetView>
  </sheetViews>
  <sheetFormatPr defaultColWidth="9.140625" defaultRowHeight="12.75"/>
  <cols>
    <col min="2" max="2" width="44.57421875" style="0" customWidth="1"/>
    <col min="9" max="9" width="13.7109375" style="0" customWidth="1"/>
  </cols>
  <sheetData>
    <row r="1" spans="1:9" ht="20.25" customHeight="1">
      <c r="A1" s="103"/>
      <c r="B1" s="104" t="s">
        <v>137</v>
      </c>
      <c r="C1" s="103"/>
      <c r="D1" s="103"/>
      <c r="E1" s="103"/>
      <c r="F1" s="102"/>
      <c r="G1" s="102"/>
      <c r="H1" s="102"/>
      <c r="I1" s="1"/>
    </row>
    <row r="3" spans="1:8" ht="12.75">
      <c r="A3" s="106" t="s">
        <v>1206</v>
      </c>
      <c r="B3" s="106" t="s">
        <v>1207</v>
      </c>
      <c r="C3" s="106" t="s">
        <v>428</v>
      </c>
      <c r="D3" s="106" t="s">
        <v>429</v>
      </c>
      <c r="E3" s="106" t="s">
        <v>430</v>
      </c>
      <c r="F3" s="106" t="s">
        <v>431</v>
      </c>
      <c r="G3" s="106" t="s">
        <v>432</v>
      </c>
      <c r="H3" s="106" t="s">
        <v>433</v>
      </c>
    </row>
    <row r="4" spans="1:8" ht="12.75">
      <c r="A4" s="106" t="s">
        <v>1208</v>
      </c>
      <c r="B4" s="102" t="s">
        <v>1209</v>
      </c>
      <c r="C4" s="102">
        <f>INDEX(IF(CSL,UMUIM_CSL_Base_Rate,UMUIM_BI_Base_Rate),1,1)</f>
        <v>0</v>
      </c>
      <c r="D4" s="102">
        <f>INDEX(IF(CSL,UMUIM_CSL_Base_Rate,UMUIM_BI_Base_Rate),1,2)</f>
        <v>0</v>
      </c>
      <c r="E4" s="102">
        <f>INDEX(IF(CSL,UMUIM_CSL_Base_Rate,UMUIM_BI_Base_Rate),1,3)</f>
        <v>0</v>
      </c>
      <c r="F4" s="102">
        <f>INDEX(IF(CSL,UMUIM_CSL_Base_Rate,UMUIM_BI_Base_Rate),1,4)</f>
        <v>0</v>
      </c>
      <c r="G4" s="102">
        <f>INDEX(IF(CSL,UMUIM_CSL_Base_Rate,UMUIM_BI_Base_Rate),1,5)</f>
        <v>0</v>
      </c>
      <c r="H4" s="102">
        <f>INDEX(IF(CSL,UMUIM_CSL_Base_Rate,UMUIM_BI_Base_Rate),1,6)</f>
        <v>0</v>
      </c>
    </row>
    <row r="5" spans="1:8" ht="12.75">
      <c r="A5" s="106"/>
      <c r="B5" s="102"/>
      <c r="C5" s="102"/>
      <c r="D5" s="102"/>
      <c r="E5" s="102"/>
      <c r="F5" s="102"/>
      <c r="G5" s="102"/>
      <c r="H5" s="102"/>
    </row>
    <row r="6" spans="1:9" s="102" customFormat="1" ht="12.75">
      <c r="A6" s="106" t="s">
        <v>1212</v>
      </c>
      <c r="B6" s="107" t="s">
        <v>1333</v>
      </c>
      <c r="C6" s="102">
        <f aca="true" t="shared" si="0" ref="C6:H6">(C4*IF(Insured_State="NC",Company_Deviation_Factor_NC,IF(CSL,Company_Deviation_Factor_UMUIM_CSL,Company_Deviation_Factor_UMUIM_Split_BI)))</f>
        <v>0</v>
      </c>
      <c r="D6" s="102">
        <f t="shared" si="0"/>
        <v>0</v>
      </c>
      <c r="E6" s="102">
        <f t="shared" si="0"/>
        <v>0</v>
      </c>
      <c r="F6" s="102">
        <f t="shared" si="0"/>
        <v>0</v>
      </c>
      <c r="G6" s="102">
        <f t="shared" si="0"/>
        <v>0</v>
      </c>
      <c r="H6" s="102">
        <f t="shared" si="0"/>
        <v>0</v>
      </c>
      <c r="I6" s="1"/>
    </row>
    <row r="7" spans="1:9" s="102" customFormat="1" ht="12.75">
      <c r="A7" s="106"/>
      <c r="B7" s="107"/>
      <c r="I7" s="1"/>
    </row>
    <row r="8" spans="1:8" ht="12.75">
      <c r="A8" s="106" t="s">
        <v>1214</v>
      </c>
      <c r="B8" s="102" t="s">
        <v>1215</v>
      </c>
      <c r="C8" s="102">
        <f>INDEX(IF(CSL,UM_CSL_Increased_Limits_Factor,UM_BI_Increased_Limits_Factor),1,1)</f>
        <v>0</v>
      </c>
      <c r="D8" s="102">
        <f>INDEX(IF(CSL,UM_CSL_Increased_Limits_Factor,UM_BI_Increased_Limits_Factor),1,2)</f>
        <v>0</v>
      </c>
      <c r="E8" s="102">
        <f>INDEX(IF(CSL,UM_CSL_Increased_Limits_Factor,UM_BI_Increased_Limits_Factor),1,3)</f>
        <v>0</v>
      </c>
      <c r="F8" s="102">
        <f>INDEX(IF(CSL,UM_CSL_Increased_Limits_Factor,UM_BI_Increased_Limits_Factor),1,4)</f>
        <v>0</v>
      </c>
      <c r="G8" s="102">
        <f>INDEX(IF(CSL,UM_CSL_Increased_Limits_Factor,UM_BI_Increased_Limits_Factor),1,5)</f>
        <v>0</v>
      </c>
      <c r="H8" s="102">
        <f>INDEX(IF(CSL,UM_CSL_Increased_Limits_Factor,UM_BI_Increased_Limits_Factor),1,6)</f>
        <v>0</v>
      </c>
    </row>
    <row r="9" spans="1:9" s="102" customFormat="1" ht="12.75">
      <c r="A9" s="106"/>
      <c r="B9" s="102" t="s">
        <v>1217</v>
      </c>
      <c r="C9" s="102">
        <f aca="true" t="shared" si="1" ref="C9:H9">IF(Insured_State="NC",1,C8)</f>
        <v>0</v>
      </c>
      <c r="D9" s="102">
        <f t="shared" si="1"/>
        <v>0</v>
      </c>
      <c r="E9" s="102">
        <f t="shared" si="1"/>
        <v>0</v>
      </c>
      <c r="F9" s="102">
        <f t="shared" si="1"/>
        <v>0</v>
      </c>
      <c r="G9" s="102">
        <f t="shared" si="1"/>
        <v>0</v>
      </c>
      <c r="H9" s="102">
        <f t="shared" si="1"/>
        <v>0</v>
      </c>
      <c r="I9" s="1"/>
    </row>
    <row r="10" spans="1:63" s="117" customFormat="1" ht="12.75" customHeight="1">
      <c r="A10" s="106"/>
      <c r="B10" s="102" t="s">
        <v>138</v>
      </c>
      <c r="C10" s="102">
        <f>IF(OR(INDEX(Vehicle_Type,,1)="MC",INDEX(Vehicle_Type,,1)="CMCMS",INDEX(Vehicle_Type,,1)="GO"),Motor_Cycle_Factor_UM,0)</f>
        <v>0</v>
      </c>
      <c r="D10" s="102">
        <f>IF(OR(INDEX(Vehicle_Type,,2)="MC",INDEX(Vehicle_Type,,2)="CMCMS",INDEX(Vehicle_Type,,2)="GO"),Motor_Cycle_Factor_UM,0)</f>
        <v>0</v>
      </c>
      <c r="E10" s="102">
        <f>IF(OR(INDEX(Vehicle_Type,,3)="MC",INDEX(Vehicle_Type,,3)="CMCMS",INDEX(Vehicle_Type,,3)="GO"),Motor_Cycle_Factor_UM,0)</f>
        <v>0</v>
      </c>
      <c r="F10" s="102">
        <f>IF(OR(INDEX(Vehicle_Type,,4)="MC",INDEX(Vehicle_Type,,4)="CMCMS",INDEX(Vehicle_Type,,4)="GO"),Motor_Cycle_Factor_UM,0)</f>
        <v>0</v>
      </c>
      <c r="G10" s="102">
        <f>IF(OR(INDEX(Vehicle_Type,,5)="MC",INDEX(Vehicle_Type,,5)="CMCMS",INDEX(Vehicle_Type,,5)="GO"),Motor_Cycle_Factor_UM,0)</f>
        <v>0</v>
      </c>
      <c r="H10" s="102">
        <f>IF(OR(INDEX(Vehicle_Type,,6)="MC",INDEX(Vehicle_Type,,6)="CMCMS",INDEX(Vehicle_Type,,6)="GO"),Motor_Cycle_Factor_UM,0)</f>
        <v>0</v>
      </c>
      <c r="I10" s="1" t="s">
        <v>139</v>
      </c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</row>
    <row r="11" spans="1:63" s="117" customFormat="1" ht="12.75" customHeight="1">
      <c r="A11" s="106"/>
      <c r="B11" s="102" t="s">
        <v>140</v>
      </c>
      <c r="C11" s="102">
        <f aca="true" t="shared" si="2" ref="C11:H11">IF(C10&lt;=0,1,C10)</f>
        <v>1</v>
      </c>
      <c r="D11" s="102">
        <f t="shared" si="2"/>
        <v>1</v>
      </c>
      <c r="E11" s="102">
        <f t="shared" si="2"/>
        <v>1</v>
      </c>
      <c r="F11" s="102">
        <f t="shared" si="2"/>
        <v>1</v>
      </c>
      <c r="G11" s="102">
        <f t="shared" si="2"/>
        <v>1</v>
      </c>
      <c r="H11" s="102">
        <f t="shared" si="2"/>
        <v>1</v>
      </c>
      <c r="I11" s="1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</row>
    <row r="12" spans="1:63" s="117" customFormat="1" ht="12.75">
      <c r="A12" s="102"/>
      <c r="B12" s="108" t="s">
        <v>1219</v>
      </c>
      <c r="C12" s="102">
        <f aca="true" t="shared" si="3" ref="C12:H12">(C6*C9*C11)</f>
        <v>0</v>
      </c>
      <c r="D12" s="102">
        <f t="shared" si="3"/>
        <v>0</v>
      </c>
      <c r="E12" s="102">
        <f t="shared" si="3"/>
        <v>0</v>
      </c>
      <c r="F12" s="102">
        <f t="shared" si="3"/>
        <v>0</v>
      </c>
      <c r="G12" s="102">
        <f t="shared" si="3"/>
        <v>0</v>
      </c>
      <c r="H12" s="102">
        <f t="shared" si="3"/>
        <v>0</v>
      </c>
      <c r="I12" s="1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</row>
    <row r="13" spans="1:8" ht="12.75">
      <c r="A13" s="102"/>
      <c r="B13" s="109"/>
      <c r="C13" s="102"/>
      <c r="D13" s="102"/>
      <c r="E13" s="102"/>
      <c r="F13" s="102"/>
      <c r="G13" s="102"/>
      <c r="H13" s="102"/>
    </row>
    <row r="14" spans="1:8" ht="12.75">
      <c r="A14" s="106" t="s">
        <v>1229</v>
      </c>
      <c r="B14" s="102" t="s">
        <v>860</v>
      </c>
      <c r="C14" s="102">
        <f aca="true" t="shared" si="4" ref="C14:H14">Policy_Period_Factor</f>
        <v>0</v>
      </c>
      <c r="D14" s="102">
        <f t="shared" si="4"/>
        <v>0</v>
      </c>
      <c r="E14" s="102">
        <f t="shared" si="4"/>
        <v>0</v>
      </c>
      <c r="F14" s="102">
        <f t="shared" si="4"/>
        <v>0</v>
      </c>
      <c r="G14" s="102">
        <f t="shared" si="4"/>
        <v>0</v>
      </c>
      <c r="H14" s="102">
        <f t="shared" si="4"/>
        <v>0</v>
      </c>
    </row>
    <row r="15" spans="1:8" ht="12.75">
      <c r="A15" s="106"/>
      <c r="B15" s="102" t="s">
        <v>105</v>
      </c>
      <c r="C15" s="102">
        <f aca="true" t="shared" si="5" ref="C15:H15">C12*C14</f>
        <v>0</v>
      </c>
      <c r="D15" s="102">
        <f t="shared" si="5"/>
        <v>0</v>
      </c>
      <c r="E15" s="102">
        <f t="shared" si="5"/>
        <v>0</v>
      </c>
      <c r="F15" s="102">
        <f t="shared" si="5"/>
        <v>0</v>
      </c>
      <c r="G15" s="102">
        <f t="shared" si="5"/>
        <v>0</v>
      </c>
      <c r="H15" s="102">
        <f t="shared" si="5"/>
        <v>0</v>
      </c>
    </row>
    <row r="16" spans="1:8" ht="12.75">
      <c r="A16" s="106"/>
      <c r="B16" s="102"/>
      <c r="C16" s="102"/>
      <c r="D16" s="102"/>
      <c r="E16" s="102"/>
      <c r="F16" s="102"/>
      <c r="G16" s="102"/>
      <c r="H16" s="102"/>
    </row>
    <row r="17" spans="1:9" s="102" customFormat="1" ht="12.75">
      <c r="A17" s="106"/>
      <c r="B17" s="102" t="s">
        <v>64</v>
      </c>
      <c r="C17" s="102">
        <f>IF(OR(INDEX(Vehicle_Type,,1)="MC",INDEX(Vehicle_Type,,1)="CMCMS"),1,0)</f>
        <v>0</v>
      </c>
      <c r="D17" s="102">
        <f>IF(OR(INDEX(Vehicle_Type,,2)="MC",INDEX(Vehicle_Type,,2)="CMCMS"),1,0)</f>
        <v>0</v>
      </c>
      <c r="E17" s="102">
        <f>IF(OR(INDEX(Vehicle_Type,,3)="MC",INDEX(Vehicle_Type,,3)="CMCMS"),1,0)</f>
        <v>0</v>
      </c>
      <c r="F17" s="102">
        <f>IF(OR(INDEX(Vehicle_Type,,4)="MC",INDEX(Vehicle_Type,,4)="CMCMS"),1,0)</f>
        <v>0</v>
      </c>
      <c r="G17" s="102">
        <f>IF(OR(INDEX(Vehicle_Type,,5)="MC",INDEX(Vehicle_Type,,5)="CMCMS"),1,0)</f>
        <v>0</v>
      </c>
      <c r="H17" s="102">
        <f>IF(OR(INDEX(Vehicle_Type,,6)="MC",INDEX(Vehicle_Type,,6)="CMCMS"),1,0)</f>
        <v>0</v>
      </c>
      <c r="I17" s="1"/>
    </row>
    <row r="18" spans="1:9" s="102" customFormat="1" ht="12.75">
      <c r="A18" s="106"/>
      <c r="B18" s="102" t="s">
        <v>65</v>
      </c>
      <c r="C18" s="102">
        <f>IF(INDEX(Vehicle_Type,,1)="GO",1,0)</f>
        <v>0</v>
      </c>
      <c r="D18" s="102">
        <f>IF(INDEX(Vehicle_Type,,2)="GO",1,0)</f>
        <v>0</v>
      </c>
      <c r="E18" s="102">
        <f>IF(INDEX(Vehicle_Type,,3)="GO",1,0)</f>
        <v>0</v>
      </c>
      <c r="F18" s="102">
        <f>IF(INDEX(Vehicle_Type,,4)="GO",1,0)</f>
        <v>0</v>
      </c>
      <c r="G18" s="102">
        <f>IF(INDEX(Vehicle_Type,,5)="GO",1,0)</f>
        <v>0</v>
      </c>
      <c r="H18" s="102">
        <f>IF(INDEX(Vehicle_Type,,6)="GO",1,0)</f>
        <v>0</v>
      </c>
      <c r="I18" s="1"/>
    </row>
    <row r="19" spans="1:9" s="102" customFormat="1" ht="12.75">
      <c r="A19" s="106"/>
      <c r="B19" s="102" t="s">
        <v>66</v>
      </c>
      <c r="C19" s="102">
        <f>IF(INDEX(Vehicle_Type,,1)="SNOWM",1,0)</f>
        <v>0</v>
      </c>
      <c r="D19" s="102">
        <f>IF(INDEX(Vehicle_Type,,2)="SNOWM",1,0)</f>
        <v>0</v>
      </c>
      <c r="E19" s="102">
        <f>IF(INDEX(Vehicle_Type,,3)="SNOWM",1,0)</f>
        <v>0</v>
      </c>
      <c r="F19" s="102">
        <f>IF(INDEX(Vehicle_Type,,4)="SNOWM",1,0)</f>
        <v>0</v>
      </c>
      <c r="G19" s="102">
        <f>IF(INDEX(Vehicle_Type,,5)="SNOWM",1,0)</f>
        <v>0</v>
      </c>
      <c r="H19" s="102">
        <f>IF(INDEX(Vehicle_Type,,6)="SNOWM",1,0)</f>
        <v>0</v>
      </c>
      <c r="I19" s="1"/>
    </row>
    <row r="20" spans="1:9" s="102" customFormat="1" ht="12.75">
      <c r="A20" s="106"/>
      <c r="B20" s="102" t="s">
        <v>67</v>
      </c>
      <c r="C20" s="102">
        <f>IF(INDEX(Vehicle_Type,,1)="ATV",1,0)</f>
        <v>0</v>
      </c>
      <c r="D20" s="102">
        <f>IF(INDEX(Vehicle_Type,,2)="ATV",1,0)</f>
        <v>0</v>
      </c>
      <c r="E20" s="102">
        <f>IF(INDEX(Vehicle_Type,,3)="ATV",1,0)</f>
        <v>0</v>
      </c>
      <c r="F20" s="102">
        <f>IF(INDEX(Vehicle_Type,,4)="ATV",1,0)</f>
        <v>0</v>
      </c>
      <c r="G20" s="102">
        <f>IF(INDEX(Vehicle_Type,,5)="ATV",1,0)</f>
        <v>0</v>
      </c>
      <c r="H20" s="102">
        <f>IF(INDEX(Vehicle_Type,,6)="ATV",1,0)</f>
        <v>0</v>
      </c>
      <c r="I20" s="1"/>
    </row>
    <row r="21" spans="1:9" s="102" customFormat="1" ht="12.75">
      <c r="A21" s="106"/>
      <c r="B21" s="102" t="s">
        <v>68</v>
      </c>
      <c r="C21" s="102">
        <f>IF(INDEX(Vehicle_Type,,1)="DB",1,0)</f>
        <v>0</v>
      </c>
      <c r="D21" s="102">
        <f>IF(INDEX(Vehicle_Type,,2)="DB",1,0)</f>
        <v>0</v>
      </c>
      <c r="E21" s="102">
        <f>IF(INDEX(Vehicle_Type,,3)="DB",1,0)</f>
        <v>0</v>
      </c>
      <c r="F21" s="102">
        <f>IF(INDEX(Vehicle_Type,,4)="DB",1,0)</f>
        <v>0</v>
      </c>
      <c r="G21" s="102">
        <f>IF(INDEX(Vehicle_Type,,5)="DB",1,0)</f>
        <v>0</v>
      </c>
      <c r="H21" s="102">
        <f>IF(INDEX(Vehicle_Type,,6)="DB",1,0)</f>
        <v>0</v>
      </c>
      <c r="I21" s="1"/>
    </row>
    <row r="22" spans="1:9" s="102" customFormat="1" ht="12.75">
      <c r="A22" s="106"/>
      <c r="B22" s="102" t="s">
        <v>70</v>
      </c>
      <c r="C22" s="102">
        <f>IF(INDEX(Vehicle_Type,,1)="AA",1,0)</f>
        <v>0</v>
      </c>
      <c r="D22" s="102">
        <f>IF(INDEX(Vehicle_Type,,2)="AA",1,0)</f>
        <v>0</v>
      </c>
      <c r="E22" s="102">
        <f>IF(INDEX(Vehicle_Type,,3)="AA",1,0)</f>
        <v>0</v>
      </c>
      <c r="F22" s="102">
        <f>IF(INDEX(Vehicle_Type,,4)="AA",1,0)</f>
        <v>0</v>
      </c>
      <c r="G22" s="102">
        <f>IF(INDEX(Vehicle_Type,,5)="AA",1,0)</f>
        <v>0</v>
      </c>
      <c r="H22" s="102">
        <f>IF(INDEX(Vehicle_Type,,6)="AA",1,0)</f>
        <v>0</v>
      </c>
      <c r="I22" s="1"/>
    </row>
    <row r="23" spans="1:8" ht="12.75">
      <c r="A23" s="106"/>
      <c r="B23" s="102"/>
      <c r="C23" s="102"/>
      <c r="D23" s="102"/>
      <c r="E23" s="102"/>
      <c r="F23" s="102"/>
      <c r="G23" s="102"/>
      <c r="H23" s="102"/>
    </row>
    <row r="24" spans="1:8" ht="12.75">
      <c r="A24" s="106" t="s">
        <v>1270</v>
      </c>
      <c r="B24" s="106" t="s">
        <v>141</v>
      </c>
      <c r="C24" s="118">
        <f aca="true" t="shared" si="6" ref="C24:H24">IF(OR(ISERROR(C15),C15&lt;=0,C17=0),0,ROUND(C15,2))</f>
        <v>0</v>
      </c>
      <c r="D24" s="118">
        <f t="shared" si="6"/>
        <v>0</v>
      </c>
      <c r="E24" s="118">
        <f t="shared" si="6"/>
        <v>0</v>
      </c>
      <c r="F24" s="118">
        <f t="shared" si="6"/>
        <v>0</v>
      </c>
      <c r="G24" s="118">
        <f t="shared" si="6"/>
        <v>0</v>
      </c>
      <c r="H24" s="118">
        <f t="shared" si="6"/>
        <v>0</v>
      </c>
    </row>
    <row r="25" spans="2:8" ht="12.75">
      <c r="B25" s="106" t="s">
        <v>142</v>
      </c>
      <c r="C25" s="118">
        <f>IF(OR(ISERROR(C15),C15&lt;=0,C18=0),0,ROUND(C15,2))</f>
        <v>0</v>
      </c>
      <c r="D25" s="118">
        <f>IF(ISERROR(#REF!+#REF!),0,#REF!+#REF!)</f>
        <v>0</v>
      </c>
      <c r="E25" s="118">
        <f>IF(ISERROR(#REF!+#REF!),0,#REF!+#REF!)</f>
        <v>0</v>
      </c>
      <c r="F25" s="118">
        <f>IF(ISERROR(#REF!+#REF!),0,#REF!+#REF!)</f>
        <v>0</v>
      </c>
      <c r="G25" s="118">
        <f>IF(ISERROR(#REF!+#REF!),0,#REF!+#REF!)</f>
        <v>0</v>
      </c>
      <c r="H25" s="118">
        <f>IF(ISERROR(#REF!+#REF!),0,#REF!+#REF!)</f>
        <v>0</v>
      </c>
    </row>
    <row r="26" spans="2:8" ht="12.75">
      <c r="B26" s="106" t="s">
        <v>143</v>
      </c>
      <c r="C26" s="118">
        <f>IF(OR(ISERROR(C15),C15&lt;=0,C19=0),0,ROUND(C15,2))</f>
        <v>0</v>
      </c>
      <c r="D26" s="118">
        <f>IF(ISERROR(#REF!+#REF!),0,#REF!+#REF!)</f>
        <v>0</v>
      </c>
      <c r="E26" s="118">
        <f>IF(ISERROR(#REF!+#REF!),0,#REF!+#REF!)</f>
        <v>0</v>
      </c>
      <c r="F26" s="118">
        <f>IF(ISERROR(#REF!+#REF!),0,#REF!+#REF!)</f>
        <v>0</v>
      </c>
      <c r="G26" s="118">
        <f>IF(ISERROR(#REF!+#REF!),0,#REF!+#REF!)</f>
        <v>0</v>
      </c>
      <c r="H26" s="118">
        <f>IF(ISERROR(#REF!+#REF!),0,#REF!+#REF!)</f>
        <v>0</v>
      </c>
    </row>
    <row r="27" spans="2:8" ht="12.75">
      <c r="B27" s="106" t="s">
        <v>144</v>
      </c>
      <c r="C27" s="118">
        <f>IF(OR(ISERROR(C15),C15&lt;=0,C20=0),0,ROUND(C15,2))</f>
        <v>0</v>
      </c>
      <c r="D27" s="118">
        <f>IF(ISERROR(#REF!+#REF!),0,#REF!+#REF!)</f>
        <v>0</v>
      </c>
      <c r="E27" s="118">
        <f>IF(ISERROR(#REF!+#REF!),0,#REF!+#REF!)</f>
        <v>0</v>
      </c>
      <c r="F27" s="118">
        <f>IF(ISERROR(#REF!+#REF!),0,#REF!+#REF!)</f>
        <v>0</v>
      </c>
      <c r="G27" s="118">
        <f>IF(ISERROR(#REF!+#REF!),0,#REF!+#REF!)</f>
        <v>0</v>
      </c>
      <c r="H27" s="118">
        <f>IF(ISERROR(#REF!+#REF!),0,#REF!+#REF!)</f>
        <v>0</v>
      </c>
    </row>
    <row r="28" spans="2:8" ht="12.75">
      <c r="B28" s="106" t="s">
        <v>145</v>
      </c>
      <c r="C28" s="118">
        <f>IF(OR(ISERROR(C15),C15&lt;=0,C21=0),0,ROUND(C15,2))</f>
        <v>0</v>
      </c>
      <c r="D28" s="118">
        <f>IF(ISERROR(#REF!+#REF!),0,#REF!+#REF!)</f>
        <v>0</v>
      </c>
      <c r="E28" s="118">
        <f>IF(ISERROR(#REF!+#REF!),0,#REF!+#REF!)</f>
        <v>0</v>
      </c>
      <c r="F28" s="118">
        <f>IF(ISERROR(#REF!+#REF!),0,#REF!+#REF!)</f>
        <v>0</v>
      </c>
      <c r="G28" s="118">
        <f>IF(ISERROR(#REF!+#REF!),0,#REF!+#REF!)</f>
        <v>0</v>
      </c>
      <c r="H28" s="118">
        <f>IF(ISERROR(#REF!+#REF!),0,#REF!+#REF!)</f>
        <v>0</v>
      </c>
    </row>
    <row r="29" spans="2:8" ht="12.75">
      <c r="B29" s="106" t="s">
        <v>146</v>
      </c>
      <c r="C29" s="118">
        <f>IF(OR(ISERROR(C15),C15&lt;=0,C22=0),0,ROUND(C15,2))</f>
        <v>0</v>
      </c>
      <c r="D29" s="118">
        <f>IF(ISERROR(#REF!+#REF!),0,#REF!+#REF!)</f>
        <v>0</v>
      </c>
      <c r="E29" s="118">
        <f>IF(ISERROR(#REF!+#REF!),0,#REF!+#REF!)</f>
        <v>0</v>
      </c>
      <c r="F29" s="118">
        <f>IF(ISERROR(#REF!+#REF!),0,#REF!+#REF!)</f>
        <v>0</v>
      </c>
      <c r="G29" s="118">
        <f>IF(ISERROR(#REF!+#REF!),0,#REF!+#REF!)</f>
        <v>0</v>
      </c>
      <c r="H29" s="118">
        <f>IF(ISERROR(#REF!+#REF!),0,#REF!+#REF!)</f>
        <v>0</v>
      </c>
    </row>
  </sheetData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I60"/>
  <sheetViews>
    <sheetView zoomScale="75" zoomScaleNormal="75" workbookViewId="0" topLeftCell="A1">
      <selection activeCell="H16" sqref="H16"/>
    </sheetView>
  </sheetViews>
  <sheetFormatPr defaultColWidth="9.140625" defaultRowHeight="12.75"/>
  <cols>
    <col min="2" max="2" width="38.28125" style="0" customWidth="1"/>
    <col min="9" max="9" width="20.28125" style="0" customWidth="1"/>
  </cols>
  <sheetData>
    <row r="1" spans="1:9" ht="20.25" customHeight="1">
      <c r="A1" s="103"/>
      <c r="B1" s="104" t="s">
        <v>147</v>
      </c>
      <c r="C1" s="103"/>
      <c r="D1" s="103"/>
      <c r="E1" s="103"/>
      <c r="F1" s="102"/>
      <c r="G1" s="102"/>
      <c r="H1" s="102"/>
      <c r="I1" s="1"/>
    </row>
    <row r="3" spans="1:9" ht="12.75">
      <c r="A3" s="106" t="s">
        <v>1206</v>
      </c>
      <c r="B3" s="106" t="s">
        <v>1207</v>
      </c>
      <c r="C3" s="106" t="s">
        <v>428</v>
      </c>
      <c r="D3" s="106" t="s">
        <v>429</v>
      </c>
      <c r="E3" s="106" t="s">
        <v>430</v>
      </c>
      <c r="F3" s="106" t="s">
        <v>431</v>
      </c>
      <c r="G3" s="106" t="s">
        <v>432</v>
      </c>
      <c r="H3" s="106" t="s">
        <v>433</v>
      </c>
      <c r="I3" s="6" t="s">
        <v>229</v>
      </c>
    </row>
    <row r="4" spans="1:9" ht="12.75">
      <c r="A4" s="106"/>
      <c r="B4" s="106"/>
      <c r="C4" s="106"/>
      <c r="D4" s="106"/>
      <c r="E4" s="106"/>
      <c r="F4" s="106"/>
      <c r="G4" s="106"/>
      <c r="H4" s="106"/>
      <c r="I4" s="6"/>
    </row>
    <row r="5" spans="1:9" ht="12.75">
      <c r="A5" s="106" t="s">
        <v>1208</v>
      </c>
      <c r="B5" s="102" t="s">
        <v>1209</v>
      </c>
      <c r="C5" s="102">
        <f>INDEX(COMP_Base_Rate,1,1)</f>
        <v>0</v>
      </c>
      <c r="D5" s="102">
        <f>INDEX(COMP_Base_Rate,1,2)</f>
        <v>0</v>
      </c>
      <c r="E5" s="102">
        <f>INDEX(COMP_Base_Rate,1,3)</f>
        <v>0</v>
      </c>
      <c r="F5" s="102">
        <f>INDEX(COMP_Base_Rate,1,4)</f>
        <v>0</v>
      </c>
      <c r="G5" s="102">
        <f>INDEX(COMP_Base_Rate,1,5)</f>
        <v>0</v>
      </c>
      <c r="H5" s="102">
        <f>INDEX(COMP_Base_Rate,1,6)</f>
        <v>0</v>
      </c>
      <c r="I5" s="1"/>
    </row>
    <row r="6" spans="1:9" ht="12.75">
      <c r="A6" s="106"/>
      <c r="B6" s="102"/>
      <c r="C6" s="102"/>
      <c r="D6" s="102"/>
      <c r="E6" s="102"/>
      <c r="F6" s="102"/>
      <c r="G6" s="102"/>
      <c r="H6" s="102"/>
      <c r="I6" s="1"/>
    </row>
    <row r="7" spans="1:9" ht="12.75">
      <c r="A7" s="106" t="s">
        <v>1218</v>
      </c>
      <c r="B7" s="102" t="s">
        <v>1353</v>
      </c>
      <c r="C7" s="102">
        <f>INDEX(COMP_Vehicle_Symbol_Factor,,1)</f>
        <v>0</v>
      </c>
      <c r="D7" s="102">
        <f>INDEX(COMP_Vehicle_Symbol_Factor,,2)</f>
        <v>0</v>
      </c>
      <c r="E7" s="102">
        <f>INDEX(COMP_Vehicle_Symbol_Factor,,3)</f>
        <v>0</v>
      </c>
      <c r="F7" s="102">
        <f>INDEX(COMP_Vehicle_Symbol_Factor,,4)</f>
        <v>0</v>
      </c>
      <c r="G7" s="102">
        <f>INDEX(COMP_Vehicle_Symbol_Factor,,5)</f>
        <v>0</v>
      </c>
      <c r="H7" s="102">
        <f>INDEX(COMP_Vehicle_Symbol_Factor,,6)</f>
        <v>0</v>
      </c>
      <c r="I7" s="1"/>
    </row>
    <row r="8" spans="1:9" ht="12.75">
      <c r="A8" s="102"/>
      <c r="B8" s="109"/>
      <c r="C8" s="102"/>
      <c r="D8" s="102"/>
      <c r="E8" s="102"/>
      <c r="F8" s="102"/>
      <c r="G8" s="102"/>
      <c r="H8" s="102"/>
      <c r="I8" s="1"/>
    </row>
    <row r="9" spans="1:9" ht="12.75">
      <c r="A9" s="106" t="s">
        <v>1354</v>
      </c>
      <c r="B9" s="102" t="s">
        <v>1355</v>
      </c>
      <c r="C9" s="102">
        <f>INDEX(COMP_Age_Factor,,1)</f>
        <v>0</v>
      </c>
      <c r="D9" s="102">
        <f>INDEX(COMP_Age_Factor,,2)</f>
        <v>0</v>
      </c>
      <c r="E9" s="102">
        <f>INDEX(COMP_Age_Factor,,3)</f>
        <v>0</v>
      </c>
      <c r="F9" s="102">
        <f>INDEX(COMP_Age_Factor,,4)</f>
        <v>0</v>
      </c>
      <c r="G9" s="102">
        <f>INDEX(COMP_Age_Factor,,5)</f>
        <v>0</v>
      </c>
      <c r="H9" s="102">
        <f>INDEX(COMP_Age_Factor,,6)</f>
        <v>0</v>
      </c>
      <c r="I9" s="1"/>
    </row>
    <row r="10" spans="1:9" s="102" customFormat="1" ht="12.75">
      <c r="A10" s="106"/>
      <c r="B10" s="107"/>
      <c r="I10" s="1"/>
    </row>
    <row r="11" spans="1:9" ht="12.75">
      <c r="A11" s="106" t="s">
        <v>1360</v>
      </c>
      <c r="B11" s="102" t="s">
        <v>148</v>
      </c>
      <c r="C11" s="102">
        <f aca="true" t="shared" si="0" ref="C11:H11">(C5*C7*C9*IF(Insured_State="NC",Company_Deviation_Factor_NC,Company_Deviation_Factor_COMP))</f>
        <v>0</v>
      </c>
      <c r="D11" s="102">
        <f t="shared" si="0"/>
        <v>0</v>
      </c>
      <c r="E11" s="102">
        <f t="shared" si="0"/>
        <v>0</v>
      </c>
      <c r="F11" s="102">
        <f t="shared" si="0"/>
        <v>0</v>
      </c>
      <c r="G11" s="102">
        <f t="shared" si="0"/>
        <v>0</v>
      </c>
      <c r="H11" s="102">
        <f t="shared" si="0"/>
        <v>0</v>
      </c>
      <c r="I11" s="1"/>
    </row>
    <row r="12" spans="1:9" ht="12.75">
      <c r="A12" s="106"/>
      <c r="B12" s="102"/>
      <c r="C12" s="102"/>
      <c r="D12" s="102"/>
      <c r="E12" s="102"/>
      <c r="F12" s="102"/>
      <c r="G12" s="102"/>
      <c r="H12" s="102"/>
      <c r="I12" s="1"/>
    </row>
    <row r="13" spans="1:9" ht="12.75">
      <c r="A13" s="106" t="s">
        <v>1334</v>
      </c>
      <c r="B13" s="102" t="s">
        <v>149</v>
      </c>
      <c r="C13" s="102">
        <f>IF(AND(Insured_State&lt;&gt;"NC",OR(INDEX(Vehicle_Type,,1)="MC",INDEX(Vehicle_Type,,1)="GO")),INDEX(COMP_MotorCycle_Symbol_Factor,,1),0)</f>
        <v>0</v>
      </c>
      <c r="D13" s="102">
        <f>IF(AND(Insured_State&lt;&gt;"NC",OR(INDEX(Vehicle_Type,,2)="MC",INDEX(Vehicle_Type,,2)="GO")),INDEX(COMP_MotorCycle_Symbol_Factor,,2),0)</f>
        <v>0</v>
      </c>
      <c r="E13" s="102">
        <f>IF(AND(Insured_State&lt;&gt;"NC",OR(INDEX(Vehicle_Type,,3)="MC",INDEX(Vehicle_Type,,3)="GO")),INDEX(COMP_MotorCycle_Symbol_Factor,,3),0)</f>
        <v>0</v>
      </c>
      <c r="F13" s="102">
        <f>IF(AND(Insured_State&lt;&gt;"NC",OR(INDEX(Vehicle_Type,,4)="MC",INDEX(Vehicle_Type,,4)="GO")),INDEX(COMP_MotorCycle_Symbol_Factor,,4),0)</f>
        <v>0</v>
      </c>
      <c r="G13" s="102">
        <f>IF(AND(Insured_State&lt;&gt;"NC",OR(INDEX(Vehicle_Type,,5)="MC",INDEX(Vehicle_Type,,5)="GO")),INDEX(COMP_MotorCycle_Symbol_Factor,,5),0)</f>
        <v>0</v>
      </c>
      <c r="H13" s="102">
        <f>IF(AND(Insured_State&lt;&gt;"NC",OR(INDEX(Vehicle_Type,,6)="MC",INDEX(Vehicle_Type,,6)="GO")),INDEX(COMP_MotorCycle_Symbol_Factor,,6),0)</f>
        <v>0</v>
      </c>
      <c r="I13" s="1"/>
    </row>
    <row r="14" spans="1:9" ht="12.75">
      <c r="A14" s="106"/>
      <c r="B14" s="102" t="s">
        <v>150</v>
      </c>
      <c r="C14" s="102">
        <f aca="true" t="shared" si="1" ref="C14:H14">IF(SUM(C13)&lt;=0,1,SUM(C13))</f>
        <v>1</v>
      </c>
      <c r="D14" s="102">
        <f t="shared" si="1"/>
        <v>1</v>
      </c>
      <c r="E14" s="102">
        <f t="shared" si="1"/>
        <v>1</v>
      </c>
      <c r="F14" s="102">
        <f t="shared" si="1"/>
        <v>1</v>
      </c>
      <c r="G14" s="102">
        <f t="shared" si="1"/>
        <v>1</v>
      </c>
      <c r="H14" s="102">
        <f t="shared" si="1"/>
        <v>1</v>
      </c>
      <c r="I14" s="1"/>
    </row>
    <row r="15" spans="1:9" ht="12.75">
      <c r="A15" s="102"/>
      <c r="B15" s="109"/>
      <c r="C15" s="102"/>
      <c r="D15" s="102"/>
      <c r="E15" s="102"/>
      <c r="F15" s="102"/>
      <c r="G15" s="102"/>
      <c r="H15" s="102"/>
      <c r="I15" s="1"/>
    </row>
    <row r="16" spans="1:9" ht="12.75" customHeight="1">
      <c r="A16" s="106" t="s">
        <v>1229</v>
      </c>
      <c r="B16" s="102" t="s">
        <v>151</v>
      </c>
      <c r="C16" s="102">
        <f>IF(AND(Insured_State&lt;&gt;"NC",OR(INDEX(Vehicle_Type,,1)="MC",INDEX(Vehicle_Type,,1)="GO")),C11*C14,IF(ISERROR(INDEX(Original_Cost_New,,1)*1),0,INDEX(Original_Cost_New,,1)))</f>
        <v>0</v>
      </c>
      <c r="D16" s="102">
        <f>IF(AND(Insured_State&lt;&gt;"NC",OR(INDEX(Vehicle_Type,,2)="MC",INDEX(Vehicle_Type,,2)="GO")),D11*D14,IF(ISERROR(INDEX(Original_Cost_New,,2)*1),0,INDEX(Original_Cost_New,,2)))</f>
        <v>0</v>
      </c>
      <c r="E16" s="102">
        <f>IF(AND(Insured_State&lt;&gt;"NC",OR(INDEX(Vehicle_Type,,3)="MC",INDEX(Vehicle_Type,,3)="GO")),E11*E14,IF(ISERROR(INDEX(Original_Cost_New,,3)*1),0,INDEX(Original_Cost_New,,3)))</f>
        <v>0</v>
      </c>
      <c r="F16" s="102">
        <f>IF(AND(Insured_State&lt;&gt;"NC",OR(INDEX(Vehicle_Type,,4)="MC",INDEX(Vehicle_Type,,4)="GO")),F11*F14,IF(ISERROR(INDEX(Original_Cost_New,,4)*1),0,INDEX(Original_Cost_New,,4)))</f>
        <v>0</v>
      </c>
      <c r="G16" s="102">
        <f>IF(AND(Insured_State&lt;&gt;"NC",OR(INDEX(Vehicle_Type,,5)="MC",INDEX(Vehicle_Type,,5)="GO")),G11*G14,IF(ISERROR(INDEX(Original_Cost_New,,5)*1),0,INDEX(Original_Cost_New,,5)))</f>
        <v>0</v>
      </c>
      <c r="H16" s="102">
        <f>IF(AND(Insured_State&lt;&gt;"NC",OR(INDEX(Vehicle_Type,,6)="MC",INDEX(Vehicle_Type,,6)="GO")),H11*H14,IF(ISERROR(INDEX(Original_Cost_New,,6)*1),0,INDEX(Original_Cost_New,,6)))</f>
        <v>0</v>
      </c>
      <c r="I16" s="1" t="s">
        <v>152</v>
      </c>
    </row>
    <row r="17" spans="1:9" ht="12.75">
      <c r="A17" s="102"/>
      <c r="B17" s="109"/>
      <c r="C17" s="102"/>
      <c r="D17" s="102"/>
      <c r="E17" s="102"/>
      <c r="F17" s="102"/>
      <c r="G17" s="102"/>
      <c r="H17" s="102"/>
      <c r="I17" s="1"/>
    </row>
    <row r="18" spans="1:9" ht="12.75">
      <c r="A18" s="106" t="s">
        <v>1231</v>
      </c>
      <c r="B18" s="112" t="s">
        <v>153</v>
      </c>
      <c r="C18" s="102">
        <f>IF(AND(Insured_State&lt;&gt;"NC",OR(INDEX(Vehicle_Type,,1)="MC",INDEX(Vehicle_Type,,1)="GO")),INDEX(COMP_MC_Deductible_Factor,,1),0)</f>
        <v>0</v>
      </c>
      <c r="D18" s="102">
        <f>IF(AND(Insured_State&lt;&gt;"NC",OR(INDEX(Vehicle_Type,,2)="MC",INDEX(Vehicle_Type,,2)="GO")),INDEX(COMP_MC_Deductible_Factor,,2),0)</f>
        <v>0</v>
      </c>
      <c r="E18" s="102">
        <f>IF(AND(Insured_State&lt;&gt;"NC",OR(INDEX(Vehicle_Type,,3)="MC",INDEX(Vehicle_Type,,3)="GO")),INDEX(COMP_MC_Deductible_Factor,,3),0)</f>
        <v>0</v>
      </c>
      <c r="F18" s="102">
        <f>IF(AND(Insured_State&lt;&gt;"NC",OR(INDEX(Vehicle_Type,,4)="MC",INDEX(Vehicle_Type,,4)="GO")),INDEX(COMP_MC_Deductible_Factor,,4),0)</f>
        <v>0</v>
      </c>
      <c r="G18" s="102">
        <f>IF(AND(Insured_State&lt;&gt;"NC",OR(INDEX(Vehicle_Type,,5)="MC",INDEX(Vehicle_Type,,5)="GO")),INDEX(COMP_MC_Deductible_Factor,,5),0)</f>
        <v>0</v>
      </c>
      <c r="H18" s="102">
        <f>IF(AND(Insured_State&lt;&gt;"NC",OR(INDEX(Vehicle_Type,,6)="MC",INDEX(Vehicle_Type,,6)="GO")),INDEX(COMP_MC_Deductible_Factor,,6),0)</f>
        <v>0</v>
      </c>
      <c r="I18" s="1"/>
    </row>
    <row r="19" spans="2:9" s="47" customFormat="1" ht="12.75">
      <c r="B19" s="112" t="s">
        <v>154</v>
      </c>
      <c r="C19" s="112">
        <f>IF(OR(INDEX(Vehicle_Type,,1)="SNOWM",INDEX(Vehicle_Type,,1)="ATV"),INDEX(COMP_SNOWM_Deductible_Factor,,1),0)</f>
        <v>0</v>
      </c>
      <c r="D19" s="112">
        <f>IF(OR(INDEX(Vehicle_Type,,2)="SNOWM",INDEX(Vehicle_Type,,2)="ATV"),INDEX(COMP_SNOWM_Deductible_Factor,,2),0)</f>
        <v>0</v>
      </c>
      <c r="E19" s="112">
        <f>IF(OR(INDEX(Vehicle_Type,,3)="SNOWM",INDEX(Vehicle_Type,,3)="ATV"),INDEX(COMP_SNOWM_Deductible_Factor,,3),0)</f>
        <v>0</v>
      </c>
      <c r="F19" s="112">
        <f>IF(OR(INDEX(Vehicle_Type,,4)="SNOWM",INDEX(Vehicle_Type,,4)="ATV"),INDEX(COMP_SNOWM_Deductible_Factor,,4),0)</f>
        <v>0</v>
      </c>
      <c r="G19" s="112">
        <f>IF(OR(INDEX(Vehicle_Type,,5)="SNOWM",INDEX(Vehicle_Type,,5)="ATV"),INDEX(COMP_SNOWM_Deductible_Factor,,5),0)</f>
        <v>0</v>
      </c>
      <c r="H19" s="112">
        <f>IF(OR(INDEX(Vehicle_Type,,6)="SNOWM",INDEX(Vehicle_Type,,6)="ATV"),INDEX(COMP_SNOWM_Deductible_Factor,,6),0)</f>
        <v>0</v>
      </c>
      <c r="I19" s="15"/>
    </row>
    <row r="20" spans="1:9" s="47" customFormat="1" ht="12.75">
      <c r="A20" s="106"/>
      <c r="B20" s="112" t="s">
        <v>155</v>
      </c>
      <c r="C20" s="112">
        <f>IF(INDEX(Vehicle_Type,,1)="DB",INDEX(COMP_DB_Deductible_Factor,,1),0)</f>
        <v>0</v>
      </c>
      <c r="D20" s="112">
        <f>IF(INDEX(Vehicle_Type,,2)="DB",INDEX(COMP_DB_Deductible_Factor,,2),0)</f>
        <v>0</v>
      </c>
      <c r="E20" s="112">
        <f>IF(INDEX(Vehicle_Type,,3)="DB",INDEX(COMP_DB_Deductible_Factor,,3),0)</f>
        <v>0</v>
      </c>
      <c r="F20" s="112">
        <f>IF(INDEX(Vehicle_Type,,4)="DB",INDEX(COMP_DB_Deductible_Factor,,4),0)</f>
        <v>0</v>
      </c>
      <c r="G20" s="112">
        <f>IF(INDEX(Vehicle_Type,,5)="DB",INDEX(COMP_DB_Deductible_Factor,,5),0)</f>
        <v>0</v>
      </c>
      <c r="H20" s="112">
        <f>IF(INDEX(Vehicle_Type,,6)="DB",INDEX(COMP_DB_Deductible_Factor,,6),0)</f>
        <v>0</v>
      </c>
      <c r="I20" s="15"/>
    </row>
    <row r="21" spans="1:9" s="47" customFormat="1" ht="12.75">
      <c r="A21" s="106"/>
      <c r="B21" s="112" t="s">
        <v>156</v>
      </c>
      <c r="C21" s="112">
        <f>IF(INDEX(Vehicle_Type,,1)="GC",INDEX(COMP_GC_Deductible_Factor,,1),0)</f>
        <v>0</v>
      </c>
      <c r="D21" s="112">
        <f>IF(INDEX(Vehicle_Type,,2)="GC",INDEX(COMP_GC_Deductible_Factor,,2),0)</f>
        <v>0</v>
      </c>
      <c r="E21" s="112">
        <f>IF(INDEX(Vehicle_Type,,3)="GC",INDEX(COMP_GC_Deductible_Factor,,3),0)</f>
        <v>0</v>
      </c>
      <c r="F21" s="112">
        <f>IF(INDEX(Vehicle_Type,,4)="GC",INDEX(COMP_GC_Deductible_Factor,,4),0)</f>
        <v>0</v>
      </c>
      <c r="G21" s="112">
        <f>IF(INDEX(Vehicle_Type,,5)="GC",INDEX(COMP_GC_Deductible_Factor,,5),0)</f>
        <v>0</v>
      </c>
      <c r="H21" s="112">
        <f>IF(INDEX(Vehicle_Type,,6)="GC",INDEX(COMP_GC_Deductible_Factor,,6),0)</f>
        <v>0</v>
      </c>
      <c r="I21" s="15"/>
    </row>
    <row r="22" spans="1:9" s="47" customFormat="1" ht="12.75">
      <c r="A22" s="106"/>
      <c r="B22" s="112" t="s">
        <v>157</v>
      </c>
      <c r="C22" s="112">
        <f>IF(INDEX(Vehicle_Type,,1)="AA",INDEX(COMP_AA_Deductible_Factor,,1),0)</f>
        <v>0</v>
      </c>
      <c r="D22" s="112">
        <f>IF(INDEX(Vehicle_Type,,2)="AA",INDEX(COMP_AA_Deductible_Factor,,2),0)</f>
        <v>0</v>
      </c>
      <c r="E22" s="112">
        <f>IF(INDEX(Vehicle_Type,,3)="AA",INDEX(COMP_AA_Deductible_Factor,,3),0)</f>
        <v>0</v>
      </c>
      <c r="F22" s="112">
        <f>IF(INDEX(Vehicle_Type,,4)="AA",INDEX(COMP_AA_Deductible_Factor,,4),0)</f>
        <v>0</v>
      </c>
      <c r="G22" s="112">
        <f>IF(INDEX(Vehicle_Type,,5)="AA",INDEX(COMP_AA_Deductible_Factor,,5),0)</f>
        <v>0</v>
      </c>
      <c r="H22" s="112">
        <f>IF(INDEX(Vehicle_Type,,6)="AA",INDEX(COMP_AA_Deductible_Factor,,6),0)</f>
        <v>0</v>
      </c>
      <c r="I22" s="15"/>
    </row>
    <row r="23" spans="1:9" ht="12.75">
      <c r="A23" s="106"/>
      <c r="B23" s="102" t="s">
        <v>1088</v>
      </c>
      <c r="C23" s="102">
        <f>IF(INDEX(Fire_Coverage,,1)="Y",INDEX(Fire_Base_Rate,,1),0)</f>
        <v>0</v>
      </c>
      <c r="D23" s="102">
        <f>IF(INDEX(Fire_Coverage,,2)="Y",INDEX(Fire_Base_Rate,,2),0)</f>
        <v>0</v>
      </c>
      <c r="E23" s="102">
        <f>IF(INDEX(Fire_Coverage,,3)="Y",INDEX(Fire_Base_Rate,,3),0)</f>
        <v>0</v>
      </c>
      <c r="F23" s="102">
        <f>IF(INDEX(Fire_Coverage,,4)="Y",INDEX(Fire_Base_Rate,,4),0)</f>
        <v>0</v>
      </c>
      <c r="G23" s="102">
        <f>IF(INDEX(Fire_Coverage,,5)="Y",INDEX(Fire_Base_Rate,,5),0)</f>
        <v>0</v>
      </c>
      <c r="H23" s="102">
        <f>IF(INDEX(Fire_Coverage,,6)="Y",INDEX(Fire_Base_Rate,,6),0)</f>
        <v>0</v>
      </c>
      <c r="I23" s="1"/>
    </row>
    <row r="24" spans="1:9" ht="12.75">
      <c r="A24" s="106"/>
      <c r="B24" s="102" t="s">
        <v>1090</v>
      </c>
      <c r="C24" s="102">
        <f>IF(INDEX(Theft_Coverage,,1)="Y",INDEX(Theft_Base_Rate,,1),0)</f>
        <v>0</v>
      </c>
      <c r="D24" s="102">
        <f>IF(INDEX(Theft_Coverage,,2)="Y",INDEX(Theft_Base_Rate,,2),0)</f>
        <v>0</v>
      </c>
      <c r="E24" s="102">
        <f>IF(INDEX(Theft_Coverage,,3)="Y",INDEX(Theft_Base_Rate,,3),0)</f>
        <v>0</v>
      </c>
      <c r="F24" s="102">
        <f>IF(INDEX(Theft_Coverage,,4)="Y",INDEX(Theft_Base_Rate,,4),0)</f>
        <v>0</v>
      </c>
      <c r="G24" s="102">
        <f>IF(INDEX(Theft_Coverage,,5)="Y",INDEX(Theft_Base_Rate,,5),0)</f>
        <v>0</v>
      </c>
      <c r="H24" s="102">
        <f>IF(INDEX(Theft_Coverage,,6)="Y",INDEX(Theft_Base_Rate,,6),0)</f>
        <v>0</v>
      </c>
      <c r="I24" s="1"/>
    </row>
    <row r="25" spans="1:9" ht="12.75">
      <c r="A25" s="106"/>
      <c r="B25" s="102" t="s">
        <v>1092</v>
      </c>
      <c r="C25" s="102">
        <f>IF(INDEX(Combined_Additional_Coverage,,1)&lt;&gt;"",INDEX(CAC_Base_Rate,,1),0)</f>
        <v>0</v>
      </c>
      <c r="D25" s="102">
        <f>IF(INDEX(Combined_Additional_Coverage,,2)&lt;&gt;"",INDEX(CAC_Base_Rate,,2),0)</f>
        <v>0</v>
      </c>
      <c r="E25" s="102">
        <f>IF(INDEX(Combined_Additional_Coverage,,3)&lt;&gt;"",INDEX(CAC_Base_Rate,,3),0)</f>
        <v>0</v>
      </c>
      <c r="F25" s="102">
        <f>IF(INDEX(Combined_Additional_Coverage,,4)&lt;&gt;"",INDEX(CAC_Base_Rate,,4),0)</f>
        <v>0</v>
      </c>
      <c r="G25" s="102">
        <f>IF(INDEX(Combined_Additional_Coverage,,5)&lt;&gt;"",INDEX(CAC_Base_Rate,,5),0)</f>
        <v>0</v>
      </c>
      <c r="H25" s="102">
        <f>IF(INDEX(Combined_Additional_Coverage,,6)&lt;&gt;"",INDEX(CAC_Base_Rate,,6),0)</f>
        <v>0</v>
      </c>
      <c r="I25" s="1"/>
    </row>
    <row r="26" spans="1:9" ht="12.75" customHeight="1">
      <c r="A26" s="106"/>
      <c r="B26" s="102" t="s">
        <v>158</v>
      </c>
      <c r="C26" s="102">
        <f aca="true" t="shared" si="2" ref="C26:H26">SUM(C18:C25)</f>
        <v>0</v>
      </c>
      <c r="D26" s="102">
        <f t="shared" si="2"/>
        <v>0</v>
      </c>
      <c r="E26" s="102">
        <f t="shared" si="2"/>
        <v>0</v>
      </c>
      <c r="F26" s="102">
        <f t="shared" si="2"/>
        <v>0</v>
      </c>
      <c r="G26" s="102">
        <f t="shared" si="2"/>
        <v>0</v>
      </c>
      <c r="H26" s="102">
        <f t="shared" si="2"/>
        <v>0</v>
      </c>
      <c r="I26" s="1" t="s">
        <v>159</v>
      </c>
    </row>
    <row r="27" spans="1:9" ht="12.75">
      <c r="A27" s="102"/>
      <c r="B27" s="102"/>
      <c r="C27" s="102"/>
      <c r="D27" s="102"/>
      <c r="E27" s="102"/>
      <c r="F27" s="102"/>
      <c r="G27" s="102"/>
      <c r="H27" s="102"/>
      <c r="I27" s="1"/>
    </row>
    <row r="28" spans="1:9" ht="12.75">
      <c r="A28" s="102"/>
      <c r="B28" s="102" t="s">
        <v>160</v>
      </c>
      <c r="C28" s="102">
        <f aca="true" t="shared" si="3" ref="C28:H28">C26*C16</f>
        <v>0</v>
      </c>
      <c r="D28" s="102">
        <f t="shared" si="3"/>
        <v>0</v>
      </c>
      <c r="E28" s="102">
        <f t="shared" si="3"/>
        <v>0</v>
      </c>
      <c r="F28" s="102">
        <f t="shared" si="3"/>
        <v>0</v>
      </c>
      <c r="G28" s="102">
        <f t="shared" si="3"/>
        <v>0</v>
      </c>
      <c r="H28" s="102">
        <f t="shared" si="3"/>
        <v>0</v>
      </c>
      <c r="I28" s="1"/>
    </row>
    <row r="29" spans="1:9" ht="12.75">
      <c r="A29" s="102"/>
      <c r="B29" s="102"/>
      <c r="C29" s="102"/>
      <c r="D29" s="102"/>
      <c r="E29" s="102"/>
      <c r="F29" s="102"/>
      <c r="G29" s="102"/>
      <c r="H29" s="102"/>
      <c r="I29" s="1"/>
    </row>
    <row r="30" spans="1:9" s="102" customFormat="1" ht="12.75">
      <c r="A30" s="106"/>
      <c r="B30" s="102" t="s">
        <v>64</v>
      </c>
      <c r="C30" s="102">
        <f>IF(OR(INDEX(Vehicle_Type,,1)="MC",INDEX(Vehicle_Type,,1)="CMCMS"),1,0)</f>
        <v>0</v>
      </c>
      <c r="D30" s="102">
        <f>IF(OR(INDEX(Vehicle_Type,,2)="MC",INDEX(Vehicle_Type,,2)="CMCMS"),1,0)</f>
        <v>0</v>
      </c>
      <c r="E30" s="102">
        <f>IF(OR(INDEX(Vehicle_Type,,3)="MC",INDEX(Vehicle_Type,,3)="CMCMS"),1,0)</f>
        <v>0</v>
      </c>
      <c r="F30" s="102">
        <f>IF(OR(INDEX(Vehicle_Type,,4)="MC",INDEX(Vehicle_Type,,4)="CMCMS"),1,0)</f>
        <v>0</v>
      </c>
      <c r="G30" s="102">
        <f>IF(OR(INDEX(Vehicle_Type,,5)="MC",INDEX(Vehicle_Type,,5)="CMCMS"),1,0)</f>
        <v>0</v>
      </c>
      <c r="H30" s="102">
        <f>IF(OR(INDEX(Vehicle_Type,,6)="MC",INDEX(Vehicle_Type,,6)="CMCMS"),1,0)</f>
        <v>0</v>
      </c>
      <c r="I30" s="1"/>
    </row>
    <row r="31" spans="1:9" s="102" customFormat="1" ht="12.75">
      <c r="A31" s="106"/>
      <c r="B31" s="102" t="s">
        <v>65</v>
      </c>
      <c r="C31" s="102">
        <f>IF(INDEX(Vehicle_Type,,1)="GO",1,0)</f>
        <v>0</v>
      </c>
      <c r="D31" s="102">
        <f>IF(INDEX(Vehicle_Type,,2)="GO",1,0)</f>
        <v>0</v>
      </c>
      <c r="E31" s="102">
        <f>IF(INDEX(Vehicle_Type,,3)="GO",1,0)</f>
        <v>0</v>
      </c>
      <c r="F31" s="102">
        <f>IF(INDEX(Vehicle_Type,,4)="GO",1,0)</f>
        <v>0</v>
      </c>
      <c r="G31" s="102">
        <f>IF(INDEX(Vehicle_Type,,5)="GO",1,0)</f>
        <v>0</v>
      </c>
      <c r="H31" s="102">
        <f>IF(INDEX(Vehicle_Type,,6)="GO",1,0)</f>
        <v>0</v>
      </c>
      <c r="I31" s="1"/>
    </row>
    <row r="32" spans="1:9" s="102" customFormat="1" ht="12.75">
      <c r="A32" s="106"/>
      <c r="B32" s="102" t="s">
        <v>66</v>
      </c>
      <c r="C32" s="102">
        <f>IF(INDEX(Vehicle_Type,,1)="SNOWM",1,0)</f>
        <v>0</v>
      </c>
      <c r="D32" s="102">
        <f>IF(INDEX(Vehicle_Type,,2)="SNOWM",1,0)</f>
        <v>0</v>
      </c>
      <c r="E32" s="102">
        <f>IF(INDEX(Vehicle_Type,,3)="SNOWM",1,0)</f>
        <v>0</v>
      </c>
      <c r="F32" s="102">
        <f>IF(INDEX(Vehicle_Type,,4)="SNOWM",1,0)</f>
        <v>0</v>
      </c>
      <c r="G32" s="102">
        <f>IF(INDEX(Vehicle_Type,,5)="SNOWM",1,0)</f>
        <v>0</v>
      </c>
      <c r="H32" s="102">
        <f>IF(INDEX(Vehicle_Type,,6)="SNOWM",1,0)</f>
        <v>0</v>
      </c>
      <c r="I32" s="1"/>
    </row>
    <row r="33" spans="1:9" s="102" customFormat="1" ht="12.75">
      <c r="A33" s="106"/>
      <c r="B33" s="102" t="s">
        <v>67</v>
      </c>
      <c r="C33" s="102">
        <f>IF(INDEX(Vehicle_Type,,1)="ATV",1,0)</f>
        <v>0</v>
      </c>
      <c r="D33" s="102">
        <f>IF(INDEX(Vehicle_Type,,2)="ATV",1,0)</f>
        <v>0</v>
      </c>
      <c r="E33" s="102">
        <f>IF(INDEX(Vehicle_Type,,3)="ATV",1,0)</f>
        <v>0</v>
      </c>
      <c r="F33" s="102">
        <f>IF(INDEX(Vehicle_Type,,4)="ATV",1,0)</f>
        <v>0</v>
      </c>
      <c r="G33" s="102">
        <f>IF(INDEX(Vehicle_Type,,5)="ATV",1,0)</f>
        <v>0</v>
      </c>
      <c r="H33" s="102">
        <f>IF(INDEX(Vehicle_Type,,6)="ATV",1,0)</f>
        <v>0</v>
      </c>
      <c r="I33" s="1"/>
    </row>
    <row r="34" spans="1:9" s="102" customFormat="1" ht="12.75">
      <c r="A34" s="106"/>
      <c r="B34" s="102" t="s">
        <v>68</v>
      </c>
      <c r="C34" s="102">
        <f>IF(INDEX(Vehicle_Type,,1)="DB",1,0)</f>
        <v>0</v>
      </c>
      <c r="D34" s="102">
        <f>IF(INDEX(Vehicle_Type,,2)="DB",1,0)</f>
        <v>0</v>
      </c>
      <c r="E34" s="102">
        <f>IF(INDEX(Vehicle_Type,,3)="DB",1,0)</f>
        <v>0</v>
      </c>
      <c r="F34" s="102">
        <f>IF(INDEX(Vehicle_Type,,4)="DB",1,0)</f>
        <v>0</v>
      </c>
      <c r="G34" s="102">
        <f>IF(INDEX(Vehicle_Type,,5)="DB",1,0)</f>
        <v>0</v>
      </c>
      <c r="H34" s="102">
        <f>IF(INDEX(Vehicle_Type,,6)="DB",1,0)</f>
        <v>0</v>
      </c>
      <c r="I34" s="1"/>
    </row>
    <row r="35" spans="1:9" s="102" customFormat="1" ht="12.75">
      <c r="A35" s="106"/>
      <c r="B35" s="102" t="s">
        <v>69</v>
      </c>
      <c r="C35" s="102">
        <f>IF(INDEX(Vehicle_Type,,1)="GC",1,0)</f>
        <v>0</v>
      </c>
      <c r="D35" s="102">
        <f>IF(INDEX(Vehicle_Type,,2)="GC",1,0)</f>
        <v>0</v>
      </c>
      <c r="E35" s="102">
        <f>IF(INDEX(Vehicle_Type,,3)="GC",1,0)</f>
        <v>0</v>
      </c>
      <c r="F35" s="102">
        <f>IF(INDEX(Vehicle_Type,,4)="GC",1,0)</f>
        <v>0</v>
      </c>
      <c r="G35" s="102">
        <f>IF(INDEX(Vehicle_Type,,5)="GC",1,0)</f>
        <v>0</v>
      </c>
      <c r="H35" s="102">
        <f>IF(INDEX(Vehicle_Type,,6)="GC",1,0)</f>
        <v>0</v>
      </c>
      <c r="I35" s="1"/>
    </row>
    <row r="36" spans="1:9" s="102" customFormat="1" ht="12.75">
      <c r="A36" s="106"/>
      <c r="B36" s="102" t="s">
        <v>70</v>
      </c>
      <c r="C36" s="102">
        <f>IF(INDEX(Vehicle_Type,,1)="AA",1,0)</f>
        <v>0</v>
      </c>
      <c r="D36" s="102">
        <f>IF(INDEX(Vehicle_Type,,2)="AA",1,0)</f>
        <v>0</v>
      </c>
      <c r="E36" s="102">
        <f>IF(INDEX(Vehicle_Type,,3)="AA",1,0)</f>
        <v>0</v>
      </c>
      <c r="F36" s="102">
        <f>IF(INDEX(Vehicle_Type,,4)="AA",1,0)</f>
        <v>0</v>
      </c>
      <c r="G36" s="102">
        <f>IF(INDEX(Vehicle_Type,,5)="AA",1,0)</f>
        <v>0</v>
      </c>
      <c r="H36" s="102">
        <f>IF(INDEX(Vehicle_Type,,6)="AA",1,0)</f>
        <v>0</v>
      </c>
      <c r="I36" s="1"/>
    </row>
    <row r="37" spans="1:9" ht="12.75">
      <c r="A37" s="102"/>
      <c r="B37" s="102"/>
      <c r="C37" s="102"/>
      <c r="D37" s="102"/>
      <c r="E37" s="102"/>
      <c r="F37" s="102"/>
      <c r="G37" s="102"/>
      <c r="H37" s="102"/>
      <c r="I37" s="1"/>
    </row>
    <row r="38" spans="1:9" s="102" customFormat="1" ht="12.75">
      <c r="A38" s="106"/>
      <c r="B38" s="102" t="s">
        <v>161</v>
      </c>
      <c r="C38" s="102">
        <f aca="true" t="shared" si="4" ref="C38:H38">IF(OR(ISERROR(C28),C28&lt;=0,C30=0),0,Expense_Fees_MC_COMP)</f>
        <v>0</v>
      </c>
      <c r="D38" s="102">
        <f t="shared" si="4"/>
        <v>0</v>
      </c>
      <c r="E38" s="102">
        <f t="shared" si="4"/>
        <v>0</v>
      </c>
      <c r="F38" s="102">
        <f t="shared" si="4"/>
        <v>0</v>
      </c>
      <c r="G38" s="102">
        <f t="shared" si="4"/>
        <v>0</v>
      </c>
      <c r="H38" s="102">
        <f t="shared" si="4"/>
        <v>0</v>
      </c>
      <c r="I38" s="1"/>
    </row>
    <row r="39" spans="1:9" s="102" customFormat="1" ht="12.75" customHeight="1">
      <c r="A39" s="106"/>
      <c r="B39" s="102" t="s">
        <v>162</v>
      </c>
      <c r="C39" s="102">
        <f aca="true" t="shared" si="5" ref="C39:H39">IF(OR(ISERROR(C28),C28&lt;=0,C31=0),0,Expense_Fees_MC_COMP)</f>
        <v>0</v>
      </c>
      <c r="D39" s="102">
        <f t="shared" si="5"/>
        <v>0</v>
      </c>
      <c r="E39" s="102">
        <f t="shared" si="5"/>
        <v>0</v>
      </c>
      <c r="F39" s="102">
        <f t="shared" si="5"/>
        <v>0</v>
      </c>
      <c r="G39" s="102">
        <f t="shared" si="5"/>
        <v>0</v>
      </c>
      <c r="H39" s="102">
        <f t="shared" si="5"/>
        <v>0</v>
      </c>
      <c r="I39" s="1" t="s">
        <v>73</v>
      </c>
    </row>
    <row r="40" spans="1:9" s="102" customFormat="1" ht="12.75" customHeight="1">
      <c r="A40" s="106"/>
      <c r="B40" s="102" t="s">
        <v>163</v>
      </c>
      <c r="C40" s="102">
        <f aca="true" t="shared" si="6" ref="C40:H40">IF(OR(ISERROR(C28),C28&lt;=0,C32=0),0,Expense_Fees_MC_COMP)</f>
        <v>0</v>
      </c>
      <c r="D40" s="102">
        <f t="shared" si="6"/>
        <v>0</v>
      </c>
      <c r="E40" s="102">
        <f t="shared" si="6"/>
        <v>0</v>
      </c>
      <c r="F40" s="102">
        <f t="shared" si="6"/>
        <v>0</v>
      </c>
      <c r="G40" s="102">
        <f t="shared" si="6"/>
        <v>0</v>
      </c>
      <c r="H40" s="102">
        <f t="shared" si="6"/>
        <v>0</v>
      </c>
      <c r="I40" s="1" t="s">
        <v>73</v>
      </c>
    </row>
    <row r="41" spans="1:9" s="102" customFormat="1" ht="12.75" customHeight="1">
      <c r="A41" s="106"/>
      <c r="B41" s="102" t="s">
        <v>164</v>
      </c>
      <c r="C41" s="102">
        <f aca="true" t="shared" si="7" ref="C41:H41">IF(OR(ISERROR(C28),C28&lt;=0,C33=0),0,Expense_Fees_MC_COMP)</f>
        <v>0</v>
      </c>
      <c r="D41" s="102">
        <f t="shared" si="7"/>
        <v>0</v>
      </c>
      <c r="E41" s="102">
        <f t="shared" si="7"/>
        <v>0</v>
      </c>
      <c r="F41" s="102">
        <f t="shared" si="7"/>
        <v>0</v>
      </c>
      <c r="G41" s="102">
        <f t="shared" si="7"/>
        <v>0</v>
      </c>
      <c r="H41" s="102">
        <f t="shared" si="7"/>
        <v>0</v>
      </c>
      <c r="I41" s="1" t="s">
        <v>73</v>
      </c>
    </row>
    <row r="42" spans="1:9" s="102" customFormat="1" ht="12.75" customHeight="1">
      <c r="A42" s="106"/>
      <c r="B42" s="102" t="s">
        <v>165</v>
      </c>
      <c r="C42" s="102">
        <f aca="true" t="shared" si="8" ref="C42:H42">IF(OR(ISERROR(C28),C28&lt;=0,C34=0),0,Expense_Fees_MC_COMP)</f>
        <v>0</v>
      </c>
      <c r="D42" s="102">
        <f t="shared" si="8"/>
        <v>0</v>
      </c>
      <c r="E42" s="102">
        <f t="shared" si="8"/>
        <v>0</v>
      </c>
      <c r="F42" s="102">
        <f t="shared" si="8"/>
        <v>0</v>
      </c>
      <c r="G42" s="102">
        <f t="shared" si="8"/>
        <v>0</v>
      </c>
      <c r="H42" s="102">
        <f t="shared" si="8"/>
        <v>0</v>
      </c>
      <c r="I42" s="1" t="s">
        <v>73</v>
      </c>
    </row>
    <row r="43" spans="1:9" s="102" customFormat="1" ht="12.75" customHeight="1">
      <c r="A43" s="106"/>
      <c r="B43" s="102" t="s">
        <v>166</v>
      </c>
      <c r="C43" s="102">
        <f aca="true" t="shared" si="9" ref="C43:H43">IF(OR(ISERROR(C28),C28&lt;=0,C35=0),0,Expense_Fees_MC_COMP)</f>
        <v>0</v>
      </c>
      <c r="D43" s="102">
        <f t="shared" si="9"/>
        <v>0</v>
      </c>
      <c r="E43" s="102">
        <f t="shared" si="9"/>
        <v>0</v>
      </c>
      <c r="F43" s="102">
        <f t="shared" si="9"/>
        <v>0</v>
      </c>
      <c r="G43" s="102">
        <f t="shared" si="9"/>
        <v>0</v>
      </c>
      <c r="H43" s="102">
        <f t="shared" si="9"/>
        <v>0</v>
      </c>
      <c r="I43" s="1" t="s">
        <v>73</v>
      </c>
    </row>
    <row r="44" spans="1:9" s="102" customFormat="1" ht="12.75" customHeight="1">
      <c r="A44" s="106"/>
      <c r="B44" s="102" t="s">
        <v>167</v>
      </c>
      <c r="C44" s="102">
        <f aca="true" t="shared" si="10" ref="C44:H44">IF(OR(ISERROR(C28),C28&lt;=0,C36=0),0,Expense_Fees_MC_COMP)</f>
        <v>0</v>
      </c>
      <c r="D44" s="102">
        <f t="shared" si="10"/>
        <v>0</v>
      </c>
      <c r="E44" s="102">
        <f t="shared" si="10"/>
        <v>0</v>
      </c>
      <c r="F44" s="102">
        <f t="shared" si="10"/>
        <v>0</v>
      </c>
      <c r="G44" s="102">
        <f t="shared" si="10"/>
        <v>0</v>
      </c>
      <c r="H44" s="102">
        <f t="shared" si="10"/>
        <v>0</v>
      </c>
      <c r="I44" s="1" t="s">
        <v>73</v>
      </c>
    </row>
    <row r="45" spans="1:9" s="102" customFormat="1" ht="12.75">
      <c r="A45" s="106"/>
      <c r="B45" s="102" t="s">
        <v>79</v>
      </c>
      <c r="C45" s="102">
        <f aca="true" t="shared" si="11" ref="C45:H45">SUM(C38:C44)</f>
        <v>0</v>
      </c>
      <c r="D45" s="102">
        <f t="shared" si="11"/>
        <v>0</v>
      </c>
      <c r="E45" s="102">
        <f t="shared" si="11"/>
        <v>0</v>
      </c>
      <c r="F45" s="102">
        <f t="shared" si="11"/>
        <v>0</v>
      </c>
      <c r="G45" s="102">
        <f t="shared" si="11"/>
        <v>0</v>
      </c>
      <c r="H45" s="102">
        <f t="shared" si="11"/>
        <v>0</v>
      </c>
      <c r="I45" s="1"/>
    </row>
    <row r="46" spans="1:9" s="102" customFormat="1" ht="12.75">
      <c r="A46" s="106"/>
      <c r="B46" s="102" t="s">
        <v>1246</v>
      </c>
      <c r="C46" s="110">
        <f aca="true" t="shared" si="12" ref="C46:H46">C28+C45</f>
        <v>0</v>
      </c>
      <c r="D46" s="110">
        <f t="shared" si="12"/>
        <v>0</v>
      </c>
      <c r="E46" s="110">
        <f t="shared" si="12"/>
        <v>0</v>
      </c>
      <c r="F46" s="110">
        <f t="shared" si="12"/>
        <v>0</v>
      </c>
      <c r="G46" s="110">
        <f t="shared" si="12"/>
        <v>0</v>
      </c>
      <c r="H46" s="110">
        <f t="shared" si="12"/>
        <v>0</v>
      </c>
      <c r="I46" s="1"/>
    </row>
    <row r="47" spans="1:9" s="102" customFormat="1" ht="12.75" customHeight="1">
      <c r="A47" s="106"/>
      <c r="I47" s="1"/>
    </row>
    <row r="48" spans="1:9" s="102" customFormat="1" ht="12.75">
      <c r="A48" s="106" t="s">
        <v>1254</v>
      </c>
      <c r="B48" s="102" t="s">
        <v>1255</v>
      </c>
      <c r="C48" s="102">
        <f>C46-(C46*Valued_Customer_Discount_Factor)</f>
        <v>0</v>
      </c>
      <c r="D48" s="102">
        <f>D28-(D28*Valued_Customer_Discount_Factor)</f>
        <v>0</v>
      </c>
      <c r="E48" s="102">
        <f>E28-(E28*Valued_Customer_Discount_Factor)</f>
        <v>0</v>
      </c>
      <c r="F48" s="102">
        <f>F28-(F28*Valued_Customer_Discount_Factor)</f>
        <v>0</v>
      </c>
      <c r="G48" s="102">
        <f>G28-(G28*Valued_Customer_Discount_Factor)</f>
        <v>0</v>
      </c>
      <c r="H48" s="102">
        <f>H28-(H28*Valued_Customer_Discount_Factor)</f>
        <v>0</v>
      </c>
      <c r="I48" s="1"/>
    </row>
    <row r="49" spans="1:9" s="102" customFormat="1" ht="12.75">
      <c r="A49" s="106"/>
      <c r="B49" s="102" t="s">
        <v>1257</v>
      </c>
      <c r="C49" s="102">
        <f aca="true" t="shared" si="13" ref="C49:H49">C48*Policy_Period_Factor</f>
        <v>0</v>
      </c>
      <c r="D49" s="102">
        <f t="shared" si="13"/>
        <v>0</v>
      </c>
      <c r="E49" s="102">
        <f t="shared" si="13"/>
        <v>0</v>
      </c>
      <c r="F49" s="102">
        <f t="shared" si="13"/>
        <v>0</v>
      </c>
      <c r="G49" s="102">
        <f t="shared" si="13"/>
        <v>0</v>
      </c>
      <c r="H49" s="102">
        <f t="shared" si="13"/>
        <v>0</v>
      </c>
      <c r="I49" s="1"/>
    </row>
    <row r="50" spans="1:9" s="102" customFormat="1" ht="12.75">
      <c r="A50" s="106"/>
      <c r="B50" s="102" t="s">
        <v>1258</v>
      </c>
      <c r="C50" s="102">
        <f aca="true" t="shared" si="14" ref="C50:H50">C49-(C49*Fampak_Discount_Factor)</f>
        <v>0</v>
      </c>
      <c r="D50" s="102">
        <f t="shared" si="14"/>
        <v>0</v>
      </c>
      <c r="E50" s="102">
        <f t="shared" si="14"/>
        <v>0</v>
      </c>
      <c r="F50" s="102">
        <f t="shared" si="14"/>
        <v>0</v>
      </c>
      <c r="G50" s="102">
        <f t="shared" si="14"/>
        <v>0</v>
      </c>
      <c r="H50" s="102">
        <f t="shared" si="14"/>
        <v>0</v>
      </c>
      <c r="I50" s="1"/>
    </row>
    <row r="51" spans="1:9" s="102" customFormat="1" ht="12.75">
      <c r="A51" s="106"/>
      <c r="B51" s="112" t="s">
        <v>1259</v>
      </c>
      <c r="C51" s="102">
        <f aca="true" t="shared" si="15" ref="C51:H51">C50-(C50*Prime_Life_Discount_Factor)</f>
        <v>0</v>
      </c>
      <c r="D51" s="102">
        <f t="shared" si="15"/>
        <v>0</v>
      </c>
      <c r="E51" s="102">
        <f t="shared" si="15"/>
        <v>0</v>
      </c>
      <c r="F51" s="102">
        <f t="shared" si="15"/>
        <v>0</v>
      </c>
      <c r="G51" s="102">
        <f t="shared" si="15"/>
        <v>0</v>
      </c>
      <c r="H51" s="102">
        <f t="shared" si="15"/>
        <v>0</v>
      </c>
      <c r="I51" s="1"/>
    </row>
    <row r="52" spans="1:9" s="102" customFormat="1" ht="12.75">
      <c r="A52" s="106" t="s">
        <v>1265</v>
      </c>
      <c r="B52" s="112" t="s">
        <v>1266</v>
      </c>
      <c r="C52" s="102">
        <f aca="true" t="shared" si="16" ref="C52:H52">C51</f>
        <v>0</v>
      </c>
      <c r="D52" s="102">
        <f t="shared" si="16"/>
        <v>0</v>
      </c>
      <c r="E52" s="102">
        <f t="shared" si="16"/>
        <v>0</v>
      </c>
      <c r="F52" s="102">
        <f t="shared" si="16"/>
        <v>0</v>
      </c>
      <c r="G52" s="102">
        <f t="shared" si="16"/>
        <v>0</v>
      </c>
      <c r="H52" s="102">
        <f t="shared" si="16"/>
        <v>0</v>
      </c>
      <c r="I52" s="1"/>
    </row>
    <row r="53" s="102" customFormat="1" ht="12.75">
      <c r="I53" s="1"/>
    </row>
    <row r="54" spans="1:9" s="102" customFormat="1" ht="12.75">
      <c r="A54" s="106" t="s">
        <v>1270</v>
      </c>
      <c r="B54" s="106" t="s">
        <v>168</v>
      </c>
      <c r="C54" s="119">
        <f aca="true" t="shared" si="17" ref="C54:H54">IF(OR(ISERROR(C52),C52&lt;=0,C30=0),0,ROUND(C52,0))</f>
        <v>0</v>
      </c>
      <c r="D54" s="119">
        <f t="shared" si="17"/>
        <v>0</v>
      </c>
      <c r="E54" s="119">
        <f t="shared" si="17"/>
        <v>0</v>
      </c>
      <c r="F54" s="119">
        <f t="shared" si="17"/>
        <v>0</v>
      </c>
      <c r="G54" s="119">
        <f t="shared" si="17"/>
        <v>0</v>
      </c>
      <c r="H54" s="119">
        <f t="shared" si="17"/>
        <v>0</v>
      </c>
      <c r="I54" s="1"/>
    </row>
    <row r="55" spans="2:8" ht="12.75">
      <c r="B55" s="106" t="s">
        <v>169</v>
      </c>
      <c r="C55" s="119">
        <f aca="true" t="shared" si="18" ref="C55:H55">IF(OR(ISERROR(C52),C52&lt;=0,C31=0),0,ROUND(C52,0))</f>
        <v>0</v>
      </c>
      <c r="D55" s="119">
        <f t="shared" si="18"/>
        <v>0</v>
      </c>
      <c r="E55" s="119">
        <f t="shared" si="18"/>
        <v>0</v>
      </c>
      <c r="F55" s="119">
        <f t="shared" si="18"/>
        <v>0</v>
      </c>
      <c r="G55" s="119">
        <f t="shared" si="18"/>
        <v>0</v>
      </c>
      <c r="H55" s="119">
        <f t="shared" si="18"/>
        <v>0</v>
      </c>
    </row>
    <row r="56" spans="2:8" ht="12.75">
      <c r="B56" s="106" t="s">
        <v>170</v>
      </c>
      <c r="C56" s="119">
        <f aca="true" t="shared" si="19" ref="C56:H56">IF(OR(ISERROR(C52),C52&lt;=0,C32=0),0,ROUND(C52,0))</f>
        <v>0</v>
      </c>
      <c r="D56" s="119">
        <f t="shared" si="19"/>
        <v>0</v>
      </c>
      <c r="E56" s="119">
        <f t="shared" si="19"/>
        <v>0</v>
      </c>
      <c r="F56" s="119">
        <f t="shared" si="19"/>
        <v>0</v>
      </c>
      <c r="G56" s="119">
        <f t="shared" si="19"/>
        <v>0</v>
      </c>
      <c r="H56" s="119">
        <f t="shared" si="19"/>
        <v>0</v>
      </c>
    </row>
    <row r="57" spans="2:8" ht="12.75">
      <c r="B57" s="106" t="s">
        <v>171</v>
      </c>
      <c r="C57" s="119">
        <f aca="true" t="shared" si="20" ref="C57:H57">IF(OR(ISERROR(C52),C52&lt;=0,C33=0),0,ROUND(C52,0))</f>
        <v>0</v>
      </c>
      <c r="D57" s="119">
        <f t="shared" si="20"/>
        <v>0</v>
      </c>
      <c r="E57" s="119">
        <f t="shared" si="20"/>
        <v>0</v>
      </c>
      <c r="F57" s="119">
        <f t="shared" si="20"/>
        <v>0</v>
      </c>
      <c r="G57" s="119">
        <f t="shared" si="20"/>
        <v>0</v>
      </c>
      <c r="H57" s="119">
        <f t="shared" si="20"/>
        <v>0</v>
      </c>
    </row>
    <row r="58" spans="2:8" ht="12.75">
      <c r="B58" s="106" t="s">
        <v>172</v>
      </c>
      <c r="C58" s="119">
        <f aca="true" t="shared" si="21" ref="C58:H58">IF(OR(ISERROR(C52),C52&lt;=0,C34=0),0,ROUND(C52,0))</f>
        <v>0</v>
      </c>
      <c r="D58" s="119">
        <f t="shared" si="21"/>
        <v>0</v>
      </c>
      <c r="E58" s="119">
        <f t="shared" si="21"/>
        <v>0</v>
      </c>
      <c r="F58" s="119">
        <f t="shared" si="21"/>
        <v>0</v>
      </c>
      <c r="G58" s="119">
        <f t="shared" si="21"/>
        <v>0</v>
      </c>
      <c r="H58" s="119">
        <f t="shared" si="21"/>
        <v>0</v>
      </c>
    </row>
    <row r="59" spans="2:8" ht="12.75">
      <c r="B59" s="106" t="s">
        <v>173</v>
      </c>
      <c r="C59" s="119">
        <f aca="true" t="shared" si="22" ref="C59:H59">IF(OR(ISERROR(C52),C52&lt;=0,C35=0),0,ROUND(C52,0))</f>
        <v>0</v>
      </c>
      <c r="D59" s="119">
        <f t="shared" si="22"/>
        <v>0</v>
      </c>
      <c r="E59" s="119">
        <f t="shared" si="22"/>
        <v>0</v>
      </c>
      <c r="F59" s="119">
        <f t="shared" si="22"/>
        <v>0</v>
      </c>
      <c r="G59" s="119">
        <f t="shared" si="22"/>
        <v>0</v>
      </c>
      <c r="H59" s="119">
        <f t="shared" si="22"/>
        <v>0</v>
      </c>
    </row>
    <row r="60" spans="2:8" ht="12.75">
      <c r="B60" s="106" t="s">
        <v>174</v>
      </c>
      <c r="C60" s="119">
        <f aca="true" t="shared" si="23" ref="C60:H60">IF(OR(ISERROR(C52),C52&lt;=0,C36=0),0,ROUND(C52,0))</f>
        <v>0</v>
      </c>
      <c r="D60" s="119">
        <f t="shared" si="23"/>
        <v>0</v>
      </c>
      <c r="E60" s="119">
        <f t="shared" si="23"/>
        <v>0</v>
      </c>
      <c r="F60" s="119">
        <f t="shared" si="23"/>
        <v>0</v>
      </c>
      <c r="G60" s="119">
        <f t="shared" si="23"/>
        <v>0</v>
      </c>
      <c r="H60" s="119">
        <f t="shared" si="23"/>
        <v>0</v>
      </c>
    </row>
  </sheetData>
  <printOptions/>
  <pageMargins left="0.75" right="0.75" top="1" bottom="1" header="0.5" footer="0.5"/>
  <pageSetup horizontalDpi="200" verticalDpi="2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1:IV69"/>
  <sheetViews>
    <sheetView zoomScale="75" zoomScaleNormal="75" workbookViewId="0" topLeftCell="A1">
      <selection activeCell="K25" sqref="K25"/>
    </sheetView>
  </sheetViews>
  <sheetFormatPr defaultColWidth="9.140625" defaultRowHeight="12.75"/>
  <cols>
    <col min="2" max="2" width="35.57421875" style="0" customWidth="1"/>
    <col min="9" max="9" width="18.28125" style="0" customWidth="1"/>
  </cols>
  <sheetData>
    <row r="1" spans="1:9" ht="20.25" customHeight="1">
      <c r="A1" s="103"/>
      <c r="B1" s="104" t="s">
        <v>175</v>
      </c>
      <c r="C1" s="103"/>
      <c r="D1" s="103"/>
      <c r="E1" s="103"/>
      <c r="F1" s="102"/>
      <c r="G1" s="102"/>
      <c r="H1" s="102"/>
      <c r="I1" s="1"/>
    </row>
    <row r="3" spans="1:9" ht="12.75">
      <c r="A3" s="106" t="s">
        <v>1206</v>
      </c>
      <c r="B3" s="106" t="s">
        <v>1207</v>
      </c>
      <c r="C3" s="106" t="s">
        <v>428</v>
      </c>
      <c r="D3" s="106" t="s">
        <v>429</v>
      </c>
      <c r="E3" s="106" t="s">
        <v>430</v>
      </c>
      <c r="F3" s="106" t="s">
        <v>431</v>
      </c>
      <c r="G3" s="106" t="s">
        <v>432</v>
      </c>
      <c r="H3" s="106" t="s">
        <v>433</v>
      </c>
      <c r="I3" s="6" t="s">
        <v>229</v>
      </c>
    </row>
    <row r="4" spans="1:9" ht="12.75">
      <c r="A4" s="106"/>
      <c r="B4" s="106"/>
      <c r="C4" s="106"/>
      <c r="D4" s="106"/>
      <c r="E4" s="106"/>
      <c r="F4" s="106"/>
      <c r="G4" s="106"/>
      <c r="H4" s="106"/>
      <c r="I4" s="6"/>
    </row>
    <row r="5" spans="1:9" ht="12.75">
      <c r="A5" s="106" t="s">
        <v>1208</v>
      </c>
      <c r="B5" s="102" t="s">
        <v>1209</v>
      </c>
      <c r="C5" s="102">
        <f>INDEX(COLL_Base_Rate,1,1)</f>
        <v>0</v>
      </c>
      <c r="D5" s="102">
        <f>INDEX(COLL_Base_Rate,1,2)</f>
        <v>0</v>
      </c>
      <c r="E5" s="102">
        <f>INDEX(COLL_Base_Rate,1,3)</f>
        <v>0</v>
      </c>
      <c r="F5" s="102">
        <f>INDEX(COLL_Base_Rate,1,4)</f>
        <v>0</v>
      </c>
      <c r="G5" s="102">
        <f>INDEX(COLL_Base_Rate,1,5)</f>
        <v>0</v>
      </c>
      <c r="H5" s="102">
        <f>INDEX(COLL_Base_Rate,1,6)</f>
        <v>0</v>
      </c>
      <c r="I5" s="1"/>
    </row>
    <row r="6" spans="1:9" ht="12.75">
      <c r="A6" s="106"/>
      <c r="B6" s="102"/>
      <c r="C6" s="102"/>
      <c r="D6" s="102"/>
      <c r="E6" s="102"/>
      <c r="F6" s="102"/>
      <c r="G6" s="102"/>
      <c r="H6" s="102"/>
      <c r="I6" s="1"/>
    </row>
    <row r="7" spans="1:9" ht="12.75">
      <c r="A7" s="106" t="s">
        <v>1218</v>
      </c>
      <c r="B7" s="102" t="s">
        <v>1353</v>
      </c>
      <c r="C7" s="102">
        <f>INDEX(COLL_Vehicle_Symbol_Factor,,1)</f>
        <v>0</v>
      </c>
      <c r="D7" s="102">
        <f>INDEX(COLL_Vehicle_Symbol_Factor,,2)</f>
        <v>0</v>
      </c>
      <c r="E7" s="102">
        <f>INDEX(COLL_Vehicle_Symbol_Factor,,3)</f>
        <v>0</v>
      </c>
      <c r="F7" s="102">
        <f>INDEX(COLL_Vehicle_Symbol_Factor,,4)</f>
        <v>0</v>
      </c>
      <c r="G7" s="102">
        <f>INDEX(COLL_Vehicle_Symbol_Factor,,5)</f>
        <v>0</v>
      </c>
      <c r="H7" s="102">
        <f>INDEX(COLL_Vehicle_Symbol_Factor,,6)</f>
        <v>0</v>
      </c>
      <c r="I7" s="1"/>
    </row>
    <row r="8" spans="1:9" ht="12.75">
      <c r="A8" s="102"/>
      <c r="B8" s="109"/>
      <c r="C8" s="102"/>
      <c r="D8" s="102"/>
      <c r="E8" s="102"/>
      <c r="F8" s="102"/>
      <c r="G8" s="102"/>
      <c r="H8" s="102"/>
      <c r="I8" s="1"/>
    </row>
    <row r="9" spans="1:9" ht="12.75">
      <c r="A9" s="106" t="s">
        <v>1354</v>
      </c>
      <c r="B9" s="102" t="s">
        <v>1355</v>
      </c>
      <c r="C9" s="102">
        <f>INDEX(COLL_Age_Factor,,1)</f>
        <v>0</v>
      </c>
      <c r="D9" s="102">
        <f>INDEX(COLL_Age_Factor,,2)</f>
        <v>0</v>
      </c>
      <c r="E9" s="102">
        <f>INDEX(COLL_Age_Factor,,3)</f>
        <v>0</v>
      </c>
      <c r="F9" s="102">
        <f>INDEX(COLL_Age_Factor,,4)</f>
        <v>0</v>
      </c>
      <c r="G9" s="102">
        <f>INDEX(COLL_Age_Factor,,5)</f>
        <v>0</v>
      </c>
      <c r="H9" s="102">
        <f>INDEX(COLL_Age_Factor,,6)</f>
        <v>0</v>
      </c>
      <c r="I9" s="1"/>
    </row>
    <row r="10" spans="1:9" s="102" customFormat="1" ht="12.75">
      <c r="A10" s="106"/>
      <c r="B10" s="107"/>
      <c r="I10" s="1"/>
    </row>
    <row r="11" spans="1:9" ht="12.75">
      <c r="A11" s="106" t="s">
        <v>1360</v>
      </c>
      <c r="B11" s="102" t="s">
        <v>148</v>
      </c>
      <c r="C11" s="102">
        <f aca="true" t="shared" si="0" ref="C11:H11">(C5*C7*C9*IF(Insured_State="NC",Company_Deviation_Factor_NC,Company_Deviation_Factor_COLL))</f>
        <v>0</v>
      </c>
      <c r="D11" s="102">
        <f t="shared" si="0"/>
        <v>0</v>
      </c>
      <c r="E11" s="102">
        <f t="shared" si="0"/>
        <v>0</v>
      </c>
      <c r="F11" s="102">
        <f t="shared" si="0"/>
        <v>0</v>
      </c>
      <c r="G11" s="102">
        <f t="shared" si="0"/>
        <v>0</v>
      </c>
      <c r="H11" s="102">
        <f t="shared" si="0"/>
        <v>0</v>
      </c>
      <c r="I11" s="1"/>
    </row>
    <row r="12" spans="1:9" ht="12.75">
      <c r="A12" s="106"/>
      <c r="B12" s="102"/>
      <c r="C12" s="102"/>
      <c r="D12" s="102"/>
      <c r="E12" s="102"/>
      <c r="F12" s="102"/>
      <c r="G12" s="102"/>
      <c r="H12" s="102"/>
      <c r="I12" s="1"/>
    </row>
    <row r="13" spans="1:9" ht="12.75">
      <c r="A13" s="106" t="s">
        <v>1214</v>
      </c>
      <c r="B13" s="102" t="s">
        <v>149</v>
      </c>
      <c r="C13" s="102">
        <f>IF(OR(INDEX(Vehicle_Type,,1)="MC",INDEX(Vehicle_Type,,1)="CMCMS",INDEX(Vehicle_Type,,1)="GO"),INDEX(COLL_MotorCycle_Symbol_Factor,,1),0)</f>
        <v>0</v>
      </c>
      <c r="D13" s="102">
        <f>IF(OR(INDEX(Vehicle_Type,,2)="MC",INDEX(Vehicle_Type,,2)="CMCMS",INDEX(Vehicle_Type,,2)="GO"),INDEX(COLL_MotorCycle_Symbol_Factor,,2),0)</f>
        <v>0</v>
      </c>
      <c r="E13" s="102">
        <f>IF(OR(INDEX(Vehicle_Type,,3)="MC",INDEX(Vehicle_Type,,3)="CMCMS",INDEX(Vehicle_Type,,3)="GO"),INDEX(COLL_MotorCycle_Symbol_Factor,,3),0)</f>
        <v>0</v>
      </c>
      <c r="F13" s="102">
        <f>IF(OR(INDEX(Vehicle_Type,,4)="MC",INDEX(Vehicle_Type,,4)="CMCMS",INDEX(Vehicle_Type,,4)="GO"),INDEX(COLL_MotorCycle_Symbol_Factor,,4),0)</f>
        <v>0</v>
      </c>
      <c r="G13" s="102">
        <f>IF(OR(INDEX(Vehicle_Type,,5)="MC",INDEX(Vehicle_Type,,5)="CMCMS",INDEX(Vehicle_Type,,5)="GO"),INDEX(COLL_MotorCycle_Symbol_Factor,,5),0)</f>
        <v>0</v>
      </c>
      <c r="H13" s="102">
        <f>IF(OR(INDEX(Vehicle_Type,,6)="MC",INDEX(Vehicle_Type,,6)="CMCMS",INDEX(Vehicle_Type,,6)="GO"),INDEX(COLL_MotorCycle_Symbol_Factor,,6),0)</f>
        <v>0</v>
      </c>
      <c r="I13" s="1"/>
    </row>
    <row r="14" spans="1:9" ht="12.75">
      <c r="A14" s="106"/>
      <c r="B14" s="102" t="s">
        <v>176</v>
      </c>
      <c r="C14" s="112">
        <f>IF(INDEX(Vehicle_Type,,1)="CMCMS",0.75,1)</f>
        <v>1</v>
      </c>
      <c r="D14" s="112">
        <f>IF(INDEX(Vehicle_Type,,2)="CMCMS",0.75,1)</f>
        <v>1</v>
      </c>
      <c r="E14" s="112">
        <f>IF(INDEX(Vehicle_Type,,3)="CMCMS",0.75,1)</f>
        <v>1</v>
      </c>
      <c r="F14" s="112">
        <f>IF(INDEX(Vehicle_Type,,4)="CMCMS",0.75,1)</f>
        <v>1</v>
      </c>
      <c r="G14" s="112">
        <f>IF(INDEX(Vehicle_Type,,5)="CMCMS",0.75,1)</f>
        <v>1</v>
      </c>
      <c r="H14" s="112">
        <f>IF(INDEX(Vehicle_Type,,6)="CMCMS",0.75,1)</f>
        <v>1</v>
      </c>
      <c r="I14" s="1"/>
    </row>
    <row r="15" spans="1:9" ht="12.75">
      <c r="A15" s="106"/>
      <c r="B15" s="102" t="s">
        <v>150</v>
      </c>
      <c r="C15" s="102">
        <f aca="true" t="shared" si="1" ref="C15:H15">IF((C13*C14)&lt;=0,1,(C13*C14))</f>
        <v>1</v>
      </c>
      <c r="D15" s="102">
        <f t="shared" si="1"/>
        <v>1</v>
      </c>
      <c r="E15" s="102">
        <f t="shared" si="1"/>
        <v>1</v>
      </c>
      <c r="F15" s="102">
        <f t="shared" si="1"/>
        <v>1</v>
      </c>
      <c r="G15" s="102">
        <f t="shared" si="1"/>
        <v>1</v>
      </c>
      <c r="H15" s="102">
        <f t="shared" si="1"/>
        <v>1</v>
      </c>
      <c r="I15" s="1"/>
    </row>
    <row r="16" spans="1:9" ht="12.75">
      <c r="A16" s="106"/>
      <c r="B16" s="102"/>
      <c r="C16" s="102"/>
      <c r="D16" s="102"/>
      <c r="E16" s="102"/>
      <c r="F16" s="102"/>
      <c r="G16" s="102"/>
      <c r="H16" s="102"/>
      <c r="I16" s="1"/>
    </row>
    <row r="17" spans="1:9" ht="12.75" customHeight="1">
      <c r="A17" s="106" t="s">
        <v>1229</v>
      </c>
      <c r="B17" s="102" t="s">
        <v>151</v>
      </c>
      <c r="C17" s="102">
        <f>IF(OR(INDEX(Vehicle_Type,,1)="MC",INDEX(Vehicle_Type,,1)="CMCMS",INDEX(Vehicle_Type,,1)="GO"),C11*C15,IF(ISERROR(INDEX(Original_Cost_New,,1)*1),0,INDEX(Original_Cost_New,,1)))</f>
        <v>0</v>
      </c>
      <c r="D17" s="102">
        <f>IF(OR(INDEX(Vehicle_Type,,2)="MC",INDEX(Vehicle_Type,,2)="CMCMS",INDEX(Vehicle_Type,,2)="GO"),D11*D15,IF(ISERROR(INDEX(Original_Cost_New,,2)*1),0,INDEX(Original_Cost_New,,2)))</f>
        <v>0</v>
      </c>
      <c r="E17" s="102">
        <f>IF(OR(INDEX(Vehicle_Type,,3)="MC",INDEX(Vehicle_Type,,3)="CMCMS",INDEX(Vehicle_Type,,3)="GO"),E11*E15,IF(ISERROR(INDEX(Original_Cost_New,,3)*1),0,INDEX(Original_Cost_New,,3)))</f>
        <v>0</v>
      </c>
      <c r="F17" s="102">
        <f>IF(OR(INDEX(Vehicle_Type,,4)="MC",INDEX(Vehicle_Type,,4)="CMCMS",INDEX(Vehicle_Type,,4)="GO"),F11*F15,IF(ISERROR(INDEX(Original_Cost_New,,4)*1),0,INDEX(Original_Cost_New,,4)))</f>
        <v>0</v>
      </c>
      <c r="G17" s="102">
        <f>IF(OR(INDEX(Vehicle_Type,,5)="MC",INDEX(Vehicle_Type,,5)="CMCMS",INDEX(Vehicle_Type,,5)="GO"),G11*G15,IF(ISERROR(INDEX(Original_Cost_New,,5)*1),0,INDEX(Original_Cost_New,,5)))</f>
        <v>0</v>
      </c>
      <c r="H17" s="102">
        <f>IF(OR(INDEX(Vehicle_Type,,6)="MC",INDEX(Vehicle_Type,,6)="CMCMS",INDEX(Vehicle_Type,,6)="GO"),H11*H15,IF(ISERROR(INDEX(Original_Cost_New,,6)*1),0,INDEX(Original_Cost_New,,6)))</f>
        <v>0</v>
      </c>
      <c r="I17" s="1" t="s">
        <v>152</v>
      </c>
    </row>
    <row r="18" spans="1:9" ht="12.75">
      <c r="A18" s="102"/>
      <c r="B18" s="109"/>
      <c r="C18" s="102"/>
      <c r="D18" s="102"/>
      <c r="E18" s="102"/>
      <c r="F18" s="102"/>
      <c r="G18" s="102"/>
      <c r="H18" s="102"/>
      <c r="I18" s="1"/>
    </row>
    <row r="19" spans="1:9" ht="12.75">
      <c r="A19" s="106" t="s">
        <v>1231</v>
      </c>
      <c r="B19" s="112" t="s">
        <v>153</v>
      </c>
      <c r="C19" s="102">
        <f>IF(OR(INDEX(Vehicle_Type,,1)="MC",INDEX(Vehicle_Type,,1)="CMCMS",INDEX(Vehicle_Type,,1)="GO"),INDEX(COLL_MC_Deductible_Factor,,1),0)</f>
        <v>0</v>
      </c>
      <c r="D19" s="102">
        <f>IF(OR(INDEX(Vehicle_Type,,2)="MC",INDEX(Vehicle_Type,,2)="CMCMS",INDEX(Vehicle_Type,,2)="GO"),INDEX(COLL_MC_Deductible_Factor,,2),0)</f>
        <v>0</v>
      </c>
      <c r="E19" s="102">
        <f>IF(OR(INDEX(Vehicle_Type,,3)="MC",INDEX(Vehicle_Type,,3)="CMCMS",INDEX(Vehicle_Type,,3)="GO"),INDEX(COLL_MC_Deductible_Factor,,3),0)</f>
        <v>0</v>
      </c>
      <c r="F19" s="102">
        <f>IF(OR(INDEX(Vehicle_Type,,4)="MC",INDEX(Vehicle_Type,,4)="CMCMS",INDEX(Vehicle_Type,,4)="GO"),INDEX(COLL_MC_Deductible_Factor,,4),0)</f>
        <v>0</v>
      </c>
      <c r="G19" s="102">
        <f>IF(OR(INDEX(Vehicle_Type,,5)="MC",INDEX(Vehicle_Type,,5)="CMCMS",INDEX(Vehicle_Type,,5)="GO"),INDEX(COLL_MC_Deductible_Factor,,5),0)</f>
        <v>0</v>
      </c>
      <c r="H19" s="102">
        <f>IF(OR(INDEX(Vehicle_Type,,6)="MC",INDEX(Vehicle_Type,,6)="CMCMS",INDEX(Vehicle_Type,,6)="GO"),INDEX(COLL_MC_Deductible_Factor,,6),0)</f>
        <v>0</v>
      </c>
      <c r="I19" s="1"/>
    </row>
    <row r="20" spans="2:9" s="47" customFormat="1" ht="12.75">
      <c r="B20" s="112" t="s">
        <v>154</v>
      </c>
      <c r="C20" s="112">
        <f>IF(OR(INDEX(Vehicle_Type,,1)="SNOWM",INDEX(Vehicle_Type,,1)="ATV"),INDEX(COLL_SNOWM_Deductible_Factor,,1),0)</f>
        <v>0</v>
      </c>
      <c r="D20" s="112">
        <f>IF(OR(INDEX(Vehicle_Type,,2)="SNOWM",INDEX(Vehicle_Type,,2)="ATV"),INDEX(COLL_SNOWM_Deductible_Factor,,2),0)</f>
        <v>0</v>
      </c>
      <c r="E20" s="112">
        <f>IF(OR(INDEX(Vehicle_Type,,3)="SNOWM",INDEX(Vehicle_Type,,3)="ATV"),INDEX(COLL_SNOWM_Deductible_Factor,,3),0)</f>
        <v>0</v>
      </c>
      <c r="F20" s="112">
        <f>IF(OR(INDEX(Vehicle_Type,,4)="SNOWM",INDEX(Vehicle_Type,,4)="ATV"),INDEX(COLL_SNOWM_Deductible_Factor,,4),0)</f>
        <v>0</v>
      </c>
      <c r="G20" s="112">
        <f>IF(OR(INDEX(Vehicle_Type,,5)="SNOWM",INDEX(Vehicle_Type,,5)="ATV"),INDEX(COLL_SNOWM_Deductible_Factor,,5),0)</f>
        <v>0</v>
      </c>
      <c r="H20" s="112">
        <f>IF(OR(INDEX(Vehicle_Type,,6)="SNOWM",INDEX(Vehicle_Type,,6)="ATV"),INDEX(COLL_SNOWM_Deductible_Factor,,6),0)</f>
        <v>0</v>
      </c>
      <c r="I20" s="15"/>
    </row>
    <row r="21" spans="1:9" s="47" customFormat="1" ht="12.75">
      <c r="A21" s="106"/>
      <c r="B21" s="112" t="s">
        <v>155</v>
      </c>
      <c r="C21" s="112">
        <f>IF(INDEX(Vehicle_Type,,1)="DB",INDEX(COLL_DB_Deductible_Factor,,1),0)</f>
        <v>0</v>
      </c>
      <c r="D21" s="112">
        <f>IF(INDEX(Vehicle_Type,,2)="DB",INDEX(COLL_DB_Deductible_Factor,,2),0)</f>
        <v>0</v>
      </c>
      <c r="E21" s="112">
        <f>IF(INDEX(Vehicle_Type,,3)="DB",INDEX(COLL_DB_Deductible_Factor,,3),0)</f>
        <v>0</v>
      </c>
      <c r="F21" s="112">
        <f>IF(INDEX(Vehicle_Type,,4)="DB",INDEX(COLL_DB_Deductible_Factor,,4),0)</f>
        <v>0</v>
      </c>
      <c r="G21" s="112">
        <f>IF(INDEX(Vehicle_Type,,5)="DB",INDEX(COLL_DB_Deductible_Factor,,5),0)</f>
        <v>0</v>
      </c>
      <c r="H21" s="112">
        <f>IF(INDEX(Vehicle_Type,,6)="DB",INDEX(COLL_DB_Deductible_Factor,,6),0)</f>
        <v>0</v>
      </c>
      <c r="I21" s="15"/>
    </row>
    <row r="22" spans="1:9" s="47" customFormat="1" ht="12.75">
      <c r="A22" s="106"/>
      <c r="B22" s="112" t="s">
        <v>156</v>
      </c>
      <c r="C22" s="112">
        <f>IF(INDEX(Vehicle_Type,,1)="GC",INDEX(COLL_GC_Deductible_Factor,,1),0)</f>
        <v>0</v>
      </c>
      <c r="D22" s="112">
        <f>IF(INDEX(Vehicle_Type,,2)="GC",INDEX(COLL_GC_Deductible_Factor,,2),0)</f>
        <v>0</v>
      </c>
      <c r="E22" s="112">
        <f>IF(INDEX(Vehicle_Type,,3)="GC",INDEX(COLL_GC_Deductible_Factor,,3),0)</f>
        <v>0</v>
      </c>
      <c r="F22" s="112">
        <f>IF(INDEX(Vehicle_Type,,4)="GC",INDEX(COLL_GC_Deductible_Factor,,4),0)</f>
        <v>0</v>
      </c>
      <c r="G22" s="112">
        <f>IF(INDEX(Vehicle_Type,,5)="GC",INDEX(COLL_GC_Deductible_Factor,,5),0)</f>
        <v>0</v>
      </c>
      <c r="H22" s="112">
        <f>IF(INDEX(Vehicle_Type,,6)="GC",INDEX(COLL_GC_Deductible_Factor,,6),0)</f>
        <v>0</v>
      </c>
      <c r="I22" s="15"/>
    </row>
    <row r="23" spans="1:9" s="47" customFormat="1" ht="12.75">
      <c r="A23" s="106"/>
      <c r="B23" s="112" t="s">
        <v>157</v>
      </c>
      <c r="C23" s="112">
        <f>IF(INDEX(Vehicle_Type,,1)="AA",INDEX(COLL_AA_Deductible_Factor,,1),0)</f>
        <v>0</v>
      </c>
      <c r="D23" s="112">
        <f>IF(INDEX(Vehicle_Type,,2)="AA",INDEX(COLL_AA_Deductible_Factor,,2),0)</f>
        <v>0</v>
      </c>
      <c r="E23" s="112">
        <f>IF(INDEX(Vehicle_Type,,3)="AA",INDEX(COLL_AA_Deductible_Factor,,3),0)</f>
        <v>0</v>
      </c>
      <c r="F23" s="112">
        <f>IF(INDEX(Vehicle_Type,,4)="AA",INDEX(COLL_AA_Deductible_Factor,,4),0)</f>
        <v>0</v>
      </c>
      <c r="G23" s="112">
        <f>IF(INDEX(Vehicle_Type,,5)="AA",INDEX(COLL_AA_Deductible_Factor,,5),0)</f>
        <v>0</v>
      </c>
      <c r="H23" s="112">
        <f>IF(INDEX(Vehicle_Type,,6)="AA",INDEX(COLL_AA_Deductible_Factor,,6),0)</f>
        <v>0</v>
      </c>
      <c r="I23" s="15"/>
    </row>
    <row r="24" spans="1:9" ht="12.75" customHeight="1">
      <c r="A24" s="106"/>
      <c r="B24" s="102" t="s">
        <v>158</v>
      </c>
      <c r="C24" s="102">
        <f aca="true" t="shared" si="2" ref="C24:H24">SUM(C19:C23)</f>
        <v>0</v>
      </c>
      <c r="D24" s="102">
        <f t="shared" si="2"/>
        <v>0</v>
      </c>
      <c r="E24" s="102">
        <f t="shared" si="2"/>
        <v>0</v>
      </c>
      <c r="F24" s="102">
        <f t="shared" si="2"/>
        <v>0</v>
      </c>
      <c r="G24" s="102">
        <f t="shared" si="2"/>
        <v>0</v>
      </c>
      <c r="H24" s="102">
        <f t="shared" si="2"/>
        <v>0</v>
      </c>
      <c r="I24" s="1" t="s">
        <v>159</v>
      </c>
    </row>
    <row r="25" spans="1:9" ht="12.75">
      <c r="A25" s="102"/>
      <c r="B25" s="102"/>
      <c r="C25" s="102"/>
      <c r="D25" s="102"/>
      <c r="E25" s="102"/>
      <c r="F25" s="102"/>
      <c r="G25" s="102"/>
      <c r="H25" s="102"/>
      <c r="I25" s="1"/>
    </row>
    <row r="26" spans="1:9" ht="12.75">
      <c r="A26" s="102"/>
      <c r="B26" s="102" t="s">
        <v>160</v>
      </c>
      <c r="C26" s="102">
        <f>IF(AND(Insured_State="NC",INDEX(Vehicle_Type,,1)="GC"),COLL_CHARGE_GC,C24*C17)</f>
        <v>0</v>
      </c>
      <c r="D26" s="102">
        <f>IF(AND(Insured_State="NC",INDEX(Vehicle_Type,,2)="GC"),COLL_CHARGE_GC,D24*D17)</f>
        <v>0</v>
      </c>
      <c r="E26" s="102">
        <f>IF(AND(Insured_State="NC",INDEX(Vehicle_Type,,3)="GC"),COLL_CHARGE_GC,E24*E17)</f>
        <v>0</v>
      </c>
      <c r="F26" s="102">
        <f>IF(AND(Insured_State="NC",INDEX(Vehicle_Type,,4)="GC"),COLL_CHARGE_GC,F24*F17)</f>
        <v>0</v>
      </c>
      <c r="G26" s="102">
        <f>IF(AND(Insured_State="NC",INDEX(Vehicle_Type,,5)="GC"),COLL_CHARGE_GC,G24*G17)</f>
        <v>0</v>
      </c>
      <c r="H26" s="102">
        <f>IF(AND(Insured_State="NC",INDEX(Vehicle_Type,,6)="GC"),COLL_CHARGE_GC,H24*H17)</f>
        <v>0</v>
      </c>
      <c r="I26" s="1"/>
    </row>
    <row r="27" spans="1:9" s="102" customFormat="1" ht="12.75">
      <c r="A27" s="106"/>
      <c r="B27" s="102" t="s">
        <v>1224</v>
      </c>
      <c r="C27" s="102">
        <f>INDEX(NC_Primary_Factor_Collision,,1)</f>
        <v>0</v>
      </c>
      <c r="D27" s="102">
        <f>INDEX(NC_Primary_Factor_Collision,,2)</f>
        <v>0</v>
      </c>
      <c r="E27" s="102">
        <f>INDEX(NC_Primary_Factor_Collision,,3)</f>
        <v>0</v>
      </c>
      <c r="F27" s="102">
        <f>INDEX(NC_Primary_Factor_Collision,,4)</f>
        <v>0</v>
      </c>
      <c r="G27" s="102">
        <f>INDEX(NC_Primary_Factor_Collision,,5)</f>
        <v>0</v>
      </c>
      <c r="H27" s="102">
        <f>INDEX(NC_Primary_Factor_Collision,,6)</f>
        <v>0</v>
      </c>
      <c r="I27" s="1"/>
    </row>
    <row r="28" spans="1:9" s="102" customFormat="1" ht="12.75">
      <c r="A28" s="106"/>
      <c r="B28" s="102" t="s">
        <v>1227</v>
      </c>
      <c r="C28" s="102">
        <f>INDEX(NC_No_Inexperience_Liability,,1)+INDEX(NC_Inexperience_Liability,,1)</f>
        <v>0</v>
      </c>
      <c r="D28" s="102">
        <f>INDEX(NC_No_Inexperience_Liability,,2)+INDEX(NC_Inexperience_Liability,,2)</f>
        <v>0</v>
      </c>
      <c r="E28" s="102">
        <f>INDEX(NC_No_Inexperience_Liability,,3)+INDEX(NC_Inexperience_Liability,,3)</f>
        <v>0</v>
      </c>
      <c r="F28" s="102">
        <f>INDEX(NC_No_Inexperience_Liability,,4)+INDEX(NC_Inexperience_Liability,,4)</f>
        <v>0</v>
      </c>
      <c r="G28" s="102">
        <f>INDEX(NC_No_Inexperience_Liability,,5)+INDEX(NC_Inexperience_Liability,,5)</f>
        <v>0</v>
      </c>
      <c r="H28" s="102">
        <f>INDEX(NC_No_Inexperience_Liability,,6)+INDEX(NC_Inexperience_Liability,,6)</f>
        <v>0</v>
      </c>
      <c r="I28" s="1"/>
    </row>
    <row r="29" spans="1:9" s="102" customFormat="1" ht="12.75">
      <c r="A29" s="106"/>
      <c r="B29" s="102" t="s">
        <v>177</v>
      </c>
      <c r="C29" s="102">
        <f aca="true" t="shared" si="3" ref="C29:H29">IF(Insured_State="NC",C26*(C27+C28),C26)</f>
        <v>0</v>
      </c>
      <c r="D29" s="102">
        <f t="shared" si="3"/>
        <v>0</v>
      </c>
      <c r="E29" s="102">
        <f t="shared" si="3"/>
        <v>0</v>
      </c>
      <c r="F29" s="102">
        <f t="shared" si="3"/>
        <v>0</v>
      </c>
      <c r="G29" s="102">
        <f t="shared" si="3"/>
        <v>0</v>
      </c>
      <c r="H29" s="102">
        <f t="shared" si="3"/>
        <v>0</v>
      </c>
      <c r="I29" s="1"/>
    </row>
    <row r="30" spans="1:9" s="102" customFormat="1" ht="12.75">
      <c r="A30" s="106"/>
      <c r="I30" s="1"/>
    </row>
    <row r="31" spans="1:9" ht="12.75">
      <c r="A31" s="102"/>
      <c r="B31" s="102" t="s">
        <v>1237</v>
      </c>
      <c r="C31" s="111">
        <f>INDEX(Accident_Prevention_Discount_Factor,,1)</f>
        <v>0</v>
      </c>
      <c r="D31" s="111">
        <f>INDEX(Accident_Prevention_Discount_Factor,,2)</f>
        <v>0</v>
      </c>
      <c r="E31" s="111">
        <f>INDEX(Accident_Prevention_Discount_Factor,,3)</f>
        <v>0</v>
      </c>
      <c r="F31" s="111">
        <f>INDEX(Accident_Prevention_Discount_Factor,,4)</f>
        <v>0</v>
      </c>
      <c r="G31" s="111">
        <f>INDEX(Accident_Prevention_Discount_Factor,,5)</f>
        <v>0</v>
      </c>
      <c r="H31" s="111">
        <f>INDEX(Accident_Prevention_Discount_Factor,,6)</f>
        <v>0</v>
      </c>
      <c r="I31" s="1"/>
    </row>
    <row r="32" spans="1:9" ht="12.75">
      <c r="A32" s="102"/>
      <c r="B32" s="102" t="s">
        <v>1240</v>
      </c>
      <c r="C32" s="102">
        <f aca="true" t="shared" si="4" ref="C32:H32">IF(Insured_State="OK",C29*C31,0)</f>
        <v>0</v>
      </c>
      <c r="D32" s="102">
        <f t="shared" si="4"/>
        <v>0</v>
      </c>
      <c r="E32" s="102">
        <f t="shared" si="4"/>
        <v>0</v>
      </c>
      <c r="F32" s="102">
        <f t="shared" si="4"/>
        <v>0</v>
      </c>
      <c r="G32" s="102">
        <f t="shared" si="4"/>
        <v>0</v>
      </c>
      <c r="H32" s="102">
        <f t="shared" si="4"/>
        <v>0</v>
      </c>
      <c r="I32" s="1"/>
    </row>
    <row r="33" spans="1:9" ht="12.75">
      <c r="A33" s="102"/>
      <c r="B33" s="102" t="s">
        <v>178</v>
      </c>
      <c r="C33" s="102">
        <f aca="true" t="shared" si="5" ref="C33:H33">C29-C32</f>
        <v>0</v>
      </c>
      <c r="D33" s="102">
        <f t="shared" si="5"/>
        <v>0</v>
      </c>
      <c r="E33" s="102">
        <f t="shared" si="5"/>
        <v>0</v>
      </c>
      <c r="F33" s="102">
        <f t="shared" si="5"/>
        <v>0</v>
      </c>
      <c r="G33" s="102">
        <f t="shared" si="5"/>
        <v>0</v>
      </c>
      <c r="H33" s="102">
        <f t="shared" si="5"/>
        <v>0</v>
      </c>
      <c r="I33" s="1"/>
    </row>
    <row r="34" spans="1:9" ht="12.75">
      <c r="A34" s="106"/>
      <c r="B34" s="102"/>
      <c r="C34" s="102"/>
      <c r="D34" s="102"/>
      <c r="E34" s="102"/>
      <c r="F34" s="102"/>
      <c r="G34" s="102"/>
      <c r="H34" s="102"/>
      <c r="I34" s="1"/>
    </row>
    <row r="35" spans="1:9" ht="12.75">
      <c r="A35" s="106"/>
      <c r="B35" s="108" t="s">
        <v>179</v>
      </c>
      <c r="C35" s="102">
        <f>IF(INDEX(Limited_Collision,,1)="Y",INDEX(MI_Limited_COLL_Factor,,1),1)</f>
        <v>1</v>
      </c>
      <c r="D35" s="102">
        <f>IF(INDEX(Limited_Collision,,2)="Y",INDEX(MI_Limited_COLL_Factor,,2),1)</f>
        <v>1</v>
      </c>
      <c r="E35" s="102">
        <f>IF(INDEX(Limited_Collision,,3)="Y",INDEX(MI_Limited_COLL_Factor,,3),1)</f>
        <v>1</v>
      </c>
      <c r="F35" s="102">
        <f>IF(INDEX(Limited_Collision,,4)="Y",INDEX(MI_Limited_COLL_Factor,,4),1)</f>
        <v>1</v>
      </c>
      <c r="G35" s="102">
        <f>IF(INDEX(Limited_Collision,,5)="Y",INDEX(MI_Limited_COLL_Factor,,5),1)</f>
        <v>1</v>
      </c>
      <c r="H35" s="102">
        <f>IF(INDEX(Limited_Collision,,6)="Y",INDEX(MI_Limited_COLL_Factor,,6),1)</f>
        <v>1</v>
      </c>
      <c r="I35" s="1"/>
    </row>
    <row r="36" spans="1:9" ht="12.75">
      <c r="A36" s="106"/>
      <c r="B36" s="102" t="s">
        <v>1374</v>
      </c>
      <c r="C36" s="102">
        <f>INDEX(MI_Broadened_COLL_Rate,,1)</f>
        <v>0</v>
      </c>
      <c r="D36" s="102">
        <f>INDEX(MI_Broadened_COLL_Rate,,2)</f>
        <v>0</v>
      </c>
      <c r="E36" s="102">
        <f>INDEX(MI_Broadened_COLL_Rate,,3)</f>
        <v>0</v>
      </c>
      <c r="F36" s="102">
        <f>INDEX(MI_Broadened_COLL_Rate,,4)</f>
        <v>0</v>
      </c>
      <c r="G36" s="102">
        <f>INDEX(MI_Broadened_COLL_Rate,,5)</f>
        <v>0</v>
      </c>
      <c r="H36" s="102">
        <f>INDEX(MI_Broadened_COLL_Rate,,6)</f>
        <v>0</v>
      </c>
      <c r="I36" s="1"/>
    </row>
    <row r="37" spans="1:9" ht="12.75">
      <c r="A37" s="106"/>
      <c r="B37" s="102" t="s">
        <v>180</v>
      </c>
      <c r="C37" s="102">
        <f aca="true" t="shared" si="6" ref="C37:H37">IF(Insured_State="MI",C33*C35+C36,C33)</f>
        <v>0</v>
      </c>
      <c r="D37" s="102">
        <f t="shared" si="6"/>
        <v>0</v>
      </c>
      <c r="E37" s="102">
        <f t="shared" si="6"/>
        <v>0</v>
      </c>
      <c r="F37" s="102">
        <f t="shared" si="6"/>
        <v>0</v>
      </c>
      <c r="G37" s="102">
        <f t="shared" si="6"/>
        <v>0</v>
      </c>
      <c r="H37" s="102">
        <f t="shared" si="6"/>
        <v>0</v>
      </c>
      <c r="I37" s="1"/>
    </row>
    <row r="38" spans="1:9" ht="12.75">
      <c r="A38" s="106"/>
      <c r="B38" s="108"/>
      <c r="C38" s="102"/>
      <c r="D38" s="102"/>
      <c r="E38" s="102"/>
      <c r="F38" s="102"/>
      <c r="G38" s="102"/>
      <c r="H38" s="102"/>
      <c r="I38" s="1"/>
    </row>
    <row r="39" spans="1:9" s="102" customFormat="1" ht="12.75">
      <c r="A39" s="106"/>
      <c r="B39" s="102" t="s">
        <v>64</v>
      </c>
      <c r="C39" s="102">
        <f>IF(OR(INDEX(Vehicle_Type,,1)="MC",INDEX(Vehicle_Type,,1)="CMCMS"),1,0)</f>
        <v>0</v>
      </c>
      <c r="D39" s="102">
        <f>IF(OR(INDEX(Vehicle_Type,,2)="MC",INDEX(Vehicle_Type,,2)="CMCMS"),1,0)</f>
        <v>0</v>
      </c>
      <c r="E39" s="102">
        <f>IF(OR(INDEX(Vehicle_Type,,3)="MC",INDEX(Vehicle_Type,,3)="CMCMS"),1,0)</f>
        <v>0</v>
      </c>
      <c r="F39" s="102">
        <f>IF(OR(INDEX(Vehicle_Type,,4)="MC",INDEX(Vehicle_Type,,4)="CMCMS"),1,0)</f>
        <v>0</v>
      </c>
      <c r="G39" s="102">
        <f>IF(OR(INDEX(Vehicle_Type,,5)="MC",INDEX(Vehicle_Type,,5)="CMCMS"),1,0)</f>
        <v>0</v>
      </c>
      <c r="H39" s="102">
        <f>IF(OR(INDEX(Vehicle_Type,,6)="MC",INDEX(Vehicle_Type,,6)="CMCMS"),1,0)</f>
        <v>0</v>
      </c>
      <c r="I39" s="1"/>
    </row>
    <row r="40" spans="1:9" s="102" customFormat="1" ht="12.75">
      <c r="A40" s="106"/>
      <c r="B40" s="102" t="s">
        <v>65</v>
      </c>
      <c r="C40" s="102">
        <f>IF(INDEX(Vehicle_Type,,1)="GO",1,0)</f>
        <v>0</v>
      </c>
      <c r="D40" s="102">
        <f>IF(INDEX(Vehicle_Type,,2)="GO",1,0)</f>
        <v>0</v>
      </c>
      <c r="E40" s="102">
        <f>IF(INDEX(Vehicle_Type,,3)="GO",1,0)</f>
        <v>0</v>
      </c>
      <c r="F40" s="102">
        <f>IF(INDEX(Vehicle_Type,,4)="GO",1,0)</f>
        <v>0</v>
      </c>
      <c r="G40" s="102">
        <f>IF(INDEX(Vehicle_Type,,5)="GO",1,0)</f>
        <v>0</v>
      </c>
      <c r="H40" s="102">
        <f>IF(INDEX(Vehicle_Type,,6)="GO",1,0)</f>
        <v>0</v>
      </c>
      <c r="I40" s="1"/>
    </row>
    <row r="41" spans="1:9" s="102" customFormat="1" ht="12.75">
      <c r="A41" s="106"/>
      <c r="B41" s="102" t="s">
        <v>66</v>
      </c>
      <c r="C41" s="102">
        <f>IF(INDEX(Vehicle_Type,,1)="SNOWM",1,0)</f>
        <v>0</v>
      </c>
      <c r="D41" s="102">
        <f>IF(INDEX(Vehicle_Type,,2)="SNOWM",1,0)</f>
        <v>0</v>
      </c>
      <c r="E41" s="102">
        <f>IF(INDEX(Vehicle_Type,,3)="SNOWM",1,0)</f>
        <v>0</v>
      </c>
      <c r="F41" s="102">
        <f>IF(INDEX(Vehicle_Type,,4)="SNOWM",1,0)</f>
        <v>0</v>
      </c>
      <c r="G41" s="102">
        <f>IF(INDEX(Vehicle_Type,,5)="SNOWM",1,0)</f>
        <v>0</v>
      </c>
      <c r="H41" s="102">
        <f>IF(INDEX(Vehicle_Type,,6)="SNOWM",1,0)</f>
        <v>0</v>
      </c>
      <c r="I41" s="1"/>
    </row>
    <row r="42" spans="1:9" s="102" customFormat="1" ht="12.75">
      <c r="A42" s="106"/>
      <c r="B42" s="102" t="s">
        <v>67</v>
      </c>
      <c r="C42" s="102">
        <f>IF(INDEX(Vehicle_Type,,1)="ATV",1,0)</f>
        <v>0</v>
      </c>
      <c r="D42" s="102">
        <f>IF(INDEX(Vehicle_Type,,2)="ATV",1,0)</f>
        <v>0</v>
      </c>
      <c r="E42" s="102">
        <f>IF(INDEX(Vehicle_Type,,3)="ATV",1,0)</f>
        <v>0</v>
      </c>
      <c r="F42" s="102">
        <f>IF(INDEX(Vehicle_Type,,4)="ATV",1,0)</f>
        <v>0</v>
      </c>
      <c r="G42" s="102">
        <f>IF(INDEX(Vehicle_Type,,5)="ATV",1,0)</f>
        <v>0</v>
      </c>
      <c r="H42" s="102">
        <f>IF(INDEX(Vehicle_Type,,6)="ATV",1,0)</f>
        <v>0</v>
      </c>
      <c r="I42" s="1"/>
    </row>
    <row r="43" spans="1:9" s="102" customFormat="1" ht="12.75">
      <c r="A43" s="106"/>
      <c r="B43" s="102" t="s">
        <v>68</v>
      </c>
      <c r="C43" s="102">
        <f>IF(INDEX(Vehicle_Type,,1)="DB",1,0)</f>
        <v>0</v>
      </c>
      <c r="D43" s="102">
        <f>IF(INDEX(Vehicle_Type,,2)="DB",1,0)</f>
        <v>0</v>
      </c>
      <c r="E43" s="102">
        <f>IF(INDEX(Vehicle_Type,,3)="DB",1,0)</f>
        <v>0</v>
      </c>
      <c r="F43" s="102">
        <f>IF(INDEX(Vehicle_Type,,4)="DB",1,0)</f>
        <v>0</v>
      </c>
      <c r="G43" s="102">
        <f>IF(INDEX(Vehicle_Type,,5)="DB",1,0)</f>
        <v>0</v>
      </c>
      <c r="H43" s="102">
        <f>IF(INDEX(Vehicle_Type,,6)="DB",1,0)</f>
        <v>0</v>
      </c>
      <c r="I43" s="1"/>
    </row>
    <row r="44" spans="1:9" s="102" customFormat="1" ht="12.75">
      <c r="A44" s="106"/>
      <c r="B44" s="102" t="s">
        <v>69</v>
      </c>
      <c r="C44" s="102">
        <f>IF(INDEX(Vehicle_Type,,1)="GC",1,0)</f>
        <v>0</v>
      </c>
      <c r="D44" s="102">
        <f>IF(INDEX(Vehicle_Type,,2)="GC",1,0)</f>
        <v>0</v>
      </c>
      <c r="E44" s="102">
        <f>IF(INDEX(Vehicle_Type,,3)="GC",1,0)</f>
        <v>0</v>
      </c>
      <c r="F44" s="102">
        <f>IF(INDEX(Vehicle_Type,,4)="GC",1,0)</f>
        <v>0</v>
      </c>
      <c r="G44" s="102">
        <f>IF(INDEX(Vehicle_Type,,5)="GC",1,0)</f>
        <v>0</v>
      </c>
      <c r="H44" s="102">
        <f>IF(INDEX(Vehicle_Type,,6)="GC",1,0)</f>
        <v>0</v>
      </c>
      <c r="I44" s="1"/>
    </row>
    <row r="45" spans="1:9" s="102" customFormat="1" ht="12.75">
      <c r="A45" s="106"/>
      <c r="B45" s="102" t="s">
        <v>70</v>
      </c>
      <c r="C45" s="102">
        <f>IF(INDEX(Vehicle_Type,,1)="AA",1,0)</f>
        <v>0</v>
      </c>
      <c r="D45" s="102">
        <f>IF(INDEX(Vehicle_Type,,2)="AA",1,0)</f>
        <v>0</v>
      </c>
      <c r="E45" s="102">
        <f>IF(INDEX(Vehicle_Type,,3)="AA",1,0)</f>
        <v>0</v>
      </c>
      <c r="F45" s="102">
        <f>IF(INDEX(Vehicle_Type,,4)="AA",1,0)</f>
        <v>0</v>
      </c>
      <c r="G45" s="102">
        <f>IF(INDEX(Vehicle_Type,,5)="AA",1,0)</f>
        <v>0</v>
      </c>
      <c r="H45" s="102">
        <f>IF(INDEX(Vehicle_Type,,6)="AA",1,0)</f>
        <v>0</v>
      </c>
      <c r="I45" s="1"/>
    </row>
    <row r="46" spans="1:9" ht="12.75">
      <c r="A46" s="102"/>
      <c r="B46" s="102"/>
      <c r="C46" s="102"/>
      <c r="D46" s="102"/>
      <c r="E46" s="102"/>
      <c r="F46" s="102"/>
      <c r="G46" s="102"/>
      <c r="H46" s="102"/>
      <c r="I46" s="1"/>
    </row>
    <row r="47" spans="1:9" s="102" customFormat="1" ht="12.75">
      <c r="A47" s="106"/>
      <c r="B47" s="102" t="s">
        <v>161</v>
      </c>
      <c r="C47" s="102">
        <f aca="true" t="shared" si="7" ref="C47:H47">IF(OR(ISERROR(C37),C37&lt;=0,C39=0),0,Expense_Fees_MC_COLL)</f>
        <v>0</v>
      </c>
      <c r="D47" s="102">
        <f t="shared" si="7"/>
        <v>0</v>
      </c>
      <c r="E47" s="102">
        <f t="shared" si="7"/>
        <v>0</v>
      </c>
      <c r="F47" s="102">
        <f t="shared" si="7"/>
        <v>0</v>
      </c>
      <c r="G47" s="102">
        <f t="shared" si="7"/>
        <v>0</v>
      </c>
      <c r="H47" s="102">
        <f t="shared" si="7"/>
        <v>0</v>
      </c>
      <c r="I47" s="1"/>
    </row>
    <row r="48" spans="1:9" s="102" customFormat="1" ht="12.75" customHeight="1">
      <c r="A48" s="106"/>
      <c r="B48" s="102" t="s">
        <v>162</v>
      </c>
      <c r="C48" s="102">
        <f aca="true" t="shared" si="8" ref="C48:H48">IF(OR(ISERROR(C37),C37&lt;=0,C40=0),0,Expense_Fees_MC_COLL)</f>
        <v>0</v>
      </c>
      <c r="D48" s="102">
        <f t="shared" si="8"/>
        <v>0</v>
      </c>
      <c r="E48" s="102">
        <f t="shared" si="8"/>
        <v>0</v>
      </c>
      <c r="F48" s="102">
        <f t="shared" si="8"/>
        <v>0</v>
      </c>
      <c r="G48" s="102">
        <f t="shared" si="8"/>
        <v>0</v>
      </c>
      <c r="H48" s="102">
        <f t="shared" si="8"/>
        <v>0</v>
      </c>
      <c r="I48" s="1" t="s">
        <v>73</v>
      </c>
    </row>
    <row r="49" spans="1:9" s="102" customFormat="1" ht="12.75" customHeight="1">
      <c r="A49" s="106"/>
      <c r="B49" s="102" t="s">
        <v>163</v>
      </c>
      <c r="C49" s="102">
        <f aca="true" t="shared" si="9" ref="C49:H49">IF(OR(ISERROR(C37),C37&lt;=0,C41=0),0,Expense_Fees_MC_COLL)</f>
        <v>0</v>
      </c>
      <c r="D49" s="102">
        <f t="shared" si="9"/>
        <v>0</v>
      </c>
      <c r="E49" s="102">
        <f t="shared" si="9"/>
        <v>0</v>
      </c>
      <c r="F49" s="102">
        <f t="shared" si="9"/>
        <v>0</v>
      </c>
      <c r="G49" s="102">
        <f t="shared" si="9"/>
        <v>0</v>
      </c>
      <c r="H49" s="102">
        <f t="shared" si="9"/>
        <v>0</v>
      </c>
      <c r="I49" s="1" t="s">
        <v>73</v>
      </c>
    </row>
    <row r="50" spans="1:9" s="102" customFormat="1" ht="12.75" customHeight="1">
      <c r="A50" s="106"/>
      <c r="B50" s="102" t="s">
        <v>164</v>
      </c>
      <c r="C50" s="102">
        <f aca="true" t="shared" si="10" ref="C50:H50">IF(OR(ISERROR(C37),C37&lt;=0,C42=0),0,Expense_Fees_MC_COLL)</f>
        <v>0</v>
      </c>
      <c r="D50" s="102">
        <f t="shared" si="10"/>
        <v>0</v>
      </c>
      <c r="E50" s="102">
        <f t="shared" si="10"/>
        <v>0</v>
      </c>
      <c r="F50" s="102">
        <f t="shared" si="10"/>
        <v>0</v>
      </c>
      <c r="G50" s="102">
        <f t="shared" si="10"/>
        <v>0</v>
      </c>
      <c r="H50" s="102">
        <f t="shared" si="10"/>
        <v>0</v>
      </c>
      <c r="I50" s="1" t="s">
        <v>73</v>
      </c>
    </row>
    <row r="51" spans="1:9" s="102" customFormat="1" ht="12.75" customHeight="1">
      <c r="A51" s="106"/>
      <c r="B51" s="102" t="s">
        <v>165</v>
      </c>
      <c r="C51" s="102">
        <f aca="true" t="shared" si="11" ref="C51:H51">IF(OR(ISERROR(C37),C37&lt;=0,C43=0),0,Expense_Fees_MC_COLL)</f>
        <v>0</v>
      </c>
      <c r="D51" s="102">
        <f t="shared" si="11"/>
        <v>0</v>
      </c>
      <c r="E51" s="102">
        <f t="shared" si="11"/>
        <v>0</v>
      </c>
      <c r="F51" s="102">
        <f t="shared" si="11"/>
        <v>0</v>
      </c>
      <c r="G51" s="102">
        <f t="shared" si="11"/>
        <v>0</v>
      </c>
      <c r="H51" s="102">
        <f t="shared" si="11"/>
        <v>0</v>
      </c>
      <c r="I51" s="1" t="s">
        <v>73</v>
      </c>
    </row>
    <row r="52" spans="1:9" s="102" customFormat="1" ht="12.75" customHeight="1">
      <c r="A52" s="106"/>
      <c r="B52" s="102" t="s">
        <v>166</v>
      </c>
      <c r="C52" s="102">
        <f aca="true" t="shared" si="12" ref="C52:H52">IF(OR(ISERROR(C37),C37&lt;=0,C44=0),0,Expense_Fees_MC_COLL)</f>
        <v>0</v>
      </c>
      <c r="D52" s="102">
        <f t="shared" si="12"/>
        <v>0</v>
      </c>
      <c r="E52" s="102">
        <f t="shared" si="12"/>
        <v>0</v>
      </c>
      <c r="F52" s="102">
        <f t="shared" si="12"/>
        <v>0</v>
      </c>
      <c r="G52" s="102">
        <f t="shared" si="12"/>
        <v>0</v>
      </c>
      <c r="H52" s="102">
        <f t="shared" si="12"/>
        <v>0</v>
      </c>
      <c r="I52" s="1" t="s">
        <v>73</v>
      </c>
    </row>
    <row r="53" spans="1:9" s="102" customFormat="1" ht="12.75" customHeight="1">
      <c r="A53" s="106"/>
      <c r="B53" s="102" t="s">
        <v>167</v>
      </c>
      <c r="C53" s="102">
        <f aca="true" t="shared" si="13" ref="C53:H53">IF(OR(ISERROR(C37),C37&lt;=0,C45=0),0,Expense_Fees_MC_COLL)</f>
        <v>0</v>
      </c>
      <c r="D53" s="102">
        <f t="shared" si="13"/>
        <v>0</v>
      </c>
      <c r="E53" s="102">
        <f t="shared" si="13"/>
        <v>0</v>
      </c>
      <c r="F53" s="102">
        <f t="shared" si="13"/>
        <v>0</v>
      </c>
      <c r="G53" s="102">
        <f t="shared" si="13"/>
        <v>0</v>
      </c>
      <c r="H53" s="102">
        <f t="shared" si="13"/>
        <v>0</v>
      </c>
      <c r="I53" s="1" t="s">
        <v>73</v>
      </c>
    </row>
    <row r="54" spans="1:9" s="102" customFormat="1" ht="12.75">
      <c r="A54" s="106"/>
      <c r="B54" s="102" t="s">
        <v>79</v>
      </c>
      <c r="C54" s="102">
        <f aca="true" t="shared" si="14" ref="C54:H54">SUM(C47:C53)</f>
        <v>0</v>
      </c>
      <c r="D54" s="102">
        <f t="shared" si="14"/>
        <v>0</v>
      </c>
      <c r="E54" s="102">
        <f t="shared" si="14"/>
        <v>0</v>
      </c>
      <c r="F54" s="102">
        <f t="shared" si="14"/>
        <v>0</v>
      </c>
      <c r="G54" s="102">
        <f t="shared" si="14"/>
        <v>0</v>
      </c>
      <c r="H54" s="102">
        <f t="shared" si="14"/>
        <v>0</v>
      </c>
      <c r="I54" s="1"/>
    </row>
    <row r="55" spans="1:9" s="102" customFormat="1" ht="12.75">
      <c r="A55" s="106"/>
      <c r="B55" s="102" t="s">
        <v>1246</v>
      </c>
      <c r="C55" s="110">
        <f aca="true" t="shared" si="15" ref="C55:H55">C37+C54</f>
        <v>0</v>
      </c>
      <c r="D55" s="110">
        <f t="shared" si="15"/>
        <v>0</v>
      </c>
      <c r="E55" s="110">
        <f t="shared" si="15"/>
        <v>0</v>
      </c>
      <c r="F55" s="110">
        <f t="shared" si="15"/>
        <v>0</v>
      </c>
      <c r="G55" s="110">
        <f t="shared" si="15"/>
        <v>0</v>
      </c>
      <c r="H55" s="110">
        <f t="shared" si="15"/>
        <v>0</v>
      </c>
      <c r="I55" s="1"/>
    </row>
    <row r="56" spans="1:9" s="102" customFormat="1" ht="12.75" customHeight="1">
      <c r="A56" s="106"/>
      <c r="I56" s="1"/>
    </row>
    <row r="57" spans="1:9" s="102" customFormat="1" ht="12.75">
      <c r="A57" s="106" t="s">
        <v>1254</v>
      </c>
      <c r="B57" s="102" t="s">
        <v>1255</v>
      </c>
      <c r="C57" s="102">
        <f aca="true" t="shared" si="16" ref="C57:H57">C55-(C55*Valued_Customer_Discount_Factor)</f>
        <v>0</v>
      </c>
      <c r="D57" s="102">
        <f t="shared" si="16"/>
        <v>0</v>
      </c>
      <c r="E57" s="102">
        <f t="shared" si="16"/>
        <v>0</v>
      </c>
      <c r="F57" s="102">
        <f t="shared" si="16"/>
        <v>0</v>
      </c>
      <c r="G57" s="102">
        <f t="shared" si="16"/>
        <v>0</v>
      </c>
      <c r="H57" s="102">
        <f t="shared" si="16"/>
        <v>0</v>
      </c>
      <c r="I57" s="1"/>
    </row>
    <row r="58" spans="1:9" s="102" customFormat="1" ht="12.75">
      <c r="A58" s="106"/>
      <c r="B58" s="102" t="s">
        <v>1257</v>
      </c>
      <c r="C58" s="102">
        <f aca="true" t="shared" si="17" ref="C58:H58">C57*Policy_Period_Factor</f>
        <v>0</v>
      </c>
      <c r="D58" s="102">
        <f t="shared" si="17"/>
        <v>0</v>
      </c>
      <c r="E58" s="102">
        <f t="shared" si="17"/>
        <v>0</v>
      </c>
      <c r="F58" s="102">
        <f t="shared" si="17"/>
        <v>0</v>
      </c>
      <c r="G58" s="102">
        <f t="shared" si="17"/>
        <v>0</v>
      </c>
      <c r="H58" s="102">
        <f t="shared" si="17"/>
        <v>0</v>
      </c>
      <c r="I58" s="1"/>
    </row>
    <row r="59" spans="1:9" s="102" customFormat="1" ht="12.75">
      <c r="A59" s="106"/>
      <c r="B59" s="102" t="s">
        <v>1258</v>
      </c>
      <c r="C59" s="102">
        <f aca="true" t="shared" si="18" ref="C59:H59">C58-(C58*Fampak_Discount_Factor)</f>
        <v>0</v>
      </c>
      <c r="D59" s="102">
        <f t="shared" si="18"/>
        <v>0</v>
      </c>
      <c r="E59" s="102">
        <f t="shared" si="18"/>
        <v>0</v>
      </c>
      <c r="F59" s="102">
        <f t="shared" si="18"/>
        <v>0</v>
      </c>
      <c r="G59" s="102">
        <f t="shared" si="18"/>
        <v>0</v>
      </c>
      <c r="H59" s="102">
        <f t="shared" si="18"/>
        <v>0</v>
      </c>
      <c r="I59" s="1"/>
    </row>
    <row r="60" spans="1:9" s="102" customFormat="1" ht="12.75">
      <c r="A60" s="106"/>
      <c r="B60" s="112" t="s">
        <v>1259</v>
      </c>
      <c r="C60" s="102">
        <f aca="true" t="shared" si="19" ref="C60:H60">C59-(C59*Prime_Life_Discount_Factor)</f>
        <v>0</v>
      </c>
      <c r="D60" s="102">
        <f t="shared" si="19"/>
        <v>0</v>
      </c>
      <c r="E60" s="102">
        <f t="shared" si="19"/>
        <v>0</v>
      </c>
      <c r="F60" s="102">
        <f t="shared" si="19"/>
        <v>0</v>
      </c>
      <c r="G60" s="102">
        <f t="shared" si="19"/>
        <v>0</v>
      </c>
      <c r="H60" s="102">
        <f t="shared" si="19"/>
        <v>0</v>
      </c>
      <c r="I60" s="1"/>
    </row>
    <row r="61" spans="1:9" s="102" customFormat="1" ht="12.75">
      <c r="A61" s="106" t="s">
        <v>1265</v>
      </c>
      <c r="B61" s="112" t="s">
        <v>1266</v>
      </c>
      <c r="C61" s="102">
        <f aca="true" t="shared" si="20" ref="C61:H61">C60</f>
        <v>0</v>
      </c>
      <c r="D61" s="102">
        <f t="shared" si="20"/>
        <v>0</v>
      </c>
      <c r="E61" s="102">
        <f t="shared" si="20"/>
        <v>0</v>
      </c>
      <c r="F61" s="102">
        <f t="shared" si="20"/>
        <v>0</v>
      </c>
      <c r="G61" s="102">
        <f t="shared" si="20"/>
        <v>0</v>
      </c>
      <c r="H61" s="102">
        <f t="shared" si="20"/>
        <v>0</v>
      </c>
      <c r="I61" s="1"/>
    </row>
    <row r="62" spans="2:256" s="102" customFormat="1" ht="12.75">
      <c r="B62" s="109"/>
      <c r="I62" s="1"/>
      <c r="J62" s="109"/>
      <c r="L62" s="109"/>
      <c r="N62" s="109"/>
      <c r="P62" s="109"/>
      <c r="R62" s="109"/>
      <c r="T62" s="109"/>
      <c r="V62" s="109"/>
      <c r="X62" s="109"/>
      <c r="Z62" s="109"/>
      <c r="AB62" s="109"/>
      <c r="AD62" s="109"/>
      <c r="AF62" s="109"/>
      <c r="AH62" s="109"/>
      <c r="AJ62" s="109"/>
      <c r="AL62" s="109"/>
      <c r="AN62" s="109"/>
      <c r="AP62" s="109"/>
      <c r="AR62" s="109"/>
      <c r="AT62" s="109"/>
      <c r="AV62" s="109"/>
      <c r="AX62" s="109"/>
      <c r="AZ62" s="109"/>
      <c r="BB62" s="109"/>
      <c r="BD62" s="109"/>
      <c r="BF62" s="109"/>
      <c r="BH62" s="109"/>
      <c r="BJ62" s="109"/>
      <c r="BL62" s="109"/>
      <c r="BN62" s="109"/>
      <c r="BP62" s="109"/>
      <c r="BR62" s="109"/>
      <c r="BT62" s="109"/>
      <c r="BV62" s="109"/>
      <c r="BX62" s="109"/>
      <c r="BZ62" s="109"/>
      <c r="CB62" s="109"/>
      <c r="CD62" s="109"/>
      <c r="CF62" s="109"/>
      <c r="CH62" s="109"/>
      <c r="CJ62" s="109"/>
      <c r="CL62" s="109"/>
      <c r="CN62" s="109"/>
      <c r="CP62" s="109"/>
      <c r="CR62" s="109"/>
      <c r="CT62" s="109"/>
      <c r="CV62" s="109"/>
      <c r="CX62" s="109"/>
      <c r="CZ62" s="109"/>
      <c r="DB62" s="109"/>
      <c r="DD62" s="109"/>
      <c r="DF62" s="109"/>
      <c r="DH62" s="109"/>
      <c r="DJ62" s="109"/>
      <c r="DL62" s="109"/>
      <c r="DN62" s="109"/>
      <c r="DP62" s="109"/>
      <c r="DR62" s="109"/>
      <c r="DT62" s="109"/>
      <c r="DV62" s="109"/>
      <c r="DX62" s="109"/>
      <c r="DZ62" s="109"/>
      <c r="EB62" s="109"/>
      <c r="ED62" s="109"/>
      <c r="EF62" s="109"/>
      <c r="EH62" s="109"/>
      <c r="EJ62" s="109"/>
      <c r="EL62" s="109"/>
      <c r="EN62" s="109"/>
      <c r="EP62" s="109"/>
      <c r="ER62" s="109"/>
      <c r="ET62" s="109"/>
      <c r="EV62" s="109"/>
      <c r="EX62" s="109"/>
      <c r="EZ62" s="109"/>
      <c r="FB62" s="109"/>
      <c r="FD62" s="109"/>
      <c r="FF62" s="109"/>
      <c r="FH62" s="109"/>
      <c r="FJ62" s="109"/>
      <c r="FL62" s="109"/>
      <c r="FN62" s="109"/>
      <c r="FP62" s="109"/>
      <c r="FR62" s="109"/>
      <c r="FT62" s="109"/>
      <c r="FV62" s="109"/>
      <c r="FX62" s="109"/>
      <c r="FZ62" s="109"/>
      <c r="GB62" s="109"/>
      <c r="GD62" s="109"/>
      <c r="GF62" s="109"/>
      <c r="GH62" s="109"/>
      <c r="GJ62" s="109"/>
      <c r="GL62" s="109"/>
      <c r="GN62" s="109"/>
      <c r="GP62" s="109"/>
      <c r="GR62" s="109"/>
      <c r="GT62" s="109"/>
      <c r="GV62" s="109"/>
      <c r="GX62" s="109"/>
      <c r="GZ62" s="109"/>
      <c r="HB62" s="109"/>
      <c r="HD62" s="109"/>
      <c r="HF62" s="109"/>
      <c r="HH62" s="109"/>
      <c r="HJ62" s="109"/>
      <c r="HL62" s="109"/>
      <c r="HN62" s="109"/>
      <c r="HP62" s="109"/>
      <c r="HR62" s="109"/>
      <c r="HT62" s="109"/>
      <c r="HV62" s="109"/>
      <c r="HX62" s="109"/>
      <c r="HZ62" s="109"/>
      <c r="IB62" s="109"/>
      <c r="ID62" s="109"/>
      <c r="IF62" s="109"/>
      <c r="IH62" s="109"/>
      <c r="IJ62" s="109"/>
      <c r="IL62" s="109"/>
      <c r="IN62" s="109"/>
      <c r="IP62" s="109"/>
      <c r="IR62" s="109"/>
      <c r="IT62" s="109"/>
      <c r="IV62" s="109"/>
    </row>
    <row r="63" spans="1:9" s="102" customFormat="1" ht="12.75">
      <c r="A63" s="106" t="s">
        <v>1270</v>
      </c>
      <c r="B63" s="106" t="s">
        <v>181</v>
      </c>
      <c r="C63" s="119">
        <f aca="true" t="shared" si="21" ref="C63:H63">IF(OR(ISERROR(C61),C61&lt;=0,C39=0),0,ROUND(C61,2))</f>
        <v>0</v>
      </c>
      <c r="D63" s="119">
        <f t="shared" si="21"/>
        <v>0</v>
      </c>
      <c r="E63" s="119">
        <f t="shared" si="21"/>
        <v>0</v>
      </c>
      <c r="F63" s="119">
        <f t="shared" si="21"/>
        <v>0</v>
      </c>
      <c r="G63" s="119">
        <f t="shared" si="21"/>
        <v>0</v>
      </c>
      <c r="H63" s="119">
        <f t="shared" si="21"/>
        <v>0</v>
      </c>
      <c r="I63" s="1"/>
    </row>
    <row r="64" spans="2:8" ht="12.75">
      <c r="B64" s="106" t="s">
        <v>182</v>
      </c>
      <c r="C64" s="119">
        <f aca="true" t="shared" si="22" ref="C64:H64">IF(OR(ISERROR(C61),C61&lt;=0,C40=0),0,ROUND(C61,2))</f>
        <v>0</v>
      </c>
      <c r="D64" s="119">
        <f t="shared" si="22"/>
        <v>0</v>
      </c>
      <c r="E64" s="119">
        <f t="shared" si="22"/>
        <v>0</v>
      </c>
      <c r="F64" s="119">
        <f t="shared" si="22"/>
        <v>0</v>
      </c>
      <c r="G64" s="119">
        <f t="shared" si="22"/>
        <v>0</v>
      </c>
      <c r="H64" s="119">
        <f t="shared" si="22"/>
        <v>0</v>
      </c>
    </row>
    <row r="65" spans="2:8" ht="12.75">
      <c r="B65" s="106" t="s">
        <v>183</v>
      </c>
      <c r="C65" s="119">
        <f aca="true" t="shared" si="23" ref="C65:H65">IF(OR(ISERROR(C61),C61&lt;=0,C41=0),0,ROUND(C61,2))</f>
        <v>0</v>
      </c>
      <c r="D65" s="119">
        <f t="shared" si="23"/>
        <v>0</v>
      </c>
      <c r="E65" s="119">
        <f t="shared" si="23"/>
        <v>0</v>
      </c>
      <c r="F65" s="119">
        <f t="shared" si="23"/>
        <v>0</v>
      </c>
      <c r="G65" s="119">
        <f t="shared" si="23"/>
        <v>0</v>
      </c>
      <c r="H65" s="119">
        <f t="shared" si="23"/>
        <v>0</v>
      </c>
    </row>
    <row r="66" spans="2:8" ht="12.75">
      <c r="B66" s="106" t="s">
        <v>184</v>
      </c>
      <c r="C66" s="119">
        <f aca="true" t="shared" si="24" ref="C66:H66">IF(OR(ISERROR(C61),C61&lt;=0,C42=0),0,ROUND(C61,2))</f>
        <v>0</v>
      </c>
      <c r="D66" s="119">
        <f t="shared" si="24"/>
        <v>0</v>
      </c>
      <c r="E66" s="119">
        <f t="shared" si="24"/>
        <v>0</v>
      </c>
      <c r="F66" s="119">
        <f t="shared" si="24"/>
        <v>0</v>
      </c>
      <c r="G66" s="119">
        <f t="shared" si="24"/>
        <v>0</v>
      </c>
      <c r="H66" s="119">
        <f t="shared" si="24"/>
        <v>0</v>
      </c>
    </row>
    <row r="67" spans="2:8" ht="12.75">
      <c r="B67" s="106" t="s">
        <v>185</v>
      </c>
      <c r="C67" s="119">
        <f aca="true" t="shared" si="25" ref="C67:H67">IF(OR(ISERROR(C61),C61&lt;=0,C43=0),0,ROUND(C61,2))</f>
        <v>0</v>
      </c>
      <c r="D67" s="119">
        <f t="shared" si="25"/>
        <v>0</v>
      </c>
      <c r="E67" s="119">
        <f t="shared" si="25"/>
        <v>0</v>
      </c>
      <c r="F67" s="119">
        <f t="shared" si="25"/>
        <v>0</v>
      </c>
      <c r="G67" s="119">
        <f t="shared" si="25"/>
        <v>0</v>
      </c>
      <c r="H67" s="119">
        <f t="shared" si="25"/>
        <v>0</v>
      </c>
    </row>
    <row r="68" spans="2:8" ht="12.75">
      <c r="B68" s="106" t="s">
        <v>186</v>
      </c>
      <c r="C68" s="119">
        <f aca="true" t="shared" si="26" ref="C68:H68">IF(OR(ISERROR(C61),C61&lt;=0,C44=0),0,ROUND(C61,2))</f>
        <v>0</v>
      </c>
      <c r="D68" s="119">
        <f t="shared" si="26"/>
        <v>0</v>
      </c>
      <c r="E68" s="119">
        <f t="shared" si="26"/>
        <v>0</v>
      </c>
      <c r="F68" s="119">
        <f t="shared" si="26"/>
        <v>0</v>
      </c>
      <c r="G68" s="119">
        <f t="shared" si="26"/>
        <v>0</v>
      </c>
      <c r="H68" s="119">
        <f t="shared" si="26"/>
        <v>0</v>
      </c>
    </row>
    <row r="69" spans="2:8" ht="12.75">
      <c r="B69" s="106" t="s">
        <v>187</v>
      </c>
      <c r="C69" s="119">
        <f aca="true" t="shared" si="27" ref="C69:H69">IF(OR(ISERROR(C61),C61&lt;=0,C45=0),0,ROUND(C61,2))</f>
        <v>0</v>
      </c>
      <c r="D69" s="119">
        <f t="shared" si="27"/>
        <v>0</v>
      </c>
      <c r="E69" s="119">
        <f t="shared" si="27"/>
        <v>0</v>
      </c>
      <c r="F69" s="119">
        <f t="shared" si="27"/>
        <v>0</v>
      </c>
      <c r="G69" s="119">
        <f t="shared" si="27"/>
        <v>0</v>
      </c>
      <c r="H69" s="119">
        <f t="shared" si="27"/>
        <v>0</v>
      </c>
    </row>
  </sheetData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G26"/>
  <sheetViews>
    <sheetView zoomScale="75" zoomScaleNormal="75" workbookViewId="0" topLeftCell="A1">
      <selection activeCell="H19" sqref="H19"/>
    </sheetView>
  </sheetViews>
  <sheetFormatPr defaultColWidth="9.140625" defaultRowHeight="12.75"/>
  <cols>
    <col min="1" max="1" width="24.421875" style="0" customWidth="1"/>
    <col min="2" max="2" width="10.00390625" style="0" customWidth="1"/>
  </cols>
  <sheetData>
    <row r="1" spans="1:7" s="6" customFormat="1" ht="12.75">
      <c r="A1" s="18" t="s">
        <v>358</v>
      </c>
      <c r="B1" s="6" t="s">
        <v>359</v>
      </c>
      <c r="C1" s="6" t="s">
        <v>360</v>
      </c>
      <c r="D1" s="6" t="s">
        <v>361</v>
      </c>
      <c r="E1" s="6" t="s">
        <v>362</v>
      </c>
      <c r="F1" s="6" t="s">
        <v>363</v>
      </c>
      <c r="G1" s="6" t="s">
        <v>364</v>
      </c>
    </row>
    <row r="2" spans="1:7" s="45" customFormat="1" ht="12.75">
      <c r="A2" s="132" t="s">
        <v>369</v>
      </c>
      <c r="B2" s="133">
        <f>INDEX(Age,,1)</f>
        <v>0</v>
      </c>
      <c r="C2" s="133">
        <f>INDEX(Age,,2)</f>
        <v>0</v>
      </c>
      <c r="D2" s="133">
        <f>INDEX(Age,,3)</f>
        <v>0</v>
      </c>
      <c r="E2" s="133">
        <f>INDEX(Age,,4)</f>
        <v>0</v>
      </c>
      <c r="F2" s="133">
        <f>INDEX(Age,,5)</f>
        <v>0</v>
      </c>
      <c r="G2" s="133">
        <f>INDEX(Age,,6)</f>
        <v>0</v>
      </c>
    </row>
    <row r="3" spans="1:7" ht="12.75">
      <c r="A3" s="134" t="s">
        <v>370</v>
      </c>
      <c r="B3" s="133">
        <f>INDEX(Sex,,1)</f>
        <v>0</v>
      </c>
      <c r="C3" s="133">
        <f>INDEX(Sex,,2)</f>
        <v>0</v>
      </c>
      <c r="D3" s="133">
        <f>INDEX(Sex,,3)</f>
        <v>0</v>
      </c>
      <c r="E3" s="133">
        <f>INDEX(Sex,,4)</f>
        <v>0</v>
      </c>
      <c r="F3" s="133">
        <f>INDEX(Sex,,5)</f>
        <v>0</v>
      </c>
      <c r="G3" s="133">
        <f>INDEX(Sex,,6)</f>
        <v>0</v>
      </c>
    </row>
    <row r="4" spans="1:7" ht="12.75">
      <c r="A4" s="134" t="s">
        <v>372</v>
      </c>
      <c r="B4" s="133">
        <f>INDEX(Marital_Status,,1)</f>
        <v>0</v>
      </c>
      <c r="C4" s="133">
        <f>INDEX(Marital_Status,,2)</f>
        <v>0</v>
      </c>
      <c r="D4" s="133">
        <f>INDEX(Marital_Status,,3)</f>
        <v>0</v>
      </c>
      <c r="E4" s="133">
        <f>INDEX(Marital_Status,,4)</f>
        <v>0</v>
      </c>
      <c r="F4" s="133">
        <f>INDEX(Marital_Status,,5)</f>
        <v>0</v>
      </c>
      <c r="G4" s="133">
        <f>INDEX(Marital_Status,,6)</f>
        <v>0</v>
      </c>
    </row>
    <row r="5" spans="1:7" ht="12.75">
      <c r="A5" s="134" t="s">
        <v>188</v>
      </c>
      <c r="B5" s="135">
        <f>INDEX(Good_Student_Credit?,,1)</f>
        <v>0</v>
      </c>
      <c r="C5" s="135">
        <f>INDEX(Good_Student_Credit?,,2)</f>
        <v>0</v>
      </c>
      <c r="D5" s="135">
        <f>INDEX(Good_Student_Credit?,,3)</f>
        <v>0</v>
      </c>
      <c r="E5" s="135">
        <f>INDEX(Good_Student_Credit?,,4)</f>
        <v>0</v>
      </c>
      <c r="F5" s="135">
        <f>INDEX(Good_Student_Credit?,,5)</f>
        <v>0</v>
      </c>
      <c r="G5" s="135">
        <f>INDEX(Good_Student_Credit?,,6)</f>
        <v>0</v>
      </c>
    </row>
    <row r="6" spans="1:7" ht="12.75">
      <c r="A6" s="134" t="s">
        <v>189</v>
      </c>
      <c r="B6" s="135">
        <f>INDEX(College_Graduate_Scholastic_Achievement_Discount?,,1)</f>
        <v>0</v>
      </c>
      <c r="C6" s="135">
        <f>INDEX(College_Graduate_Scholastic_Achievement_Discount?,,2)</f>
        <v>0</v>
      </c>
      <c r="D6" s="135">
        <f>INDEX(College_Graduate_Scholastic_Achievement_Discount?,,3)</f>
        <v>0</v>
      </c>
      <c r="E6" s="135">
        <f>INDEX(College_Graduate_Scholastic_Achievement_Discount?,,4)</f>
        <v>0</v>
      </c>
      <c r="F6" s="135">
        <f>INDEX(College_Graduate_Scholastic_Achievement_Discount?,,5)</f>
        <v>0</v>
      </c>
      <c r="G6" s="135">
        <f>INDEX(College_Graduate_Scholastic_Achievement_Discount?,,6)</f>
        <v>0</v>
      </c>
    </row>
    <row r="7" spans="1:7" ht="12.75">
      <c r="A7" s="134" t="s">
        <v>190</v>
      </c>
      <c r="B7" s="135">
        <f>INDEX(Distant_Student?,,1)</f>
        <v>0</v>
      </c>
      <c r="C7" s="135">
        <f>INDEX(Distant_Student?,,2)</f>
        <v>0</v>
      </c>
      <c r="D7" s="135">
        <f>INDEX(Distant_Student?,,3)</f>
        <v>0</v>
      </c>
      <c r="E7" s="135">
        <f>INDEX(Distant_Student?,,4)</f>
        <v>0</v>
      </c>
      <c r="F7" s="135">
        <f>INDEX(Distant_Student?,,5)</f>
        <v>0</v>
      </c>
      <c r="G7" s="135">
        <f>INDEX(Distant_Student?,,6)</f>
        <v>0</v>
      </c>
    </row>
    <row r="8" spans="2:7" s="47" customFormat="1" ht="12.75">
      <c r="B8" s="45"/>
      <c r="C8" s="45"/>
      <c r="D8" s="45"/>
      <c r="E8" s="45"/>
      <c r="F8" s="45"/>
      <c r="G8" s="45"/>
    </row>
    <row r="9" spans="1:7" s="47" customFormat="1" ht="12.75">
      <c r="A9" s="45" t="s">
        <v>191</v>
      </c>
      <c r="B9" s="136" t="str">
        <f aca="true" t="shared" si="0" ref="B9:G9">IF(OR(AND(B3="F",B4&lt;&gt;"M",B2&gt;0,B2&lt;25),AND(B3="M",B4&lt;&gt;"M",B2&gt;0,B2&lt;30),AND(B3="M",B4="M",B2&gt;0,B2&lt;25)),"Y","N")</f>
        <v>N</v>
      </c>
      <c r="C9" s="136" t="str">
        <f t="shared" si="0"/>
        <v>N</v>
      </c>
      <c r="D9" s="136" t="str">
        <f t="shared" si="0"/>
        <v>N</v>
      </c>
      <c r="E9" s="136" t="str">
        <f t="shared" si="0"/>
        <v>N</v>
      </c>
      <c r="F9" s="136" t="str">
        <f t="shared" si="0"/>
        <v>N</v>
      </c>
      <c r="G9" s="136" t="str">
        <f t="shared" si="0"/>
        <v>N</v>
      </c>
    </row>
    <row r="10" spans="1:7" s="47" customFormat="1" ht="12.75">
      <c r="A10" s="45" t="s">
        <v>192</v>
      </c>
      <c r="B10" s="137" t="str">
        <f aca="true" t="shared" si="1" ref="B10:G10">IF(AND(B3="M",B4&lt;&gt;"M",B9="Y"),"Y","N")</f>
        <v>N</v>
      </c>
      <c r="C10" s="137" t="str">
        <f t="shared" si="1"/>
        <v>N</v>
      </c>
      <c r="D10" s="137" t="str">
        <f t="shared" si="1"/>
        <v>N</v>
      </c>
      <c r="E10" s="137" t="str">
        <f t="shared" si="1"/>
        <v>N</v>
      </c>
      <c r="F10" s="137" t="str">
        <f t="shared" si="1"/>
        <v>N</v>
      </c>
      <c r="G10" s="137" t="str">
        <f t="shared" si="1"/>
        <v>N</v>
      </c>
    </row>
    <row r="11" spans="1:7" s="47" customFormat="1" ht="12.75">
      <c r="A11" s="45" t="s">
        <v>193</v>
      </c>
      <c r="B11" s="137" t="str">
        <f aca="true" t="shared" si="2" ref="B11:G11">IF(AND(B3="M",B9="Y"),"Y","N")</f>
        <v>N</v>
      </c>
      <c r="C11" s="137" t="str">
        <f t="shared" si="2"/>
        <v>N</v>
      </c>
      <c r="D11" s="137" t="str">
        <f t="shared" si="2"/>
        <v>N</v>
      </c>
      <c r="E11" s="137" t="str">
        <f t="shared" si="2"/>
        <v>N</v>
      </c>
      <c r="F11" s="137" t="str">
        <f t="shared" si="2"/>
        <v>N</v>
      </c>
      <c r="G11" s="137" t="str">
        <f t="shared" si="2"/>
        <v>N</v>
      </c>
    </row>
    <row r="12" spans="1:7" s="47" customFormat="1" ht="12.75">
      <c r="A12" s="45"/>
      <c r="B12" s="137"/>
      <c r="C12" s="137"/>
      <c r="D12" s="137"/>
      <c r="E12" s="137"/>
      <c r="F12" s="137"/>
      <c r="G12" s="137"/>
    </row>
    <row r="13" spans="1:7" s="47" customFormat="1" ht="12.75">
      <c r="A13" s="137" t="s">
        <v>194</v>
      </c>
      <c r="B13" s="137" t="str">
        <f>IF(OR(B10="Y",C10="Y",D10="Y",E10="Y",F10="Y",G10="Y"),"Y","N")</f>
        <v>N</v>
      </c>
      <c r="C13" s="137"/>
      <c r="D13" s="137"/>
      <c r="E13" s="137"/>
      <c r="F13" s="137"/>
      <c r="G13" s="137"/>
    </row>
    <row r="14" spans="1:7" s="47" customFormat="1" ht="12.75">
      <c r="A14" s="137" t="s">
        <v>195</v>
      </c>
      <c r="B14" s="137" t="str">
        <f>IF(OR(B11="Y",C11="Y",D11="Y",E11="Y",F11="Y",G11="Y"),"Y","N")</f>
        <v>N</v>
      </c>
      <c r="C14" s="137"/>
      <c r="D14" s="137"/>
      <c r="E14" s="137"/>
      <c r="F14" s="137"/>
      <c r="G14" s="137"/>
    </row>
    <row r="15" spans="1:7" s="47" customFormat="1" ht="12.75">
      <c r="A15" s="45"/>
      <c r="B15" s="137"/>
      <c r="C15" s="137"/>
      <c r="D15" s="137"/>
      <c r="E15" s="137"/>
      <c r="F15" s="137"/>
      <c r="G15" s="137"/>
    </row>
    <row r="16" spans="1:7" s="47" customFormat="1" ht="12.75">
      <c r="A16" s="45" t="s">
        <v>196</v>
      </c>
      <c r="B16" s="136" t="str">
        <f aca="true" t="shared" si="3" ref="B16:G16">IF(AND(B3="F",B9="Y"),IF(B14="Y","N","Y"),"N")</f>
        <v>N</v>
      </c>
      <c r="C16" s="136" t="str">
        <f t="shared" si="3"/>
        <v>N</v>
      </c>
      <c r="D16" s="136" t="str">
        <f t="shared" si="3"/>
        <v>N</v>
      </c>
      <c r="E16" s="136" t="str">
        <f t="shared" si="3"/>
        <v>N</v>
      </c>
      <c r="F16" s="136" t="str">
        <f t="shared" si="3"/>
        <v>N</v>
      </c>
      <c r="G16" s="136" t="str">
        <f t="shared" si="3"/>
        <v>N</v>
      </c>
    </row>
    <row r="17" spans="1:7" s="47" customFormat="1" ht="12.75">
      <c r="A17" s="45" t="s">
        <v>197</v>
      </c>
      <c r="B17" s="136" t="str">
        <f aca="true" t="shared" si="4" ref="B17:G17">IF(AND(B3="M",B9="Y",B4="M"),IF(B13="Y","N","Y"),B9)</f>
        <v>N</v>
      </c>
      <c r="C17" s="136" t="str">
        <f t="shared" si="4"/>
        <v>N</v>
      </c>
      <c r="D17" s="136" t="str">
        <f t="shared" si="4"/>
        <v>N</v>
      </c>
      <c r="E17" s="136" t="str">
        <f t="shared" si="4"/>
        <v>N</v>
      </c>
      <c r="F17" s="136" t="str">
        <f t="shared" si="4"/>
        <v>N</v>
      </c>
      <c r="G17" s="136" t="str">
        <f t="shared" si="4"/>
        <v>N</v>
      </c>
    </row>
    <row r="18" spans="1:7" s="47" customFormat="1" ht="12.75">
      <c r="A18" s="45"/>
      <c r="B18" s="136"/>
      <c r="C18" s="136"/>
      <c r="D18" s="136"/>
      <c r="E18" s="136"/>
      <c r="F18" s="136"/>
      <c r="G18" s="136"/>
    </row>
    <row r="19" spans="1:7" s="47" customFormat="1" ht="12.75">
      <c r="A19" s="45" t="s">
        <v>198</v>
      </c>
      <c r="B19" s="136">
        <f aca="true" t="shared" si="5" ref="B19:G19">IF(B2&gt;60,1,0)</f>
        <v>0</v>
      </c>
      <c r="C19" s="136">
        <f t="shared" si="5"/>
        <v>0</v>
      </c>
      <c r="D19" s="136">
        <f t="shared" si="5"/>
        <v>0</v>
      </c>
      <c r="E19" s="136">
        <f t="shared" si="5"/>
        <v>0</v>
      </c>
      <c r="F19" s="136">
        <f t="shared" si="5"/>
        <v>0</v>
      </c>
      <c r="G19" s="136">
        <f t="shared" si="5"/>
        <v>0</v>
      </c>
    </row>
    <row r="20" spans="2:7" s="47" customFormat="1" ht="12.75">
      <c r="B20" s="45"/>
      <c r="C20" s="45"/>
      <c r="D20" s="45"/>
      <c r="E20" s="45"/>
      <c r="F20" s="45"/>
      <c r="G20" s="45"/>
    </row>
    <row r="21" spans="1:7" ht="12.75">
      <c r="A21" s="87" t="s">
        <v>199</v>
      </c>
      <c r="B21" s="138" t="str">
        <f aca="true" t="shared" si="6" ref="B21:G21">IF(B3="F",B16,B17)</f>
        <v>N</v>
      </c>
      <c r="C21" s="138" t="str">
        <f t="shared" si="6"/>
        <v>N</v>
      </c>
      <c r="D21" s="138" t="str">
        <f t="shared" si="6"/>
        <v>N</v>
      </c>
      <c r="E21" s="138" t="str">
        <f t="shared" si="6"/>
        <v>N</v>
      </c>
      <c r="F21" s="138" t="str">
        <f t="shared" si="6"/>
        <v>N</v>
      </c>
      <c r="G21" s="138" t="str">
        <f t="shared" si="6"/>
        <v>N</v>
      </c>
    </row>
    <row r="22" spans="1:7" ht="12.75">
      <c r="A22" s="87" t="s">
        <v>200</v>
      </c>
      <c r="B22" s="87" t="str">
        <f aca="true" t="shared" si="7" ref="B22:G22">IF(OR(B4="M",AND(B4&lt;&gt;"M",B21="Y",B7="Y")),"Y","N")</f>
        <v>N</v>
      </c>
      <c r="C22" s="87" t="str">
        <f t="shared" si="7"/>
        <v>N</v>
      </c>
      <c r="D22" s="87" t="str">
        <f t="shared" si="7"/>
        <v>N</v>
      </c>
      <c r="E22" s="87" t="str">
        <f t="shared" si="7"/>
        <v>N</v>
      </c>
      <c r="F22" s="87" t="str">
        <f t="shared" si="7"/>
        <v>N</v>
      </c>
      <c r="G22" s="87" t="str">
        <f t="shared" si="7"/>
        <v>N</v>
      </c>
    </row>
    <row r="23" spans="1:7" ht="12.75">
      <c r="A23" s="87" t="s">
        <v>201</v>
      </c>
      <c r="B23" s="87" t="str">
        <f aca="true" t="shared" si="8" ref="B23:G23">IF(OR(B5="Y",B6="Y"),"Y","N")</f>
        <v>N</v>
      </c>
      <c r="C23" s="87" t="str">
        <f t="shared" si="8"/>
        <v>N</v>
      </c>
      <c r="D23" s="87" t="str">
        <f t="shared" si="8"/>
        <v>N</v>
      </c>
      <c r="E23" s="87" t="str">
        <f t="shared" si="8"/>
        <v>N</v>
      </c>
      <c r="F23" s="87" t="str">
        <f t="shared" si="8"/>
        <v>N</v>
      </c>
      <c r="G23" s="87" t="str">
        <f t="shared" si="8"/>
        <v>N</v>
      </c>
    </row>
    <row r="24" spans="1:7" ht="12.75">
      <c r="A24" s="87" t="s">
        <v>202</v>
      </c>
      <c r="B24" s="139" t="str">
        <f>IF(INDEX(Operator_Status_of_Driver,,1)="S#OPERSTATUS01","Y","N")</f>
        <v>N</v>
      </c>
      <c r="C24" s="139" t="str">
        <f>IF(INDEX(Operator_Status_of_Driver,,2)="S#OPERSTATUS01","Y","N")</f>
        <v>N</v>
      </c>
      <c r="D24" s="139" t="str">
        <f>IF(INDEX(Operator_Status_of_Driver,,3)="S#OPERSTATUS01","Y","N")</f>
        <v>N</v>
      </c>
      <c r="E24" s="139" t="str">
        <f>IF(INDEX(Operator_Status_of_Driver,,4)="S#OPERSTATUS01","Y","N")</f>
        <v>N</v>
      </c>
      <c r="F24" s="139" t="str">
        <f>IF(INDEX(Operator_Status_of_Driver,,5)="S#OPERSTATUS01","Y","N")</f>
        <v>N</v>
      </c>
      <c r="G24" s="139" t="str">
        <f>IF(INDEX(Operator_Status_of_Driver,,6)="S#OPERSTATUS01","Y","N")</f>
        <v>N</v>
      </c>
    </row>
    <row r="25" spans="1:7" s="137" customFormat="1" ht="12.75">
      <c r="A25" s="87" t="s">
        <v>203</v>
      </c>
      <c r="B25" s="140" t="str">
        <f>IF(OR(B21="Y",C21="Y",D21="Y",E21="Y",F21="Y",G21="Y"),"Y","N")</f>
        <v>N</v>
      </c>
      <c r="C25" s="140"/>
      <c r="D25" s="140"/>
      <c r="E25" s="140"/>
      <c r="F25" s="140"/>
      <c r="G25" s="140"/>
    </row>
    <row r="26" spans="1:2" ht="12.75">
      <c r="A26" s="87" t="s">
        <v>204</v>
      </c>
      <c r="B26" s="140">
        <f>SUM(B19:G19)</f>
        <v>0</v>
      </c>
    </row>
  </sheetData>
  <printOptions/>
  <pageMargins left="0.75" right="0.75" top="1" bottom="1" header="0.5" footer="0.5"/>
  <pageSetup horizontalDpi="600" verticalDpi="600" orientation="portrait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29"/>
  <sheetViews>
    <sheetView workbookViewId="0" topLeftCell="A1">
      <selection activeCell="E21" sqref="E21"/>
    </sheetView>
  </sheetViews>
  <sheetFormatPr defaultColWidth="9.140625" defaultRowHeight="12.75"/>
  <cols>
    <col min="1" max="1" width="52.140625" style="0" customWidth="1"/>
    <col min="2" max="2" width="13.140625" style="0" customWidth="1"/>
    <col min="3" max="3" width="14.8515625" style="0" customWidth="1"/>
    <col min="4" max="4" width="11.7109375" style="0" customWidth="1"/>
    <col min="5" max="10" width="9.421875" style="0" bestFit="1" customWidth="1"/>
    <col min="11" max="11" width="30.00390625" style="0" bestFit="1" customWidth="1"/>
  </cols>
  <sheetData>
    <row r="1" spans="1:14" ht="16.5" customHeight="1" thickBot="1">
      <c r="A1" s="68" t="s">
        <v>1095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1"/>
    </row>
    <row r="2" spans="1:14" s="31" customFormat="1" ht="25.5">
      <c r="A2" s="69" t="s">
        <v>1096</v>
      </c>
      <c r="B2" s="144"/>
      <c r="C2" s="144"/>
      <c r="D2" s="144"/>
      <c r="E2" s="70" t="s">
        <v>428</v>
      </c>
      <c r="F2" s="71" t="s">
        <v>429</v>
      </c>
      <c r="G2" s="71" t="s">
        <v>430</v>
      </c>
      <c r="H2" s="71" t="s">
        <v>431</v>
      </c>
      <c r="I2" s="71" t="s">
        <v>432</v>
      </c>
      <c r="J2" s="72" t="s">
        <v>433</v>
      </c>
      <c r="K2" s="31" t="s">
        <v>229</v>
      </c>
      <c r="N2" s="6"/>
    </row>
    <row r="3" spans="1:14" s="31" customFormat="1" ht="12.75">
      <c r="A3" s="73"/>
      <c r="B3" s="145"/>
      <c r="C3" s="145"/>
      <c r="D3" s="145"/>
      <c r="E3" s="74"/>
      <c r="F3" s="59"/>
      <c r="G3" s="59"/>
      <c r="H3" s="59"/>
      <c r="I3" s="59"/>
      <c r="J3" s="75"/>
      <c r="N3" s="6"/>
    </row>
    <row r="4" spans="1:14" s="31" customFormat="1" ht="12.75">
      <c r="A4" s="76" t="s">
        <v>445</v>
      </c>
      <c r="B4" s="146"/>
      <c r="C4" s="146"/>
      <c r="D4" s="146"/>
      <c r="E4" s="77">
        <f>INDEX(Vehicle_Symbol,1,1)</f>
        <v>0</v>
      </c>
      <c r="F4" s="77">
        <f>INDEX(Vehicle_Symbol,1,2)</f>
        <v>0</v>
      </c>
      <c r="G4" s="77">
        <f>INDEX(Vehicle_Symbol,1,3)</f>
        <v>0</v>
      </c>
      <c r="H4" s="77">
        <f>INDEX(Vehicle_Symbol,1,4)</f>
        <v>0</v>
      </c>
      <c r="I4" s="77">
        <f>INDEX(Vehicle_Symbol,1,5)</f>
        <v>0</v>
      </c>
      <c r="J4" s="78">
        <f>INDEX(Vehicle_Symbol,1,6)</f>
        <v>0</v>
      </c>
      <c r="N4" s="6"/>
    </row>
    <row r="5" spans="1:14" s="31" customFormat="1" ht="12.75">
      <c r="A5" s="76" t="s">
        <v>1097</v>
      </c>
      <c r="B5" s="146"/>
      <c r="C5" s="146"/>
      <c r="D5" s="146"/>
      <c r="E5" s="77">
        <f>INDEX(Driver_Primary_Class_Code,1,1)&amp;INDEX(Driver_Secondary_Class_Code,1,1)</f>
      </c>
      <c r="F5" s="77">
        <f>INDEX(Driver_Primary_Class_Code,1,2)&amp;INDEX(Driver_Secondary_Class_Code,1,2)</f>
      </c>
      <c r="G5" s="77">
        <f>INDEX(Driver_Primary_Class_Code,1,3)&amp;INDEX(Driver_Secondary_Class_Code,1,3)</f>
      </c>
      <c r="H5" s="77">
        <f>INDEX(Driver_Primary_Class_Code,1,4)&amp;INDEX(Driver_Secondary_Class_Code,1,4)</f>
      </c>
      <c r="I5" s="77">
        <f>INDEX(Driver_Primary_Class_Code,1,5)&amp;INDEX(Driver_Secondary_Class_Code,1,5)</f>
      </c>
      <c r="J5" s="78">
        <f>INDEX(Driver_Primary_Class_Code,1,6)&amp;INDEX(Driver_Secondary_Class_Code,1,6)</f>
      </c>
      <c r="N5" s="6"/>
    </row>
    <row r="6" spans="1:14" s="31" customFormat="1" ht="12.75">
      <c r="A6" s="76" t="s">
        <v>1098</v>
      </c>
      <c r="B6" s="146"/>
      <c r="C6" s="146"/>
      <c r="D6" s="146"/>
      <c r="E6" s="77">
        <f>INDEX(Primary_class_factor_for_BI_and_PD,1,1)+INDEX(Secondary_class_factor_for_BI_and_PD,1,1)</f>
        <v>0</v>
      </c>
      <c r="F6" s="77">
        <f>INDEX(Primary_class_factor_for_BI_and_PD,1,2)+INDEX(Secondary_class_factor_for_BI_and_PD,1,2)</f>
        <v>0</v>
      </c>
      <c r="G6" s="77">
        <f>INDEX(Primary_class_factor_for_BI_and_PD,1,3)+INDEX(Secondary_class_factor_for_BI_and_PD,1,3)</f>
        <v>0</v>
      </c>
      <c r="H6" s="77">
        <f>INDEX(Primary_class_factor_for_BI_and_PD,1,4)+INDEX(Secondary_class_factor_for_BI_and_PD,1,4)</f>
        <v>0</v>
      </c>
      <c r="I6" s="77">
        <f>INDEX(Primary_class_factor_for_BI_and_PD,1,5)+INDEX(Secondary_class_factor_for_BI_and_PD,1,5)</f>
        <v>0</v>
      </c>
      <c r="J6" s="78">
        <f>INDEX(Primary_class_factor_for_BI_and_PD,1,6)+INDEX(Secondary_class_factor_for_BI_and_PD,1,6)</f>
        <v>0</v>
      </c>
      <c r="N6" s="6"/>
    </row>
    <row r="7" spans="1:14" s="31" customFormat="1" ht="12.75">
      <c r="A7" s="76" t="s">
        <v>1099</v>
      </c>
      <c r="B7" s="146"/>
      <c r="C7" s="146"/>
      <c r="D7" s="146"/>
      <c r="E7" s="79">
        <f>Tier_Rating_Market_Indicator_Description</f>
        <v>0</v>
      </c>
      <c r="F7" s="80"/>
      <c r="G7" s="80"/>
      <c r="H7" s="80"/>
      <c r="I7" s="80"/>
      <c r="J7" s="81"/>
      <c r="N7" s="6"/>
    </row>
    <row r="8" spans="1:14" s="31" customFormat="1" ht="12.75">
      <c r="A8" s="76" t="s">
        <v>1100</v>
      </c>
      <c r="B8" s="146"/>
      <c r="C8" s="146"/>
      <c r="D8" s="146"/>
      <c r="E8" s="77">
        <f>INDEX(Garage_Territory,1,1)</f>
        <v>0</v>
      </c>
      <c r="F8" s="77">
        <f>INDEX(Garage_Territory,1,2)</f>
        <v>0</v>
      </c>
      <c r="G8" s="77">
        <f>INDEX(Garage_Territory,1,3)</f>
        <v>0</v>
      </c>
      <c r="H8" s="77">
        <f>INDEX(Garage_Territory,1,4)</f>
        <v>0</v>
      </c>
      <c r="I8" s="77">
        <f>INDEX(Garage_Territory,1,5)</f>
        <v>0</v>
      </c>
      <c r="J8" s="78">
        <f>INDEX(Garage_Territory,1,6)</f>
        <v>0</v>
      </c>
      <c r="N8" s="6"/>
    </row>
    <row r="9" spans="1:14" s="31" customFormat="1" ht="12.75">
      <c r="A9" s="73"/>
      <c r="B9" s="145"/>
      <c r="C9" s="145"/>
      <c r="D9" s="145"/>
      <c r="E9" s="74"/>
      <c r="F9" s="59"/>
      <c r="G9" s="59"/>
      <c r="H9" s="59"/>
      <c r="I9" s="59"/>
      <c r="J9" s="75"/>
      <c r="N9" s="6"/>
    </row>
    <row r="10" spans="1:14" s="31" customFormat="1" ht="38.25">
      <c r="A10" s="73" t="s">
        <v>1101</v>
      </c>
      <c r="B10" s="145" t="s">
        <v>894</v>
      </c>
      <c r="C10" s="145" t="s">
        <v>1485</v>
      </c>
      <c r="D10" s="145" t="s">
        <v>895</v>
      </c>
      <c r="E10" s="74"/>
      <c r="F10" s="59"/>
      <c r="G10" s="59"/>
      <c r="H10" s="59"/>
      <c r="I10" s="59"/>
      <c r="J10" s="75"/>
      <c r="N10" s="6"/>
    </row>
    <row r="11" spans="1:14" s="31" customFormat="1" ht="12.75">
      <c r="A11" s="73"/>
      <c r="B11" s="145"/>
      <c r="C11" s="145"/>
      <c r="D11" s="145"/>
      <c r="E11" s="74"/>
      <c r="F11" s="59"/>
      <c r="G11" s="59"/>
      <c r="H11" s="59"/>
      <c r="I11" s="59"/>
      <c r="J11" s="75"/>
      <c r="N11" s="6"/>
    </row>
    <row r="12" spans="1:14" ht="12.75" customHeight="1">
      <c r="A12" s="82" t="str">
        <f>IF(CSL,"CSL: ","Bodily Injury Limit : ")&amp;IF(CSL_or_Split_Desc="CSL",DOLLAR(CSL_for_BI_and_PD_Description,0),Split_BI_Limit_Description)</f>
        <v>Bodily Injury Limit : </v>
      </c>
      <c r="B12" s="147" t="s">
        <v>256</v>
      </c>
      <c r="C12" s="147" t="str">
        <f>IF(CSL,"CSL","BI")</f>
        <v>BI</v>
      </c>
      <c r="D12" s="147"/>
      <c r="E12" s="83">
        <f>INDEX(Bodily_Injury_Premium,1,1)</f>
        <v>0</v>
      </c>
      <c r="F12" s="83">
        <f>INDEX(Bodily_Injury_Premium,1,2)</f>
        <v>0</v>
      </c>
      <c r="G12" s="83">
        <f>INDEX(Bodily_Injury_Premium,1,3)</f>
        <v>0</v>
      </c>
      <c r="H12" s="83">
        <f>INDEX(Bodily_Injury_Premium,1,4)</f>
        <v>0</v>
      </c>
      <c r="I12" s="83">
        <f>INDEX(Bodily_Injury_Premium,1,5)</f>
        <v>0</v>
      </c>
      <c r="J12" s="84">
        <f>INDEX(Bodily_Injury_Premium,1,6)</f>
        <v>0</v>
      </c>
      <c r="K12" t="s">
        <v>1102</v>
      </c>
      <c r="N12" s="1"/>
    </row>
    <row r="13" spans="1:14" ht="12.75">
      <c r="A13" s="82" t="str">
        <f>"Property Damage Limit :   "&amp;DOLLAR(Property_Damage_Limt_Description,0)</f>
        <v>Property Damage Limit :   $0</v>
      </c>
      <c r="B13" s="147" t="s">
        <v>256</v>
      </c>
      <c r="C13" s="147" t="s">
        <v>629</v>
      </c>
      <c r="D13" s="147"/>
      <c r="E13" s="83">
        <f>INDEX(Property_Damage_Premium,1,1)</f>
        <v>0</v>
      </c>
      <c r="F13" s="83">
        <f>INDEX(Property_Damage_Premium,1,2)</f>
        <v>0</v>
      </c>
      <c r="G13" s="83">
        <f>INDEX(Property_Damage_Premium,1,3)</f>
        <v>0</v>
      </c>
      <c r="H13" s="83">
        <f>INDEX(Property_Damage_Premium,1,4)</f>
        <v>0</v>
      </c>
      <c r="I13" s="83">
        <f>INDEX(Property_Damage_Premium,1,5)</f>
        <v>0</v>
      </c>
      <c r="J13" s="84">
        <f>INDEX(Property_Damage_Premium,1,6)</f>
        <v>0</v>
      </c>
      <c r="K13" t="s">
        <v>1103</v>
      </c>
      <c r="N13" s="1"/>
    </row>
    <row r="14" spans="1:14" ht="12.75">
      <c r="A14" s="82" t="s">
        <v>1104</v>
      </c>
      <c r="B14" s="147" t="s">
        <v>256</v>
      </c>
      <c r="C14" s="147" t="s">
        <v>1487</v>
      </c>
      <c r="D14" s="147"/>
      <c r="E14" s="83">
        <f>INDEX(MI_PPI_Premium,1,1)</f>
        <v>0</v>
      </c>
      <c r="F14" s="83">
        <f>INDEX(MI_PPI_Premium,1,2)</f>
        <v>0</v>
      </c>
      <c r="G14" s="83">
        <f>INDEX(MI_PPI_Premium,1,3)</f>
        <v>0</v>
      </c>
      <c r="H14" s="83">
        <f>INDEX(MI_PPI_Premium,1,4)</f>
        <v>0</v>
      </c>
      <c r="I14" s="83">
        <f>INDEX(MI_PPI_Premium,1,5)</f>
        <v>0</v>
      </c>
      <c r="J14" s="84">
        <f>INDEX(MI_PPI_Premium,1,6)</f>
        <v>0</v>
      </c>
      <c r="K14" t="s">
        <v>1105</v>
      </c>
      <c r="N14" s="1"/>
    </row>
    <row r="15" spans="1:14" ht="12.75">
      <c r="A15" s="82" t="str">
        <f>"Uninsured Motorist - "&amp;IF(CSL,"CSL: ","Bodily Injury Limit : ")&amp;IF(CSL_or_Split_Desc="CSL",DOLLAR(CSL_for_UM_Description,0),Split_BI_Limit_for_UM_Description)</f>
        <v>Uninsured Motorist - Bodily Injury Limit : </v>
      </c>
      <c r="B15" s="147" t="s">
        <v>256</v>
      </c>
      <c r="C15" s="147" t="str">
        <f>IF(CSL,"UMCSL","UM")</f>
        <v>UM</v>
      </c>
      <c r="D15" s="147"/>
      <c r="E15" s="83">
        <f>INDEX(Uninsured_Motorist_Bodily_Injury_Premium,1,1)</f>
        <v>0</v>
      </c>
      <c r="F15" s="83">
        <f>INDEX(Uninsured_Motorist_Bodily_Injury_Premium,1,2)</f>
        <v>0</v>
      </c>
      <c r="G15" s="83">
        <f>INDEX(Uninsured_Motorist_Bodily_Injury_Premium,1,3)</f>
        <v>0</v>
      </c>
      <c r="H15" s="83">
        <f>INDEX(Uninsured_Motorist_Bodily_Injury_Premium,1,4)</f>
        <v>0</v>
      </c>
      <c r="I15" s="83">
        <f>INDEX(Uninsured_Motorist_Bodily_Injury_Premium,1,5)</f>
        <v>0</v>
      </c>
      <c r="J15" s="84">
        <f>INDEX(Uninsured_Motorist_Bodily_Injury_Premium,1,6)</f>
        <v>0</v>
      </c>
      <c r="K15" t="s">
        <v>1106</v>
      </c>
      <c r="N15" s="1"/>
    </row>
    <row r="16" spans="1:14" ht="12.75">
      <c r="A16" s="82" t="str">
        <f>"Uninsured Motorist - Property Damage Limit :"&amp;DOLLAR(Property_Damage_Limit_for_UM_Description,0)</f>
        <v>Uninsured Motorist - Property Damage Limit :$0</v>
      </c>
      <c r="B16" s="147" t="s">
        <v>256</v>
      </c>
      <c r="C16" s="147" t="s">
        <v>1488</v>
      </c>
      <c r="D16" s="147"/>
      <c r="E16" s="83">
        <f>INDEX(Uninsured_Motorist_PD_Premium,1,1)</f>
        <v>0</v>
      </c>
      <c r="F16" s="83">
        <f>INDEX(Uninsured_Motorist_PD_Premium,1,2)</f>
        <v>0</v>
      </c>
      <c r="G16" s="83">
        <f>INDEX(Uninsured_Motorist_PD_Premium,1,3)</f>
        <v>0</v>
      </c>
      <c r="H16" s="83">
        <f>INDEX(Uninsured_Motorist_PD_Premium,1,4)</f>
        <v>0</v>
      </c>
      <c r="I16" s="83">
        <f>INDEX(Uninsured_Motorist_PD_Premium,1,5)</f>
        <v>0</v>
      </c>
      <c r="J16" s="84">
        <f>INDEX(Uninsured_Motorist_PD_Premium,1,6)</f>
        <v>0</v>
      </c>
      <c r="K16" t="s">
        <v>1106</v>
      </c>
      <c r="N16" s="1"/>
    </row>
    <row r="17" spans="1:14" ht="12.75">
      <c r="A17" s="82" t="str">
        <f>"Underinsured Motorist - "&amp;IF(CSL,"CSL: ","Bodily Injury Limit : ")&amp;IF(CSL_or_Split_Desc="CSL",DOLLAR(CSL_for_UIM_Description,0),Split_BI_Limit_for_UIM_Description)</f>
        <v>Underinsured Motorist - Bodily Injury Limit : </v>
      </c>
      <c r="B17" s="147" t="s">
        <v>256</v>
      </c>
      <c r="C17" s="147" t="str">
        <f>IF(CSL,"UNCSL","UNDUM")</f>
        <v>UNDUM</v>
      </c>
      <c r="D17" s="147"/>
      <c r="E17" s="83">
        <f>INDEX(Underinsured_Motorist_Bodily_Injury_Premium,1,1)</f>
        <v>0</v>
      </c>
      <c r="F17" s="83">
        <f>INDEX(Underinsured_Motorist_Bodily_Injury_Premium,1,2)</f>
        <v>0</v>
      </c>
      <c r="G17" s="83">
        <f>INDEX(Underinsured_Motorist_Bodily_Injury_Premium,1,3)</f>
        <v>0</v>
      </c>
      <c r="H17" s="83">
        <f>INDEX(Underinsured_Motorist_Bodily_Injury_Premium,1,4)</f>
        <v>0</v>
      </c>
      <c r="I17" s="83">
        <f>INDEX(Underinsured_Motorist_Bodily_Injury_Premium,1,5)</f>
        <v>0</v>
      </c>
      <c r="J17" s="84">
        <f>INDEX(Underinsured_Motorist_Bodily_Injury_Premium,1,6)</f>
        <v>0</v>
      </c>
      <c r="K17" t="s">
        <v>1107</v>
      </c>
      <c r="N17" s="1"/>
    </row>
    <row r="18" spans="1:14" ht="15" customHeight="1">
      <c r="A18" s="82" t="str">
        <f>"Uninsured/UnderInsured Motorist - "&amp;IF(CSL,"CSL: ","Bodily Injury Limit : ")&amp;IF(CSL_or_Split_Desc="CSL",DOLLAR(CSL_for_UM_and_UIM_Description,0),Split_BI_Limit_for_UM_and_UIM_Description)</f>
        <v>Uninsured/UnderInsured Motorist - Bodily Injury Limit : </v>
      </c>
      <c r="B18" s="147" t="s">
        <v>256</v>
      </c>
      <c r="C18" s="147" t="s">
        <v>131</v>
      </c>
      <c r="D18" s="147"/>
      <c r="E18" s="83">
        <f>INDEX(UMUIM_Motorist_Bodily_Injury_Premium,1,1)</f>
        <v>0</v>
      </c>
      <c r="F18" s="83">
        <f>INDEX(UMUIM_Motorist_Bodily_Injury_Premium,1,2)</f>
        <v>0</v>
      </c>
      <c r="G18" s="83">
        <f>INDEX(UMUIM_Motorist_Bodily_Injury_Premium,1,3)</f>
        <v>0</v>
      </c>
      <c r="H18" s="83">
        <f>INDEX(UMUIM_Motorist_Bodily_Injury_Premium,1,4)</f>
        <v>0</v>
      </c>
      <c r="I18" s="83">
        <f>INDEX(UMUIM_Motorist_Bodily_Injury_Premium,1,5)</f>
        <v>0</v>
      </c>
      <c r="J18" s="84">
        <f>INDEX(UMUIM_Motorist_Bodily_Injury_Premium,1,6)</f>
        <v>0</v>
      </c>
      <c r="K18" t="s">
        <v>1108</v>
      </c>
      <c r="N18" s="1"/>
    </row>
    <row r="19" spans="1:14" ht="12.75" customHeight="1">
      <c r="A19" s="82" t="str">
        <f>"Uninsured/UnderInsured Motorist - Property Damage Limit:"&amp;DOLLAR(Property_Damage_Limit_for_UM_and_UIM_Description,0)</f>
        <v>Uninsured/UnderInsured Motorist - Property Damage Limit:$0</v>
      </c>
      <c r="B19" s="147" t="s">
        <v>256</v>
      </c>
      <c r="C19" s="147" t="s">
        <v>130</v>
      </c>
      <c r="D19" s="147"/>
      <c r="E19" s="83">
        <f>INDEX(UMUIM_Motorist_PD_Premium,1,1)</f>
        <v>0</v>
      </c>
      <c r="F19" s="83">
        <f>INDEX(UMUIM_Motorist_PD_Premium,1,2)</f>
        <v>0</v>
      </c>
      <c r="G19" s="83">
        <f>INDEX(UMUIM_Motorist_PD_Premium,1,3)</f>
        <v>0</v>
      </c>
      <c r="H19" s="83">
        <f>INDEX(UMUIM_Motorist_PD_Premium,1,4)</f>
        <v>0</v>
      </c>
      <c r="I19" s="83">
        <f>INDEX(UMUIM_Motorist_PD_Premium,1,5)</f>
        <v>0</v>
      </c>
      <c r="J19" s="84">
        <f>INDEX(UMUIM_Motorist_PD_Premium,1,6)</f>
        <v>0</v>
      </c>
      <c r="K19" t="s">
        <v>1108</v>
      </c>
      <c r="N19" s="1"/>
    </row>
    <row r="20" spans="1:14" ht="12.75">
      <c r="A20" s="82" t="str">
        <f>"Comprehensive Coverage  Ded: "&amp;IF(Input!B170="",," #1: "&amp;Input!B234)&amp;IF(Input!C170="",," #2: "&amp;Input!C234)&amp;IF(Input!D170="",," #3: "&amp;Input!D234)&amp;IF(Input!E170="",," #4: "&amp;Input!E234)&amp;IF(Input!F170="",," #5: "&amp;Input!F234)&amp;IF(Input!G170="",," #6: "&amp;Input!G234)</f>
        <v>Comprehensive Coverage  Ded: </v>
      </c>
      <c r="B20" s="147" t="s">
        <v>256</v>
      </c>
      <c r="C20" s="147" t="s">
        <v>1490</v>
      </c>
      <c r="D20" s="147"/>
      <c r="E20" s="83">
        <f>INDEX(Comp_Coverage_Premium,1,1)</f>
        <v>0</v>
      </c>
      <c r="F20" s="83">
        <f>INDEX(Comp_Coverage_Premium,1,2)</f>
        <v>0</v>
      </c>
      <c r="G20" s="83">
        <f>INDEX(Comp_Coverage_Premium,1,3)</f>
        <v>0</v>
      </c>
      <c r="H20" s="83">
        <f>INDEX(Comp_Coverage_Premium,1,4)</f>
        <v>0</v>
      </c>
      <c r="I20" s="83">
        <f>INDEX(Comp_Coverage_Premium,1,5)</f>
        <v>0</v>
      </c>
      <c r="J20" s="84">
        <f>INDEX(Comp_Coverage_Premium,1,6)</f>
        <v>0</v>
      </c>
      <c r="K20" t="s">
        <v>1109</v>
      </c>
      <c r="N20" s="1"/>
    </row>
    <row r="21" spans="1:14" ht="12.75">
      <c r="A21" s="82" t="s">
        <v>890</v>
      </c>
      <c r="B21" s="147" t="s">
        <v>896</v>
      </c>
      <c r="C21" s="147" t="s">
        <v>891</v>
      </c>
      <c r="D21" s="147" t="s">
        <v>1490</v>
      </c>
      <c r="E21" s="83">
        <f>INDEX(Anti_theft_Discount,1,1)</f>
        <v>0</v>
      </c>
      <c r="F21" s="83">
        <f>INDEX(Anti_theft_Discount,1,2)</f>
        <v>0</v>
      </c>
      <c r="G21" s="83">
        <f>INDEX(Anti_theft_Discount,1,3)</f>
        <v>0</v>
      </c>
      <c r="H21" s="83">
        <f>INDEX(Anti_theft_Discount,1,4)</f>
        <v>0</v>
      </c>
      <c r="I21" s="83">
        <f>INDEX(Anti_theft_Discount,1,5)</f>
        <v>0</v>
      </c>
      <c r="J21" s="83">
        <f>INDEX(Anti_theft_Discount,1,6)</f>
        <v>0</v>
      </c>
      <c r="K21" t="s">
        <v>1109</v>
      </c>
      <c r="N21" s="1"/>
    </row>
    <row r="22" spans="1:14" ht="12.75">
      <c r="A22" s="82" t="s">
        <v>1110</v>
      </c>
      <c r="B22" s="147" t="s">
        <v>256</v>
      </c>
      <c r="C22" s="147" t="s">
        <v>1486</v>
      </c>
      <c r="D22" s="147"/>
      <c r="E22" s="83">
        <f>INDEX(ExtNO_Bodily_Injury_Premium,1,1)</f>
        <v>0</v>
      </c>
      <c r="F22" s="83">
        <f>INDEX(ExtNO_Bodily_Injury_Premium,1,2)</f>
        <v>0</v>
      </c>
      <c r="G22" s="83">
        <f>INDEX(ExtNO_Bodily_Injury_Premium,1,3)</f>
        <v>0</v>
      </c>
      <c r="H22" s="83">
        <f>INDEX(ExtNO_Bodily_Injury_Premium,1,4)</f>
        <v>0</v>
      </c>
      <c r="I22" s="83">
        <f>INDEX(ExtNO_Bodily_Injury_Premium,1,5)</f>
        <v>0</v>
      </c>
      <c r="J22" s="84">
        <f>INDEX(ExtNO_Bodily_Injury_Premium,1,6)</f>
        <v>0</v>
      </c>
      <c r="K22" t="s">
        <v>1111</v>
      </c>
      <c r="N22" s="1"/>
    </row>
    <row r="23" spans="1:14" ht="12.75" customHeight="1">
      <c r="A23" s="82" t="s">
        <v>1112</v>
      </c>
      <c r="B23" s="147" t="s">
        <v>256</v>
      </c>
      <c r="C23" s="147" t="s">
        <v>629</v>
      </c>
      <c r="D23" s="147"/>
      <c r="E23" s="83">
        <f>INDEX(ExtNO_Property_Damage_Premium,1,1)</f>
        <v>0</v>
      </c>
      <c r="F23" s="83">
        <f>INDEX(ExtNO_Property_Damage_Premium,1,2)</f>
        <v>0</v>
      </c>
      <c r="G23" s="83">
        <f>INDEX(ExtNO_Property_Damage_Premium,1,3)</f>
        <v>0</v>
      </c>
      <c r="H23" s="83">
        <f>INDEX(ExtNO_Property_Damage_Premium,1,4)</f>
        <v>0</v>
      </c>
      <c r="I23" s="83">
        <f>INDEX(ExtNO_Property_Damage_Premium,1,5)</f>
        <v>0</v>
      </c>
      <c r="J23" s="84">
        <f>INDEX(ExtNO_Property_Damage_Premium,1,6)</f>
        <v>0</v>
      </c>
      <c r="K23" t="s">
        <v>1111</v>
      </c>
      <c r="N23" s="1"/>
    </row>
    <row r="24" spans="1:14" ht="12.75">
      <c r="A24" s="82" t="s">
        <v>1113</v>
      </c>
      <c r="B24" s="147" t="s">
        <v>256</v>
      </c>
      <c r="C24" s="147" t="s">
        <v>1492</v>
      </c>
      <c r="D24" s="147"/>
      <c r="E24" s="83">
        <f>INDEX(ExtNO_Medical_Premium,1,1)</f>
        <v>0</v>
      </c>
      <c r="F24" s="83">
        <f>INDEX(ExtNO_Medical_Premium,1,2)</f>
        <v>0</v>
      </c>
      <c r="G24" s="83">
        <f>INDEX(ExtNO_Medical_Premium,1,3)</f>
        <v>0</v>
      </c>
      <c r="H24" s="83">
        <f>INDEX(ExtNO_Medical_Premium,1,4)</f>
        <v>0</v>
      </c>
      <c r="I24" s="83">
        <f>INDEX(ExtNO_Medical_Premium,1,5)</f>
        <v>0</v>
      </c>
      <c r="J24" s="84">
        <f>INDEX(ExtNO_Medical_Premium,1,6)</f>
        <v>0</v>
      </c>
      <c r="K24" t="s">
        <v>1111</v>
      </c>
      <c r="N24" s="1"/>
    </row>
    <row r="25" spans="1:14" ht="12.75">
      <c r="A25" s="82" t="s">
        <v>1114</v>
      </c>
      <c r="B25" s="147" t="s">
        <v>256</v>
      </c>
      <c r="C25" s="147" t="s">
        <v>1490</v>
      </c>
      <c r="D25" s="147"/>
      <c r="E25" s="83">
        <f>INDEX(ExtNO_COMP_Premium,1,1)</f>
        <v>0</v>
      </c>
      <c r="F25" s="83">
        <f>INDEX(ExtNO_COMP_Premium,1,2)</f>
        <v>0</v>
      </c>
      <c r="G25" s="83">
        <f>INDEX(ExtNO_COMP_Premium,1,3)</f>
        <v>0</v>
      </c>
      <c r="H25" s="83">
        <f>INDEX(ExtNO_COMP_Premium,1,4)</f>
        <v>0</v>
      </c>
      <c r="I25" s="83">
        <f>INDEX(ExtNO_COMP_Premium,1,5)</f>
        <v>0</v>
      </c>
      <c r="J25" s="84">
        <f>INDEX(ExtNO_COMP_Premium,1,6)</f>
        <v>0</v>
      </c>
      <c r="K25" t="s">
        <v>1111</v>
      </c>
      <c r="N25" s="1"/>
    </row>
    <row r="26" spans="1:14" ht="12.75">
      <c r="A26" s="82" t="s">
        <v>1115</v>
      </c>
      <c r="B26" s="147" t="s">
        <v>256</v>
      </c>
      <c r="C26" s="147" t="s">
        <v>1491</v>
      </c>
      <c r="D26" s="147"/>
      <c r="E26" s="83">
        <f>INDEX(ExtNO_COLL_Premium,1,1)</f>
        <v>0</v>
      </c>
      <c r="F26" s="83">
        <f>INDEX(ExtNO_COLL_Premium,1,2)</f>
        <v>0</v>
      </c>
      <c r="G26" s="83">
        <f>INDEX(ExtNO_COLL_Premium,1,3)</f>
        <v>0</v>
      </c>
      <c r="H26" s="83">
        <f>INDEX(ExtNO_COLL_Premium,1,4)</f>
        <v>0</v>
      </c>
      <c r="I26" s="83">
        <f>INDEX(ExtNO_COLL_Premium,1,5)</f>
        <v>0</v>
      </c>
      <c r="J26" s="84">
        <f>INDEX(ExtNO_COLL_Premium,1,6)</f>
        <v>0</v>
      </c>
      <c r="K26" t="s">
        <v>1111</v>
      </c>
      <c r="N26" s="1"/>
    </row>
    <row r="27" spans="1:14" ht="12.75">
      <c r="A27" s="82" t="s">
        <v>1116</v>
      </c>
      <c r="B27" s="147" t="s">
        <v>256</v>
      </c>
      <c r="C27" s="147" t="s">
        <v>1486</v>
      </c>
      <c r="D27" s="147"/>
      <c r="E27" s="83">
        <f>INDEX(Named_Non_Owner_BI_Premium,1,1)</f>
        <v>0</v>
      </c>
      <c r="F27" s="83">
        <f>INDEX(Named_Non_Owner_BI_Premium,1,2)</f>
        <v>0</v>
      </c>
      <c r="G27" s="83">
        <f>INDEX(Named_Non_Owner_BI_Premium,1,3)</f>
        <v>0</v>
      </c>
      <c r="H27" s="83">
        <f>INDEX(Named_Non_Owner_BI_Premium,1,4)</f>
        <v>0</v>
      </c>
      <c r="I27" s="83">
        <f>INDEX(Named_Non_Owner_BI_Premium,1,5)</f>
        <v>0</v>
      </c>
      <c r="J27" s="84">
        <f>INDEX(Named_Non_Owner_BI_Premium,1,6)</f>
        <v>0</v>
      </c>
      <c r="K27" t="s">
        <v>1117</v>
      </c>
      <c r="N27" s="1"/>
    </row>
    <row r="28" spans="1:14" ht="12.75" customHeight="1">
      <c r="A28" s="82" t="s">
        <v>1118</v>
      </c>
      <c r="B28" s="147" t="s">
        <v>256</v>
      </c>
      <c r="C28" s="147" t="s">
        <v>629</v>
      </c>
      <c r="D28" s="147"/>
      <c r="E28" s="83">
        <f>INDEX(Named_Non_Owner_PD_Premium,1,1)</f>
        <v>0</v>
      </c>
      <c r="F28" s="83">
        <f>INDEX(Named_Non_Owner_PD_Premium,1,2)</f>
        <v>0</v>
      </c>
      <c r="G28" s="83">
        <f>INDEX(Named_Non_Owner_PD_Premium,1,3)</f>
        <v>0</v>
      </c>
      <c r="H28" s="83">
        <f>INDEX(Named_Non_Owner_PD_Premium,1,4)</f>
        <v>0</v>
      </c>
      <c r="I28" s="83">
        <f>INDEX(Named_Non_Owner_PD_Premium,1,5)</f>
        <v>0</v>
      </c>
      <c r="J28" s="84">
        <f>INDEX(Named_Non_Owner_PD_Premium,1,6)</f>
        <v>0</v>
      </c>
      <c r="K28" t="s">
        <v>1117</v>
      </c>
      <c r="N28" s="1"/>
    </row>
    <row r="29" spans="1:14" ht="12.75">
      <c r="A29" s="82" t="s">
        <v>1119</v>
      </c>
      <c r="B29" s="147" t="s">
        <v>256</v>
      </c>
      <c r="C29" s="147" t="s">
        <v>1492</v>
      </c>
      <c r="D29" s="147"/>
      <c r="E29" s="83">
        <f>INDEX(Named_Non_Owner_MED_Premium,1,1)</f>
        <v>0</v>
      </c>
      <c r="F29" s="83">
        <f>INDEX(Named_Non_Owner_MED_Premium,1,2)</f>
        <v>0</v>
      </c>
      <c r="G29" s="83">
        <f>INDEX(Named_Non_Owner_MED_Premium,1,3)</f>
        <v>0</v>
      </c>
      <c r="H29" s="83">
        <f>INDEX(Named_Non_Owner_MED_Premium,1,4)</f>
        <v>0</v>
      </c>
      <c r="I29" s="83">
        <f>INDEX(Named_Non_Owner_MED_Premium,1,5)</f>
        <v>0</v>
      </c>
      <c r="J29" s="84">
        <f>INDEX(Named_Non_Owner_MED_Premium,1,6)</f>
        <v>0</v>
      </c>
      <c r="K29" t="s">
        <v>1117</v>
      </c>
      <c r="N29" s="1"/>
    </row>
    <row r="30" spans="1:14" ht="12.75">
      <c r="A30" s="82" t="s">
        <v>1120</v>
      </c>
      <c r="B30" s="147" t="s">
        <v>256</v>
      </c>
      <c r="C30" s="147" t="s">
        <v>1489</v>
      </c>
      <c r="D30" s="147"/>
      <c r="E30" s="83">
        <f>INDEX(Named_Non_Owner_UM_BI_Premium,1,1)</f>
        <v>0</v>
      </c>
      <c r="F30" s="83">
        <f>INDEX(Named_Non_Owner_UM_BI_Premium,1,2)</f>
        <v>0</v>
      </c>
      <c r="G30" s="83">
        <f>INDEX(Named_Non_Owner_UM_BI_Premium,1,3)</f>
        <v>0</v>
      </c>
      <c r="H30" s="83">
        <f>INDEX(Named_Non_Owner_UM_BI_Premium,1,4)</f>
        <v>0</v>
      </c>
      <c r="I30" s="83">
        <f>INDEX(Named_Non_Owner_UM_BI_Premium,1,5)</f>
        <v>0</v>
      </c>
      <c r="J30" s="84">
        <f>INDEX(Named_Non_Owner_UM_BI_Premium,1,6)</f>
        <v>0</v>
      </c>
      <c r="K30" t="s">
        <v>1117</v>
      </c>
      <c r="N30" s="1"/>
    </row>
    <row r="31" spans="1:14" ht="12.75" customHeight="1">
      <c r="A31" s="82" t="s">
        <v>1121</v>
      </c>
      <c r="B31" s="147" t="s">
        <v>256</v>
      </c>
      <c r="C31" s="147" t="s">
        <v>1488</v>
      </c>
      <c r="D31" s="147"/>
      <c r="E31" s="83">
        <f>INDEX(Named_Non_Owner_UM_PD_Premium,1,1)</f>
        <v>0</v>
      </c>
      <c r="F31" s="83">
        <f>INDEX(Named_Non_Owner_UM_PD_Premium,1,2)</f>
        <v>0</v>
      </c>
      <c r="G31" s="83">
        <f>INDEX(Named_Non_Owner_UM_PD_Premium,1,3)</f>
        <v>0</v>
      </c>
      <c r="H31" s="83">
        <f>INDEX(Named_Non_Owner_UM_PD_Premium,1,4)</f>
        <v>0</v>
      </c>
      <c r="I31" s="83">
        <f>INDEX(Named_Non_Owner_UM_PD_Premium,1,5)</f>
        <v>0</v>
      </c>
      <c r="J31" s="84">
        <f>INDEX(Named_Non_Owner_UM_PD_Premium,1,6)</f>
        <v>0</v>
      </c>
      <c r="K31" t="s">
        <v>1117</v>
      </c>
      <c r="N31" s="1"/>
    </row>
    <row r="32" spans="1:14" ht="12.75">
      <c r="A32" s="82" t="s">
        <v>1122</v>
      </c>
      <c r="B32" s="147" t="s">
        <v>256</v>
      </c>
      <c r="C32" s="147" t="s">
        <v>1502</v>
      </c>
      <c r="D32" s="147"/>
      <c r="E32" s="83">
        <f>INDEX(Named_Non_Owner_UIM_BI_Premium,1,1)</f>
        <v>0</v>
      </c>
      <c r="F32" s="83">
        <f>INDEX(Named_Non_Owner_UIM_BI_Premium,1,2)</f>
        <v>0</v>
      </c>
      <c r="G32" s="83">
        <f>INDEX(Named_Non_Owner_UIM_BI_Premium,1,3)</f>
        <v>0</v>
      </c>
      <c r="H32" s="83">
        <f>INDEX(Named_Non_Owner_UIM_BI_Premium,1,4)</f>
        <v>0</v>
      </c>
      <c r="I32" s="83">
        <f>INDEX(Named_Non_Owner_UIM_BI_Premium,1,5)</f>
        <v>0</v>
      </c>
      <c r="J32" s="84">
        <f>INDEX(Named_Non_Owner_UIM_BI_Premium,1,6)</f>
        <v>0</v>
      </c>
      <c r="K32" t="s">
        <v>1117</v>
      </c>
      <c r="N32" s="1"/>
    </row>
    <row r="33" spans="1:14" ht="12.75">
      <c r="A33" s="82" t="str">
        <f>"Collision Coverage  Ded: "&amp;IF(Input!B170="",," #1: "&amp;Input!B238)&amp;IF(Input!C170="",," #2: "&amp;Input!C238)&amp;IF(Input!D170="",," #3: "&amp;Input!D238)&amp;IF(Input!E170="",," #4: "&amp;Input!E238)&amp;IF(Input!F170="",," #5: "&amp;Input!F238)&amp;IF(Input!G170="",," #6: "&amp;Input!G238)</f>
        <v>Collision Coverage  Ded: </v>
      </c>
      <c r="B33" s="147" t="s">
        <v>256</v>
      </c>
      <c r="C33" s="147" t="s">
        <v>1491</v>
      </c>
      <c r="D33" s="147"/>
      <c r="E33" s="83">
        <f>INDEX(Collision_Coverage_Premium,1,1)</f>
        <v>0</v>
      </c>
      <c r="F33" s="83">
        <f>INDEX(Collision_Coverage_Premium,1,2)</f>
        <v>0</v>
      </c>
      <c r="G33" s="83">
        <f>INDEX(Collision_Coverage_Premium,1,3)</f>
        <v>0</v>
      </c>
      <c r="H33" s="83">
        <f>INDEX(Collision_Coverage_Premium,1,4)</f>
        <v>0</v>
      </c>
      <c r="I33" s="83">
        <f>INDEX(Collision_Coverage_Premium,1,5)</f>
        <v>0</v>
      </c>
      <c r="J33" s="84">
        <f>INDEX(Collision_Coverage_Premium,1,6)</f>
        <v>0</v>
      </c>
      <c r="K33" t="s">
        <v>1123</v>
      </c>
      <c r="N33" s="1"/>
    </row>
    <row r="34" spans="1:14" ht="12.75">
      <c r="A34" s="82" t="s">
        <v>1124</v>
      </c>
      <c r="B34" s="147" t="s">
        <v>256</v>
      </c>
      <c r="C34" s="147" t="s">
        <v>1504</v>
      </c>
      <c r="D34" s="147"/>
      <c r="E34" s="83">
        <f>INDEX(Recreational_Trailer_Contents_Premium,1,1)</f>
        <v>0</v>
      </c>
      <c r="F34" s="83">
        <f>INDEX(Recreational_Trailer_Contents_Premium,1,2)</f>
        <v>0</v>
      </c>
      <c r="G34" s="83">
        <f>INDEX(Recreational_Trailer_Contents_Premium,1,3)</f>
        <v>0</v>
      </c>
      <c r="H34" s="83">
        <f>INDEX(Recreational_Trailer_Contents_Premium,1,4)</f>
        <v>0</v>
      </c>
      <c r="I34" s="83">
        <f>INDEX(Recreational_Trailer_Contents_Premium,1,5)</f>
        <v>0</v>
      </c>
      <c r="J34" s="84">
        <f>INDEX(Recreational_Trailer_Contents_Premium,1,6)</f>
        <v>0</v>
      </c>
      <c r="K34" t="s">
        <v>1125</v>
      </c>
      <c r="N34" s="1"/>
    </row>
    <row r="35" spans="1:14" ht="12.75">
      <c r="A35" s="82" t="s">
        <v>1126</v>
      </c>
      <c r="B35" s="147" t="s">
        <v>256</v>
      </c>
      <c r="C35" s="147" t="s">
        <v>1503</v>
      </c>
      <c r="D35" s="147"/>
      <c r="E35" s="83">
        <f>INDEX(Recreational_Trailer_Other_Property_Premium,1,1)</f>
        <v>0</v>
      </c>
      <c r="F35" s="83">
        <f>INDEX(Recreational_Trailer_Other_Property_Premium,1,2)</f>
        <v>0</v>
      </c>
      <c r="G35" s="83">
        <f>INDEX(Recreational_Trailer_Other_Property_Premium,1,3)</f>
        <v>0</v>
      </c>
      <c r="H35" s="83">
        <f>INDEX(Recreational_Trailer_Other_Property_Premium,1,4)</f>
        <v>0</v>
      </c>
      <c r="I35" s="83">
        <f>INDEX(Recreational_Trailer_Other_Property_Premium,1,5)</f>
        <v>0</v>
      </c>
      <c r="J35" s="84">
        <f>INDEX(Recreational_Trailer_Other_Property_Premium,1,6)</f>
        <v>0</v>
      </c>
      <c r="K35" t="s">
        <v>1125</v>
      </c>
      <c r="N35" s="1"/>
    </row>
    <row r="36" spans="1:14" ht="12.75">
      <c r="A36" s="82" t="s">
        <v>1127</v>
      </c>
      <c r="B36" s="147" t="s">
        <v>256</v>
      </c>
      <c r="C36" s="147" t="s">
        <v>1490</v>
      </c>
      <c r="D36" s="147"/>
      <c r="E36" s="83">
        <f>INDEX(Recreational_Trailer_Comprehensive_Premium,1,1)</f>
        <v>0</v>
      </c>
      <c r="F36" s="83">
        <f>INDEX(Recreational_Trailer_Comprehensive_Premium,1,2)</f>
        <v>0</v>
      </c>
      <c r="G36" s="83">
        <f>INDEX(Recreational_Trailer_Comprehensive_Premium,1,3)</f>
        <v>0</v>
      </c>
      <c r="H36" s="83">
        <f>INDEX(Recreational_Trailer_Comprehensive_Premium,1,4)</f>
        <v>0</v>
      </c>
      <c r="I36" s="83">
        <f>INDEX(Recreational_Trailer_Comprehensive_Premium,1,5)</f>
        <v>0</v>
      </c>
      <c r="J36" s="84">
        <f>INDEX(Recreational_Trailer_Comprehensive_Premium,1,6)</f>
        <v>0</v>
      </c>
      <c r="K36" t="s">
        <v>1125</v>
      </c>
      <c r="N36" s="1"/>
    </row>
    <row r="37" spans="1:14" ht="12.75">
      <c r="A37" s="82" t="s">
        <v>1128</v>
      </c>
      <c r="B37" s="147" t="s">
        <v>256</v>
      </c>
      <c r="C37" s="147" t="s">
        <v>1491</v>
      </c>
      <c r="D37" s="147"/>
      <c r="E37" s="83">
        <f>INDEX(Recreational_Trailer_Collision_Premium,1,1)</f>
        <v>0</v>
      </c>
      <c r="F37" s="83">
        <f>INDEX(Recreational_Trailer_Collision_Premium,1,2)</f>
        <v>0</v>
      </c>
      <c r="G37" s="83">
        <f>INDEX(Recreational_Trailer_Collision_Premium,1,3)</f>
        <v>0</v>
      </c>
      <c r="H37" s="83">
        <f>INDEX(Recreational_Trailer_Collision_Premium,1,4)</f>
        <v>0</v>
      </c>
      <c r="I37" s="83">
        <f>INDEX(Recreational_Trailer_Collision_Premium,1,5)</f>
        <v>0</v>
      </c>
      <c r="J37" s="84">
        <f>INDEX(Recreational_Trailer_Collision_Premium,1,6)</f>
        <v>0</v>
      </c>
      <c r="K37" t="s">
        <v>1125</v>
      </c>
      <c r="N37" s="1"/>
    </row>
    <row r="38" spans="1:14" ht="12.75">
      <c r="A38" s="82" t="s">
        <v>1129</v>
      </c>
      <c r="B38" s="147" t="s">
        <v>256</v>
      </c>
      <c r="C38" s="147" t="s">
        <v>1503</v>
      </c>
      <c r="D38" s="147"/>
      <c r="E38" s="83">
        <f>INDEX(All_Other_Trailer_Other_Property_Premium,1,1)</f>
        <v>0</v>
      </c>
      <c r="F38" s="83">
        <f>INDEX(All_Other_Trailer_Other_Property_Premium,1,2)</f>
        <v>0</v>
      </c>
      <c r="G38" s="83">
        <f>INDEX(All_Other_Trailer_Other_Property_Premium,1,3)</f>
        <v>0</v>
      </c>
      <c r="H38" s="83">
        <f>INDEX(All_Other_Trailer_Other_Property_Premium,1,4)</f>
        <v>0</v>
      </c>
      <c r="I38" s="83">
        <f>INDEX(All_Other_Trailer_Other_Property_Premium,1,5)</f>
        <v>0</v>
      </c>
      <c r="J38" s="84">
        <f>INDEX(All_Other_Trailer_Other_Property_Premium,1,6)</f>
        <v>0</v>
      </c>
      <c r="K38" t="s">
        <v>1125</v>
      </c>
      <c r="N38" s="1"/>
    </row>
    <row r="39" spans="1:14" ht="12.75">
      <c r="A39" s="82" t="s">
        <v>1130</v>
      </c>
      <c r="B39" s="147" t="s">
        <v>256</v>
      </c>
      <c r="C39" s="147" t="s">
        <v>1490</v>
      </c>
      <c r="D39" s="147"/>
      <c r="E39" s="83">
        <f>INDEX(All_Other_Trailer_Comprehensive_Premium,1,1)</f>
        <v>0</v>
      </c>
      <c r="F39" s="83">
        <f>INDEX(All_Other_Trailer_Comprehensive_Premium,1,2)</f>
        <v>0</v>
      </c>
      <c r="G39" s="83">
        <f>INDEX(All_Other_Trailer_Comprehensive_Premium,1,3)</f>
        <v>0</v>
      </c>
      <c r="H39" s="83">
        <f>INDEX(All_Other_Trailer_Comprehensive_Premium,1,4)</f>
        <v>0</v>
      </c>
      <c r="I39" s="83">
        <f>INDEX(All_Other_Trailer_Comprehensive_Premium,1,5)</f>
        <v>0</v>
      </c>
      <c r="J39" s="84">
        <f>INDEX(All_Other_Trailer_Comprehensive_Premium,1,6)</f>
        <v>0</v>
      </c>
      <c r="K39" t="s">
        <v>1125</v>
      </c>
      <c r="N39" s="1"/>
    </row>
    <row r="40" spans="1:14" ht="12.75">
      <c r="A40" s="82" t="s">
        <v>1131</v>
      </c>
      <c r="B40" s="147" t="s">
        <v>256</v>
      </c>
      <c r="C40" s="147" t="s">
        <v>1491</v>
      </c>
      <c r="D40" s="147"/>
      <c r="E40" s="83">
        <f>INDEX(All_Other_Trailer_Collision_Premium,1,1)</f>
        <v>0</v>
      </c>
      <c r="F40" s="83">
        <f>INDEX(All_Other_Trailer_Collision_Premium,1,2)</f>
        <v>0</v>
      </c>
      <c r="G40" s="83">
        <f>INDEX(All_Other_Trailer_Collision_Premium,1,3)</f>
        <v>0</v>
      </c>
      <c r="H40" s="83">
        <f>INDEX(All_Other_Trailer_Collision_Premium,1,4)</f>
        <v>0</v>
      </c>
      <c r="I40" s="83">
        <f>INDEX(All_Other_Trailer_Collision_Premium,1,5)</f>
        <v>0</v>
      </c>
      <c r="J40" s="84">
        <f>INDEX(All_Other_Trailer_Collision_Premium,1,6)</f>
        <v>0</v>
      </c>
      <c r="K40" t="s">
        <v>1125</v>
      </c>
      <c r="N40" s="1"/>
    </row>
    <row r="41" spans="1:14" ht="12.75">
      <c r="A41" s="82" t="s">
        <v>1132</v>
      </c>
      <c r="B41" s="147" t="s">
        <v>256</v>
      </c>
      <c r="C41" s="147" t="s">
        <v>1492</v>
      </c>
      <c r="D41" s="147"/>
      <c r="E41" s="83">
        <f>INDEX(Trailer_Medical_Payments_Premium,1,1)</f>
        <v>0</v>
      </c>
      <c r="F41" s="83">
        <f>INDEX(Trailer_Medical_Payments_Premium,1,2)</f>
        <v>0</v>
      </c>
      <c r="G41" s="83">
        <f>INDEX(Trailer_Medical_Payments_Premium,1,3)</f>
        <v>0</v>
      </c>
      <c r="H41" s="83">
        <f>INDEX(Trailer_Medical_Payments_Premium,1,4)</f>
        <v>0</v>
      </c>
      <c r="I41" s="83">
        <f>INDEX(Trailer_Medical_Payments_Premium,1,5)</f>
        <v>0</v>
      </c>
      <c r="J41" s="84">
        <f>INDEX(Trailer_Medical_Payments_Premium,1,6)</f>
        <v>0</v>
      </c>
      <c r="K41" t="s">
        <v>1125</v>
      </c>
      <c r="N41" s="1"/>
    </row>
    <row r="42" spans="1:14" ht="12.75">
      <c r="A42" s="82" t="s">
        <v>1133</v>
      </c>
      <c r="B42" s="147" t="s">
        <v>256</v>
      </c>
      <c r="C42" s="147" t="s">
        <v>1494</v>
      </c>
      <c r="D42" s="147"/>
      <c r="E42" s="83">
        <f>IF(NC_Rented_Vehicles_Coverage="Y",IF(AND(E20&gt;0,E33&gt;0),4,16),0)</f>
        <v>0</v>
      </c>
      <c r="F42" s="83">
        <f>IF(NC_Rented_Vehicles_Coverage="Y",IF(AND(F20&gt;0,F33&gt;0),4,16),0)</f>
        <v>0</v>
      </c>
      <c r="G42" s="83">
        <f>IF(NC_Rented_Vehicles_Coverage="Y",IF(AND(G20&gt;0,G33&gt;0),4,16),0)</f>
        <v>0</v>
      </c>
      <c r="H42" s="83">
        <f>IF(INDEX(NC_Rented_Vehicles_Coverage,1,4)="Y",IF(AND(H20&gt;0,H33&gt;0),4,16),0)</f>
        <v>0</v>
      </c>
      <c r="I42" s="83">
        <f>IF(INDEX(NC_Rented_Vehicles_Coverage,1,1)="Y",IF(AND(I20&gt;0,I33&gt;0),4,16),0)</f>
        <v>0</v>
      </c>
      <c r="J42" s="83">
        <f>IF(INDEX(NC_Rented_Vehicles_Coverage,1,6)="Y",IF(AND(J20&gt;0,J33&gt;0),4,16),0)</f>
        <v>0</v>
      </c>
      <c r="N42" s="1"/>
    </row>
    <row r="43" spans="1:14" ht="12.75">
      <c r="A43" s="82" t="str">
        <f>"Medical Limit :"&amp;DOLLAR(MedPay_Limit,0)</f>
        <v>Medical Limit :$0</v>
      </c>
      <c r="B43" s="147" t="s">
        <v>256</v>
      </c>
      <c r="C43" s="147" t="s">
        <v>1492</v>
      </c>
      <c r="D43" s="147"/>
      <c r="E43" s="83">
        <f>INDEX(Medical_Premium,1,1)</f>
        <v>0</v>
      </c>
      <c r="F43" s="83">
        <f>INDEX(Medical_Premium,1,2)</f>
        <v>0</v>
      </c>
      <c r="G43" s="83">
        <f>INDEX(Medical_Premium,1,3)</f>
        <v>0</v>
      </c>
      <c r="H43" s="83">
        <f>INDEX(Medical_Premium,1,4)</f>
        <v>0</v>
      </c>
      <c r="I43" s="83">
        <f>INDEX(Medical_Premium,1,5)</f>
        <v>0</v>
      </c>
      <c r="J43" s="84">
        <f>INDEX(Medical_Premium,1,6)</f>
        <v>0</v>
      </c>
      <c r="K43" t="s">
        <v>1134</v>
      </c>
      <c r="N43" s="1"/>
    </row>
    <row r="44" spans="1:14" ht="12.75">
      <c r="A44" s="82" t="s">
        <v>303</v>
      </c>
      <c r="B44" s="147" t="s">
        <v>256</v>
      </c>
      <c r="C44" s="147" t="s">
        <v>303</v>
      </c>
      <c r="D44" s="147"/>
      <c r="E44" s="83">
        <f>INDEX(PIP_Premium,1,1)</f>
        <v>0</v>
      </c>
      <c r="F44" s="83">
        <f>INDEX(PIP_Premium,1,2)</f>
        <v>0</v>
      </c>
      <c r="G44" s="83">
        <f>INDEX(PIP_Premium,1,3)</f>
        <v>0</v>
      </c>
      <c r="H44" s="83">
        <f>INDEX(PIP_Premium,1,4)</f>
        <v>0</v>
      </c>
      <c r="I44" s="83">
        <f>INDEX(PIP_Premium,1,5)</f>
        <v>0</v>
      </c>
      <c r="J44" s="84">
        <f>INDEX(PIP_Premium,1,6)</f>
        <v>0</v>
      </c>
      <c r="K44" t="s">
        <v>1135</v>
      </c>
      <c r="N44" s="1"/>
    </row>
    <row r="45" spans="1:14" ht="12.75">
      <c r="A45" s="82" t="s">
        <v>892</v>
      </c>
      <c r="B45" s="147" t="s">
        <v>896</v>
      </c>
      <c r="C45" s="147" t="s">
        <v>893</v>
      </c>
      <c r="D45" s="147" t="str">
        <f>IF(E43,C43,C44)</f>
        <v>PIP</v>
      </c>
      <c r="E45" s="83">
        <f>INDEX(Airbag_Discount_MEDP,1,1)+INDEX(Airbag_Discount_PIP,1,1)</f>
        <v>0</v>
      </c>
      <c r="F45" s="83">
        <f>INDEX(Airbag_Discount_MEDP,1,2)+INDEX(Airbag_Discount_PIP,1,2)</f>
        <v>0</v>
      </c>
      <c r="G45" s="83">
        <f>INDEX(Airbag_Discount_MEDP,1,3)+INDEX(Airbag_Discount_PIP,1,3)</f>
        <v>0</v>
      </c>
      <c r="H45" s="83">
        <f>INDEX(Airbag_Discount_MEDP,1,4)+INDEX(Airbag_Discount_PIP,1,4)</f>
        <v>0</v>
      </c>
      <c r="I45" s="83">
        <f>INDEX(Airbag_Discount_MEDP,1,5)+INDEX(Airbag_Discount_PIP,1,5)</f>
        <v>0</v>
      </c>
      <c r="J45" s="83">
        <f>INDEX(Airbag_Discount_MEDP,1,6)+INDEX(Airbag_Discount_PIP,1,6)</f>
        <v>0</v>
      </c>
      <c r="N45" s="1"/>
    </row>
    <row r="46" spans="1:14" ht="12.75">
      <c r="A46" s="82" t="s">
        <v>1136</v>
      </c>
      <c r="B46" s="147" t="s">
        <v>256</v>
      </c>
      <c r="C46" s="147" t="s">
        <v>1493</v>
      </c>
      <c r="D46" s="147"/>
      <c r="E46" s="83">
        <f>INDEX(Comprehensive_Lease_Premium,1,1)</f>
        <v>0</v>
      </c>
      <c r="F46" s="83">
        <f>INDEX(Comprehensive_Lease_Premium,1,2)</f>
        <v>0</v>
      </c>
      <c r="G46" s="83">
        <f>INDEX(Comprehensive_Lease_Premium,1,3)</f>
        <v>0</v>
      </c>
      <c r="H46" s="83">
        <f>INDEX(Comprehensive_Lease_Premium,1,4)</f>
        <v>0</v>
      </c>
      <c r="I46" s="83">
        <f>INDEX(Comprehensive_Lease_Premium,1,5)</f>
        <v>0</v>
      </c>
      <c r="J46" s="84">
        <f>INDEX(Comprehensive_Lease_Premium,1,6)</f>
        <v>0</v>
      </c>
      <c r="K46" t="s">
        <v>1137</v>
      </c>
      <c r="N46" s="1"/>
    </row>
    <row r="47" spans="1:14" ht="12.75">
      <c r="A47" s="82" t="s">
        <v>1138</v>
      </c>
      <c r="B47" s="147" t="s">
        <v>256</v>
      </c>
      <c r="C47" s="147" t="s">
        <v>1493</v>
      </c>
      <c r="D47" s="147"/>
      <c r="E47" s="83">
        <f>INDEX(Collision_Lease_Premium,1,1)</f>
        <v>0</v>
      </c>
      <c r="F47" s="83">
        <f>INDEX(Collision_Lease_Premium,1,2)</f>
        <v>0</v>
      </c>
      <c r="G47" s="83">
        <f>INDEX(Collision_Lease_Premium,1,3)</f>
        <v>0</v>
      </c>
      <c r="H47" s="83">
        <f>INDEX(Collision_Lease_Premium,1,4)</f>
        <v>0</v>
      </c>
      <c r="I47" s="83">
        <f>INDEX(Collision_Lease_Premium,1,5)</f>
        <v>0</v>
      </c>
      <c r="J47" s="84">
        <f>INDEX(Collision_Lease_Premium,1,6)</f>
        <v>0</v>
      </c>
      <c r="K47" t="s">
        <v>1137</v>
      </c>
      <c r="N47" s="1"/>
    </row>
    <row r="48" spans="1:14" ht="12.75">
      <c r="A48" s="82" t="s">
        <v>1139</v>
      </c>
      <c r="B48" s="147" t="s">
        <v>256</v>
      </c>
      <c r="C48" s="147" t="s">
        <v>1495</v>
      </c>
      <c r="D48" s="147"/>
      <c r="E48" s="83">
        <f>INDEX(Extended_Transportation_Expenses_Premium,1,1)</f>
        <v>0</v>
      </c>
      <c r="F48" s="83">
        <f>INDEX(Extended_Transportation_Expenses_Premium,1,2)</f>
        <v>0</v>
      </c>
      <c r="G48" s="83">
        <f>INDEX(Extended_Transportation_Expenses_Premium,1,3)</f>
        <v>0</v>
      </c>
      <c r="H48" s="83">
        <f>INDEX(Extended_Transportation_Expenses_Premium,1,4)</f>
        <v>0</v>
      </c>
      <c r="I48" s="83">
        <f>INDEX(Extended_Transportation_Expenses_Premium,1,5)</f>
        <v>0</v>
      </c>
      <c r="J48" s="84">
        <f>INDEX(Extended_Transportation_Expenses_Premium,1,6)</f>
        <v>0</v>
      </c>
      <c r="K48" t="s">
        <v>1140</v>
      </c>
      <c r="N48" s="1"/>
    </row>
    <row r="49" spans="1:14" ht="12.75">
      <c r="A49" s="82" t="str">
        <f>"Towing Limit : "&amp;IF(Input!B170="",," #1: "&amp;DOLLAR(Input!B256,0))&amp;IF(Input!C170="",," #2: "&amp;DOLLAR(Input!C256,0))&amp;IF(Input!D170="",," #3: "&amp;DOLLAR(Input!D256,0))&amp;IF(Input!E170="",," #4: "&amp;DOLLAR(Input!E256,0))&amp;IF(Input!F170="",," #5: "&amp;DOLLAR(Input!F256,0))&amp;IF(Input!G170="",," #6: "&amp;DOLLAR(Input!G256,0))</f>
        <v>Towing Limit : </v>
      </c>
      <c r="B49" s="147" t="s">
        <v>256</v>
      </c>
      <c r="C49" s="147" t="s">
        <v>1496</v>
      </c>
      <c r="D49" s="147"/>
      <c r="E49" s="83">
        <f>INDEX(Towing_Premium,1,1)</f>
        <v>0</v>
      </c>
      <c r="F49" s="83">
        <f>INDEX(Towing_Premium,1,2)</f>
        <v>0</v>
      </c>
      <c r="G49" s="83">
        <f>INDEX(Towing_Premium,1,3)</f>
        <v>0</v>
      </c>
      <c r="H49" s="83">
        <f>INDEX(Towing_Premium,1,4)</f>
        <v>0</v>
      </c>
      <c r="I49" s="83">
        <f>INDEX(Towing_Premium,1,5)</f>
        <v>0</v>
      </c>
      <c r="J49" s="84">
        <f>INDEX(Towing_Premium,1,6)</f>
        <v>0</v>
      </c>
      <c r="K49" t="s">
        <v>1141</v>
      </c>
      <c r="N49" s="1"/>
    </row>
    <row r="50" spans="1:14" ht="25.5" customHeight="1">
      <c r="A50" s="82" t="str">
        <f>"Stereo and Communication Equipment Coverage Limit :"&amp;IF(Input!B170="",," #1: "&amp;Input!B259)&amp;IF(Input!C170="",," #2: "&amp;Input!C259)&amp;IF(Input!D170="",," #3: "&amp;Input!D259)&amp;IF(Input!E170="",," #4: "&amp;Input!E259)&amp;IF(Input!F170="",," #5: "&amp;Input!F259)&amp;IF(Input!G170="",," #6: "&amp;Input!G259)</f>
        <v>Stereo and Communication Equipment Coverage Limit :</v>
      </c>
      <c r="B50" s="147" t="s">
        <v>256</v>
      </c>
      <c r="C50" s="147" t="s">
        <v>1497</v>
      </c>
      <c r="D50" s="147"/>
      <c r="E50" s="83">
        <f>INDEX(Communications_Equipment_Premium,1,1)</f>
        <v>0</v>
      </c>
      <c r="F50" s="83">
        <f>INDEX(Communications_Equipment_Premium,1,2)</f>
        <v>0</v>
      </c>
      <c r="G50" s="83">
        <f>INDEX(Communications_Equipment_Premium,1,3)</f>
        <v>0</v>
      </c>
      <c r="H50" s="83">
        <f>INDEX(Communications_Equipment_Premium,1,4)</f>
        <v>0</v>
      </c>
      <c r="I50" s="83">
        <f>INDEX(Communications_Equipment_Premium,1,5)</f>
        <v>0</v>
      </c>
      <c r="J50" s="84">
        <f>INDEX(Communications_Equipment_Premium,1,6)</f>
        <v>0</v>
      </c>
      <c r="K50" t="s">
        <v>1142</v>
      </c>
      <c r="N50" s="1"/>
    </row>
    <row r="51" spans="1:14" ht="12.75">
      <c r="A51" s="82"/>
      <c r="B51" s="147"/>
      <c r="C51" s="147"/>
      <c r="D51" s="147"/>
      <c r="E51" s="83"/>
      <c r="F51" s="83"/>
      <c r="G51" s="83"/>
      <c r="H51" s="83"/>
      <c r="I51" s="83"/>
      <c r="J51" s="84"/>
      <c r="N51" s="1"/>
    </row>
    <row r="52" spans="1:14" ht="12.75">
      <c r="A52" s="82" t="s">
        <v>1143</v>
      </c>
      <c r="B52" s="147" t="s">
        <v>256</v>
      </c>
      <c r="C52" s="147" t="s">
        <v>1486</v>
      </c>
      <c r="D52" s="147"/>
      <c r="E52" s="83">
        <f>INDEX(MotorHome_Bodily_Injury_Premium,1,1)</f>
        <v>0</v>
      </c>
      <c r="F52" s="83">
        <f>INDEX(MotorHome_Bodily_Injury_Premium,1,2)</f>
        <v>0</v>
      </c>
      <c r="G52" s="83">
        <f>INDEX(MotorHome_Bodily_Injury_Premium,1,3)</f>
        <v>0</v>
      </c>
      <c r="H52" s="83">
        <f>INDEX(MotorHome_Bodily_Injury_Premium,1,4)</f>
        <v>0</v>
      </c>
      <c r="I52" s="83">
        <f>INDEX(MotorHome_Bodily_Injury_Premium,1,5)</f>
        <v>0</v>
      </c>
      <c r="J52" s="84">
        <f>INDEX(MotorHome_Bodily_Injury_Premium,1,6)</f>
        <v>0</v>
      </c>
      <c r="K52" t="s">
        <v>1144</v>
      </c>
      <c r="N52" s="1"/>
    </row>
    <row r="53" spans="1:14" ht="12.75">
      <c r="A53" s="82" t="s">
        <v>1145</v>
      </c>
      <c r="B53" s="147" t="s">
        <v>256</v>
      </c>
      <c r="C53" s="147" t="s">
        <v>629</v>
      </c>
      <c r="D53" s="147"/>
      <c r="E53" s="83">
        <f>INDEX(MotorHome_Property_Damage_Premium,1,1)</f>
        <v>0</v>
      </c>
      <c r="F53" s="83">
        <f>INDEX(MotorHome_Property_Damage_Premium,1,2)</f>
        <v>0</v>
      </c>
      <c r="G53" s="83">
        <f>INDEX(MotorHome_Property_Damage_Premium,1,3)</f>
        <v>0</v>
      </c>
      <c r="H53" s="83">
        <f>INDEX(MotorHome_Property_Damage_Premium,1,4)</f>
        <v>0</v>
      </c>
      <c r="I53" s="83">
        <f>INDEX(MotorHome_Property_Damage_Premium,1,5)</f>
        <v>0</v>
      </c>
      <c r="J53" s="84">
        <f>INDEX(MotorHome_Property_Damage_Premium,1,6)</f>
        <v>0</v>
      </c>
      <c r="K53" t="s">
        <v>1144</v>
      </c>
      <c r="N53" s="1"/>
    </row>
    <row r="54" spans="1:14" ht="12.75">
      <c r="A54" s="82" t="s">
        <v>1146</v>
      </c>
      <c r="B54" s="147" t="s">
        <v>256</v>
      </c>
      <c r="C54" s="147" t="s">
        <v>1492</v>
      </c>
      <c r="D54" s="147"/>
      <c r="E54" s="83">
        <f>INDEX(MotorHome_Medical_Premium,1,1)</f>
        <v>0</v>
      </c>
      <c r="F54" s="83">
        <f>INDEX(MotorHome_Medical_Premium,1,2)</f>
        <v>0</v>
      </c>
      <c r="G54" s="83">
        <f>INDEX(MotorHome_Medical_Premium,1,3)</f>
        <v>0</v>
      </c>
      <c r="H54" s="83">
        <f>INDEX(MotorHome_Medical_Premium,1,4)</f>
        <v>0</v>
      </c>
      <c r="I54" s="83">
        <f>INDEX(MotorHome_Medical_Premium,1,5)</f>
        <v>0</v>
      </c>
      <c r="J54" s="84">
        <f>INDEX(MotorHome_Medical_Premium,1,6)</f>
        <v>0</v>
      </c>
      <c r="K54" t="s">
        <v>1144</v>
      </c>
      <c r="N54" s="1"/>
    </row>
    <row r="55" spans="1:14" ht="12.75">
      <c r="A55" s="82" t="s">
        <v>1147</v>
      </c>
      <c r="B55" s="147" t="s">
        <v>256</v>
      </c>
      <c r="C55" s="147" t="s">
        <v>1489</v>
      </c>
      <c r="D55" s="147"/>
      <c r="E55" s="83">
        <f>INDEX(MotorHome_UM_BI_Premium,1,1)</f>
        <v>0</v>
      </c>
      <c r="F55" s="83">
        <f>INDEX(MotorHome_UM_BI_Premium,1,2)</f>
        <v>0</v>
      </c>
      <c r="G55" s="83">
        <f>INDEX(MotorHome_UM_BI_Premium,1,3)</f>
        <v>0</v>
      </c>
      <c r="H55" s="83">
        <f>INDEX(MotorHome_UM_BI_Premium,1,4)</f>
        <v>0</v>
      </c>
      <c r="I55" s="83">
        <f>INDEX(MotorHome_UM_BI_Premium,1,5)</f>
        <v>0</v>
      </c>
      <c r="J55" s="84">
        <f>INDEX(MotorHome_UM_BI_Premium,1,6)</f>
        <v>0</v>
      </c>
      <c r="K55" t="s">
        <v>1144</v>
      </c>
      <c r="N55" s="1"/>
    </row>
    <row r="56" spans="1:14" ht="12.75">
      <c r="A56" s="82" t="s">
        <v>1148</v>
      </c>
      <c r="B56" s="147" t="s">
        <v>256</v>
      </c>
      <c r="C56" s="147" t="s">
        <v>1490</v>
      </c>
      <c r="D56" s="147"/>
      <c r="E56" s="83">
        <f>INDEX(MotorHome_COMP_Premium,1,1)</f>
        <v>0</v>
      </c>
      <c r="F56" s="83">
        <f>INDEX(MotorHome_COMP_Premium,1,2)</f>
        <v>0</v>
      </c>
      <c r="G56" s="83">
        <f>INDEX(MotorHome_COMP_Premium,1,3)</f>
        <v>0</v>
      </c>
      <c r="H56" s="83">
        <f>INDEX(MotorHome_COMP_Premium,1,4)</f>
        <v>0</v>
      </c>
      <c r="I56" s="83">
        <f>INDEX(MotorHome_COMP_Premium,1,5)</f>
        <v>0</v>
      </c>
      <c r="J56" s="84">
        <f>INDEX(MotorHome_COMP_Premium,1,6)</f>
        <v>0</v>
      </c>
      <c r="K56" t="s">
        <v>1144</v>
      </c>
      <c r="N56" s="1"/>
    </row>
    <row r="57" spans="1:14" ht="12.75">
      <c r="A57" s="82" t="s">
        <v>1149</v>
      </c>
      <c r="B57" s="147" t="s">
        <v>256</v>
      </c>
      <c r="C57" s="147" t="s">
        <v>1491</v>
      </c>
      <c r="D57" s="147"/>
      <c r="E57" s="83">
        <f>INDEX(MotorHome_COLL_Premium,1,1)</f>
        <v>0</v>
      </c>
      <c r="F57" s="83">
        <f>INDEX(MotorHome_COLL_Premium,1,2)</f>
        <v>0</v>
      </c>
      <c r="G57" s="83">
        <f>INDEX(MotorHome_COLL_Premium,1,3)</f>
        <v>0</v>
      </c>
      <c r="H57" s="83">
        <f>INDEX(MotorHome_COLL_Premium,1,4)</f>
        <v>0</v>
      </c>
      <c r="I57" s="83">
        <f>INDEX(MotorHome_COLL_Premium,1,5)</f>
        <v>0</v>
      </c>
      <c r="J57" s="84">
        <f>INDEX(MotorHome_COLL_Premium,1,6)</f>
        <v>0</v>
      </c>
      <c r="K57" t="s">
        <v>1144</v>
      </c>
      <c r="N57" s="1"/>
    </row>
    <row r="58" spans="1:14" ht="12.75">
      <c r="A58" s="82" t="s">
        <v>1150</v>
      </c>
      <c r="B58" s="147" t="s">
        <v>256</v>
      </c>
      <c r="C58" s="147" t="s">
        <v>1494</v>
      </c>
      <c r="D58" s="147"/>
      <c r="E58" s="83">
        <f>INDEX(MotorHome_Rental_Premium,1,1)</f>
        <v>0</v>
      </c>
      <c r="F58" s="83">
        <f>INDEX(MotorHome_Rental_Premium,1,2)</f>
        <v>0</v>
      </c>
      <c r="G58" s="83">
        <f>INDEX(MotorHome_Rental_Premium,1,3)</f>
        <v>0</v>
      </c>
      <c r="H58" s="83">
        <f>INDEX(MotorHome_Rental_Premium,1,4)</f>
        <v>0</v>
      </c>
      <c r="I58" s="83">
        <f>INDEX(MotorHome_Rental_Premium,1,5)</f>
        <v>0</v>
      </c>
      <c r="J58" s="84">
        <f>INDEX(MotorHome_Rental_Premium,1,6)</f>
        <v>0</v>
      </c>
      <c r="K58" t="s">
        <v>1144</v>
      </c>
      <c r="N58" s="1"/>
    </row>
    <row r="59" spans="1:14" ht="12.75">
      <c r="A59" s="82"/>
      <c r="B59" s="147"/>
      <c r="C59" s="147"/>
      <c r="D59" s="147"/>
      <c r="E59" s="83"/>
      <c r="F59" s="83"/>
      <c r="G59" s="83"/>
      <c r="H59" s="83"/>
      <c r="I59" s="83"/>
      <c r="J59" s="84"/>
      <c r="N59" s="1"/>
    </row>
    <row r="60" spans="1:14" ht="12.75">
      <c r="A60" s="82" t="s">
        <v>1127</v>
      </c>
      <c r="B60" s="147" t="s">
        <v>256</v>
      </c>
      <c r="C60" s="147" t="s">
        <v>1490</v>
      </c>
      <c r="D60" s="147"/>
      <c r="E60" s="83">
        <f>INDEX(RT_COMP_Premium,1,1)</f>
        <v>0</v>
      </c>
      <c r="F60" s="83">
        <f>INDEX(RT_COMP_Premium,1,2)</f>
        <v>0</v>
      </c>
      <c r="G60" s="83">
        <f>INDEX(RT_COMP_Premium,1,3)</f>
        <v>0</v>
      </c>
      <c r="H60" s="83">
        <f>INDEX(RT_COMP_Premium,1,4)</f>
        <v>0</v>
      </c>
      <c r="I60" s="83">
        <f>INDEX(RT_COMP_Premium,1,5)</f>
        <v>0</v>
      </c>
      <c r="J60" s="84">
        <f>INDEX(RT_COMP_Premium,1,6)</f>
        <v>0</v>
      </c>
      <c r="K60" t="s">
        <v>1151</v>
      </c>
      <c r="N60" s="1"/>
    </row>
    <row r="61" spans="1:14" ht="12.75">
      <c r="A61" s="82" t="s">
        <v>1128</v>
      </c>
      <c r="B61" s="147" t="s">
        <v>256</v>
      </c>
      <c r="C61" s="147" t="s">
        <v>1491</v>
      </c>
      <c r="D61" s="147"/>
      <c r="E61" s="83">
        <f>INDEX(RT_COLL_Premium,1,1)</f>
        <v>0</v>
      </c>
      <c r="F61" s="83">
        <f>INDEX(RT_COLL_Premium,1,2)</f>
        <v>0</v>
      </c>
      <c r="G61" s="83">
        <f>INDEX(RT_COLL_Premium,1,3)</f>
        <v>0</v>
      </c>
      <c r="H61" s="83">
        <f>INDEX(RT_COLL_Premium,1,4)</f>
        <v>0</v>
      </c>
      <c r="I61" s="83">
        <f>INDEX(RT_COLL_Premium,1,5)</f>
        <v>0</v>
      </c>
      <c r="J61" s="84">
        <f>INDEX(RT_COLL_Premium,1,6)</f>
        <v>0</v>
      </c>
      <c r="K61" t="s">
        <v>1151</v>
      </c>
      <c r="N61" s="1"/>
    </row>
    <row r="62" spans="1:14" ht="12.75">
      <c r="A62" s="82"/>
      <c r="B62" s="147"/>
      <c r="C62" s="147"/>
      <c r="D62" s="147"/>
      <c r="E62" s="83"/>
      <c r="F62" s="83"/>
      <c r="G62" s="83"/>
      <c r="H62" s="83"/>
      <c r="I62" s="83"/>
      <c r="J62" s="84"/>
      <c r="N62" s="1"/>
    </row>
    <row r="63" spans="1:14" ht="12.75">
      <c r="A63" s="82" t="s">
        <v>1152</v>
      </c>
      <c r="B63" s="147" t="s">
        <v>256</v>
      </c>
      <c r="C63" s="147" t="s">
        <v>1486</v>
      </c>
      <c r="D63" s="147"/>
      <c r="E63" s="83">
        <f>INDEX(Bodily_Injury_Premium_MC,1,1)</f>
        <v>0</v>
      </c>
      <c r="F63" s="83">
        <f>INDEX(Bodily_Injury_Premium_MC,1,2)</f>
        <v>0</v>
      </c>
      <c r="G63" s="83">
        <f>INDEX(Bodily_Injury_Premium_MC,1,3)</f>
        <v>0</v>
      </c>
      <c r="H63" s="83">
        <f>INDEX(Bodily_Injury_Premium_MC,1,4)</f>
        <v>0</v>
      </c>
      <c r="I63" s="83">
        <f>INDEX(Bodily_Injury_Premium_MC,1,5)</f>
        <v>0</v>
      </c>
      <c r="J63" s="84">
        <f>INDEX(Bodily_Injury_Premium_MC,1,6)</f>
        <v>0</v>
      </c>
      <c r="K63" t="s">
        <v>1153</v>
      </c>
      <c r="N63" s="1"/>
    </row>
    <row r="64" spans="1:14" ht="12.75">
      <c r="A64" s="82" t="s">
        <v>1154</v>
      </c>
      <c r="B64" s="147" t="s">
        <v>256</v>
      </c>
      <c r="C64" s="147" t="s">
        <v>629</v>
      </c>
      <c r="D64" s="147"/>
      <c r="E64" s="83">
        <f>INDEX(Property_Damage_Premium_MC,1,1)</f>
        <v>0</v>
      </c>
      <c r="F64" s="83">
        <f>INDEX(Property_Damage_Premium_MC,1,2)</f>
        <v>0</v>
      </c>
      <c r="G64" s="83">
        <f>INDEX(Property_Damage_Premium_MC,1,3)</f>
        <v>0</v>
      </c>
      <c r="H64" s="83">
        <f>INDEX(Property_Damage_Premium_MC,1,4)</f>
        <v>0</v>
      </c>
      <c r="I64" s="83">
        <f>INDEX(Property_Damage_Premium_MC,1,5)</f>
        <v>0</v>
      </c>
      <c r="J64" s="84">
        <f>INDEX(Property_Damage_Premium_MC,1,6)</f>
        <v>0</v>
      </c>
      <c r="K64" t="s">
        <v>1155</v>
      </c>
      <c r="N64" s="1"/>
    </row>
    <row r="65" spans="1:14" ht="12.75">
      <c r="A65" s="82" t="s">
        <v>1156</v>
      </c>
      <c r="B65" s="147" t="s">
        <v>256</v>
      </c>
      <c r="C65" s="147" t="s">
        <v>1492</v>
      </c>
      <c r="D65" s="147"/>
      <c r="E65" s="83">
        <f>INDEX(Medical_Premium_MC,1,1)</f>
        <v>0</v>
      </c>
      <c r="F65" s="83">
        <f>INDEX(Medical_Premium_MC,1,2)</f>
        <v>0</v>
      </c>
      <c r="G65" s="83">
        <f>INDEX(Medical_Premium_MC,1,3)</f>
        <v>0</v>
      </c>
      <c r="H65" s="83">
        <f>INDEX(Medical_Premium_MC,1,4)</f>
        <v>0</v>
      </c>
      <c r="I65" s="83">
        <f>INDEX(Medical_Premium_MC,1,5)</f>
        <v>0</v>
      </c>
      <c r="J65" s="84">
        <f>INDEX(Medical_Premium_MC,1,6)</f>
        <v>0</v>
      </c>
      <c r="K65" t="s">
        <v>1157</v>
      </c>
      <c r="N65" s="1"/>
    </row>
    <row r="66" spans="1:14" ht="12.75">
      <c r="A66" s="82" t="s">
        <v>1158</v>
      </c>
      <c r="B66" s="147" t="s">
        <v>256</v>
      </c>
      <c r="C66" s="147" t="s">
        <v>303</v>
      </c>
      <c r="D66" s="147"/>
      <c r="E66" s="83">
        <f>INDEX(PIP_Premium_MC,1,1)</f>
        <v>0</v>
      </c>
      <c r="F66" s="83">
        <f>INDEX(PIP_Premium_MC,1,2)</f>
        <v>0</v>
      </c>
      <c r="G66" s="83">
        <f>INDEX(PIP_Premium_MC,1,3)</f>
        <v>0</v>
      </c>
      <c r="H66" s="83">
        <f>INDEX(PIP_Premium_MC,1,4)</f>
        <v>0</v>
      </c>
      <c r="I66" s="83">
        <f>INDEX(PIP_Premium_MC,1,5)</f>
        <v>0</v>
      </c>
      <c r="J66" s="84">
        <f>INDEX(PIP_Premium_MC,1,6)</f>
        <v>0</v>
      </c>
      <c r="K66" t="s">
        <v>1157</v>
      </c>
      <c r="N66" s="1"/>
    </row>
    <row r="67" spans="1:14" ht="12.75">
      <c r="A67" s="82" t="s">
        <v>1159</v>
      </c>
      <c r="B67" s="147" t="s">
        <v>256</v>
      </c>
      <c r="C67" s="147" t="s">
        <v>1489</v>
      </c>
      <c r="D67" s="147"/>
      <c r="E67" s="83">
        <f>INDEX(UM_Bodily_Injury_Premium_MC,1,1)</f>
        <v>0</v>
      </c>
      <c r="F67" s="83">
        <f>INDEX(UM_Bodily_Injury_Premium_MC,1,2)</f>
        <v>0</v>
      </c>
      <c r="G67" s="83">
        <f>INDEX(UM_Bodily_Injury_Premium_MC,1,3)</f>
        <v>0</v>
      </c>
      <c r="H67" s="83">
        <f>INDEX(UM_Bodily_Injury_Premium_MC,1,4)</f>
        <v>0</v>
      </c>
      <c r="I67" s="83">
        <f>INDEX(UM_Bodily_Injury_Premium_MC,1,5)</f>
        <v>0</v>
      </c>
      <c r="J67" s="84">
        <f>INDEX(UM_Bodily_Injury_Premium_MC,1,6)</f>
        <v>0</v>
      </c>
      <c r="K67" t="s">
        <v>1160</v>
      </c>
      <c r="N67" s="1"/>
    </row>
    <row r="68" spans="1:14" ht="12.75">
      <c r="A68" s="82" t="s">
        <v>1161</v>
      </c>
      <c r="B68" s="147" t="s">
        <v>256</v>
      </c>
      <c r="C68" s="147" t="s">
        <v>1490</v>
      </c>
      <c r="D68" s="147"/>
      <c r="E68" s="83">
        <f>INDEX(COMP_Premium_MC,1,1)</f>
        <v>0</v>
      </c>
      <c r="F68" s="83">
        <f>INDEX(COMP_Premium_MC,1,2)</f>
        <v>0</v>
      </c>
      <c r="G68" s="83">
        <f>INDEX(COMP_Premium_MC,1,3)</f>
        <v>0</v>
      </c>
      <c r="H68" s="83">
        <f>INDEX(COMP_Premium_MC,1,4)</f>
        <v>0</v>
      </c>
      <c r="I68" s="83">
        <f>INDEX(COMP_Premium_MC,1,5)</f>
        <v>0</v>
      </c>
      <c r="J68" s="84">
        <f>INDEX(COMP_Premium_MC,1,6)</f>
        <v>0</v>
      </c>
      <c r="K68" t="s">
        <v>1162</v>
      </c>
      <c r="N68" s="1"/>
    </row>
    <row r="69" spans="1:14" ht="12.75">
      <c r="A69" s="82" t="s">
        <v>1163</v>
      </c>
      <c r="B69" s="147" t="s">
        <v>256</v>
      </c>
      <c r="C69" s="147" t="s">
        <v>1491</v>
      </c>
      <c r="D69" s="147"/>
      <c r="E69" s="83">
        <f>INDEX(COLL_Premium_MC,1,1)</f>
        <v>0</v>
      </c>
      <c r="F69" s="83">
        <f>INDEX(COLL_Premium_MC,1,2)</f>
        <v>0</v>
      </c>
      <c r="G69" s="83">
        <f>INDEX(COLL_Premium_MC,1,3)</f>
        <v>0</v>
      </c>
      <c r="H69" s="83">
        <f>INDEX(COLL_Premium_MC,1,4)</f>
        <v>0</v>
      </c>
      <c r="I69" s="83">
        <f>INDEX(COLL_Premium_MC,1,5)</f>
        <v>0</v>
      </c>
      <c r="J69" s="84">
        <f>INDEX(COLL_Premium_MC,1,6)</f>
        <v>0</v>
      </c>
      <c r="K69" t="s">
        <v>1164</v>
      </c>
      <c r="N69" s="1"/>
    </row>
    <row r="70" spans="1:14" ht="12.75">
      <c r="A70" s="82"/>
      <c r="B70" s="147"/>
      <c r="C70" s="147"/>
      <c r="D70" s="147"/>
      <c r="E70" s="83"/>
      <c r="F70" s="83"/>
      <c r="G70" s="83"/>
      <c r="H70" s="83"/>
      <c r="I70" s="83"/>
      <c r="J70" s="84"/>
      <c r="N70" s="1"/>
    </row>
    <row r="71" spans="1:14" ht="12.75">
      <c r="A71" s="82" t="s">
        <v>1165</v>
      </c>
      <c r="B71" s="147" t="s">
        <v>256</v>
      </c>
      <c r="C71" s="147" t="s">
        <v>1486</v>
      </c>
      <c r="D71" s="147"/>
      <c r="E71" s="83">
        <f>INDEX(Bodily_Injury_Premium_GO,1,1)</f>
        <v>0</v>
      </c>
      <c r="F71" s="83">
        <f>INDEX(Bodily_Injury_Premium_GO,1,2)</f>
        <v>0</v>
      </c>
      <c r="G71" s="83">
        <f>INDEX(Bodily_Injury_Premium_GO,1,3)</f>
        <v>0</v>
      </c>
      <c r="H71" s="83">
        <f>INDEX(Bodily_Injury_Premium_GO,1,4)</f>
        <v>0</v>
      </c>
      <c r="I71" s="83">
        <f>INDEX(Bodily_Injury_Premium_GO,1,5)</f>
        <v>0</v>
      </c>
      <c r="J71" s="84">
        <f>INDEX(Bodily_Injury_Premium_GO,1,6)</f>
        <v>0</v>
      </c>
      <c r="K71" t="s">
        <v>1153</v>
      </c>
      <c r="N71" s="1"/>
    </row>
    <row r="72" spans="1:14" ht="12.75">
      <c r="A72" s="82" t="s">
        <v>1166</v>
      </c>
      <c r="B72" s="147" t="s">
        <v>256</v>
      </c>
      <c r="C72" s="147" t="s">
        <v>629</v>
      </c>
      <c r="D72" s="147"/>
      <c r="E72" s="83">
        <f>INDEX(Property_Damage_Premium_GO,1,1)</f>
        <v>0</v>
      </c>
      <c r="F72" s="83">
        <f>INDEX(Property_Damage_Premium_GO,1,2)</f>
        <v>0</v>
      </c>
      <c r="G72" s="83">
        <f>INDEX(Property_Damage_Premium_GO,1,3)</f>
        <v>0</v>
      </c>
      <c r="H72" s="83">
        <f>INDEX(Property_Damage_Premium_GO,1,4)</f>
        <v>0</v>
      </c>
      <c r="I72" s="83">
        <f>INDEX(Property_Damage_Premium_GO,1,5)</f>
        <v>0</v>
      </c>
      <c r="J72" s="84">
        <f>INDEX(Property_Damage_Premium_GO,1,6)</f>
        <v>0</v>
      </c>
      <c r="K72" t="s">
        <v>1155</v>
      </c>
      <c r="N72" s="1"/>
    </row>
    <row r="73" spans="1:14" ht="12.75">
      <c r="A73" s="82" t="s">
        <v>1167</v>
      </c>
      <c r="B73" s="147" t="s">
        <v>256</v>
      </c>
      <c r="C73" s="147" t="s">
        <v>1489</v>
      </c>
      <c r="D73" s="147"/>
      <c r="E73" s="83">
        <f>INDEX(UM_Bodily_Injury_Premium_GO,1,1)</f>
        <v>0</v>
      </c>
      <c r="F73" s="83">
        <f>INDEX(UM_Bodily_Injury_Premium_GO,1,2)</f>
        <v>0</v>
      </c>
      <c r="G73" s="83">
        <f>INDEX(UM_Bodily_Injury_Premium_GO,1,3)</f>
        <v>0</v>
      </c>
      <c r="H73" s="83">
        <f>INDEX(UM_Bodily_Injury_Premium_GO,1,4)</f>
        <v>0</v>
      </c>
      <c r="I73" s="83">
        <f>INDEX(UM_Bodily_Injury_Premium_GO,1,5)</f>
        <v>0</v>
      </c>
      <c r="J73" s="84">
        <f>INDEX(UM_Bodily_Injury_Premium_GO,1,6)</f>
        <v>0</v>
      </c>
      <c r="K73" t="s">
        <v>1160</v>
      </c>
      <c r="N73" s="1"/>
    </row>
    <row r="74" spans="1:14" ht="12.75">
      <c r="A74" s="82" t="s">
        <v>1168</v>
      </c>
      <c r="B74" s="147" t="s">
        <v>256</v>
      </c>
      <c r="C74" s="147" t="s">
        <v>1490</v>
      </c>
      <c r="D74" s="147"/>
      <c r="E74" s="83">
        <f>INDEX(COMP_Premium_GO,1,1)</f>
        <v>0</v>
      </c>
      <c r="F74" s="83">
        <f>INDEX(COMP_Premium_GO,1,2)</f>
        <v>0</v>
      </c>
      <c r="G74" s="83">
        <f>INDEX(COMP_Premium_GO,1,3)</f>
        <v>0</v>
      </c>
      <c r="H74" s="83">
        <f>INDEX(COMP_Premium_GO,1,4)</f>
        <v>0</v>
      </c>
      <c r="I74" s="83">
        <f>INDEX(COMP_Premium_GO,1,5)</f>
        <v>0</v>
      </c>
      <c r="J74" s="84">
        <f>INDEX(COMP_Premium_GO,1,6)</f>
        <v>0</v>
      </c>
      <c r="K74" t="s">
        <v>1162</v>
      </c>
      <c r="N74" s="1"/>
    </row>
    <row r="75" spans="1:14" ht="12.75">
      <c r="A75" s="82" t="s">
        <v>1169</v>
      </c>
      <c r="B75" s="147" t="s">
        <v>256</v>
      </c>
      <c r="C75" s="147" t="s">
        <v>1491</v>
      </c>
      <c r="D75" s="147"/>
      <c r="E75" s="83">
        <f>INDEX(COLL_Premium_GO,1,1)</f>
        <v>0</v>
      </c>
      <c r="F75" s="83">
        <f>INDEX(COLL_Premium_GO,1,2)</f>
        <v>0</v>
      </c>
      <c r="G75" s="83">
        <f>INDEX(COLL_Premium_GO,1,3)</f>
        <v>0</v>
      </c>
      <c r="H75" s="83">
        <f>INDEX(COLL_Premium_GO,1,4)</f>
        <v>0</v>
      </c>
      <c r="I75" s="83">
        <f>INDEX(COLL_Premium_GO,1,5)</f>
        <v>0</v>
      </c>
      <c r="J75" s="84">
        <f>INDEX(COLL_Premium_GO,1,6)</f>
        <v>0</v>
      </c>
      <c r="K75" t="s">
        <v>1164</v>
      </c>
      <c r="N75" s="1"/>
    </row>
    <row r="76" spans="1:14" ht="12.75">
      <c r="A76" s="82"/>
      <c r="B76" s="147"/>
      <c r="C76" s="147"/>
      <c r="D76" s="147"/>
      <c r="E76" s="83"/>
      <c r="F76" s="83"/>
      <c r="G76" s="83"/>
      <c r="H76" s="83"/>
      <c r="I76" s="83"/>
      <c r="J76" s="84"/>
      <c r="N76" s="1"/>
    </row>
    <row r="77" spans="1:14" ht="12.75">
      <c r="A77" s="82" t="s">
        <v>1170</v>
      </c>
      <c r="B77" s="147" t="s">
        <v>256</v>
      </c>
      <c r="C77" s="147" t="s">
        <v>1486</v>
      </c>
      <c r="D77" s="147"/>
      <c r="E77" s="83">
        <f>INDEX(Bodily_Injury_Premium_SNOWM,1,1)</f>
        <v>0</v>
      </c>
      <c r="F77" s="83">
        <f>INDEX(Bodily_Injury_Premium_SNOWM,1,2)</f>
        <v>0</v>
      </c>
      <c r="G77" s="83">
        <f>INDEX(Bodily_Injury_Premium_SNOWM,1,3)</f>
        <v>0</v>
      </c>
      <c r="H77" s="83">
        <f>INDEX(Bodily_Injury_Premium_SNOWM,1,4)</f>
        <v>0</v>
      </c>
      <c r="I77" s="83">
        <f>INDEX(Bodily_Injury_Premium_SNOWM,1,5)</f>
        <v>0</v>
      </c>
      <c r="J77" s="84">
        <f>INDEX(Bodily_Injury_Premium_SNOWM,1,6)</f>
        <v>0</v>
      </c>
      <c r="K77" t="s">
        <v>1153</v>
      </c>
      <c r="N77" s="1"/>
    </row>
    <row r="78" spans="1:14" ht="12.75">
      <c r="A78" s="82" t="s">
        <v>1171</v>
      </c>
      <c r="B78" s="147" t="s">
        <v>256</v>
      </c>
      <c r="C78" s="147" t="s">
        <v>629</v>
      </c>
      <c r="D78" s="147"/>
      <c r="E78" s="83">
        <f>INDEX(Property_Damage_Premium_SNOWM,1,1)</f>
        <v>0</v>
      </c>
      <c r="F78" s="83">
        <f>INDEX(Property_Damage_Premium_SNOWM,1,2)</f>
        <v>0</v>
      </c>
      <c r="G78" s="83">
        <f>INDEX(Property_Damage_Premium_SNOWM,1,3)</f>
        <v>0</v>
      </c>
      <c r="H78" s="83">
        <f>INDEX(Property_Damage_Premium_SNOWM,1,4)</f>
        <v>0</v>
      </c>
      <c r="I78" s="83">
        <f>INDEX(Property_Damage_Premium_SNOWM,1,5)</f>
        <v>0</v>
      </c>
      <c r="J78" s="84">
        <f>INDEX(Property_Damage_Premium_SNOWM,1,6)</f>
        <v>0</v>
      </c>
      <c r="K78" t="s">
        <v>1155</v>
      </c>
      <c r="N78" s="1"/>
    </row>
    <row r="79" spans="1:14" ht="12.75">
      <c r="A79" s="82" t="s">
        <v>1172</v>
      </c>
      <c r="B79" s="147" t="s">
        <v>256</v>
      </c>
      <c r="C79" s="147" t="s">
        <v>1492</v>
      </c>
      <c r="D79" s="147"/>
      <c r="E79" s="83">
        <f>INDEX(Medical_Premium_SNOWM,1,1)</f>
        <v>0</v>
      </c>
      <c r="F79" s="83">
        <f>INDEX(Medical_Premium_SNOWM,1,2)</f>
        <v>0</v>
      </c>
      <c r="G79" s="83">
        <f>INDEX(Medical_Premium_SNOWM,1,3)</f>
        <v>0</v>
      </c>
      <c r="H79" s="83">
        <f>INDEX(Medical_Premium_SNOWM,1,4)</f>
        <v>0</v>
      </c>
      <c r="I79" s="83">
        <f>INDEX(Medical_Premium_SNOWM,1,5)</f>
        <v>0</v>
      </c>
      <c r="J79" s="84">
        <f>INDEX(Medical_Premium_SNOWM,1,6)</f>
        <v>0</v>
      </c>
      <c r="K79" t="s">
        <v>1157</v>
      </c>
      <c r="N79" s="1"/>
    </row>
    <row r="80" spans="1:14" ht="12.75">
      <c r="A80" s="82" t="s">
        <v>1173</v>
      </c>
      <c r="B80" s="147" t="s">
        <v>256</v>
      </c>
      <c r="C80" s="147" t="s">
        <v>1489</v>
      </c>
      <c r="D80" s="147"/>
      <c r="E80" s="83">
        <f>INDEX(UM_Bodily_Injury_Premium_SNOWM,1,1)</f>
        <v>0</v>
      </c>
      <c r="F80" s="83">
        <f>INDEX(UM_Bodily_Injury_Premium_SNOWM,1,2)</f>
        <v>0</v>
      </c>
      <c r="G80" s="83">
        <f>INDEX(UM_Bodily_Injury_Premium_SNOWM,1,3)</f>
        <v>0</v>
      </c>
      <c r="H80" s="83">
        <f>INDEX(UM_Bodily_Injury_Premium_SNOWM,1,4)</f>
        <v>0</v>
      </c>
      <c r="I80" s="83">
        <f>INDEX(UM_Bodily_Injury_Premium_SNOWM,1,5)</f>
        <v>0</v>
      </c>
      <c r="J80" s="84">
        <f>INDEX(UM_Bodily_Injury_Premium_SNOWM,1,6)</f>
        <v>0</v>
      </c>
      <c r="K80" t="s">
        <v>1160</v>
      </c>
      <c r="N80" s="1"/>
    </row>
    <row r="81" spans="1:14" ht="12.75">
      <c r="A81" s="82" t="s">
        <v>1174</v>
      </c>
      <c r="B81" s="147" t="s">
        <v>256</v>
      </c>
      <c r="C81" s="147" t="s">
        <v>1490</v>
      </c>
      <c r="D81" s="147"/>
      <c r="E81" s="83">
        <f>INDEX(COMP_Premium_SNOWM,1,1)</f>
        <v>0</v>
      </c>
      <c r="F81" s="83">
        <f>INDEX(COMP_Premium_SNOWM,1,2)</f>
        <v>0</v>
      </c>
      <c r="G81" s="83">
        <f>INDEX(COMP_Premium_SNOWM,1,3)</f>
        <v>0</v>
      </c>
      <c r="H81" s="83">
        <f>INDEX(COMP_Premium_SNOWM,1,4)</f>
        <v>0</v>
      </c>
      <c r="I81" s="83">
        <f>INDEX(COMP_Premium_SNOWM,1,5)</f>
        <v>0</v>
      </c>
      <c r="J81" s="84">
        <f>INDEX(COMP_Premium_SNOWM,1,6)</f>
        <v>0</v>
      </c>
      <c r="K81" t="s">
        <v>1162</v>
      </c>
      <c r="N81" s="1"/>
    </row>
    <row r="82" spans="1:14" ht="12.75">
      <c r="A82" s="82" t="s">
        <v>1175</v>
      </c>
      <c r="B82" s="147" t="s">
        <v>256</v>
      </c>
      <c r="C82" s="147" t="s">
        <v>1491</v>
      </c>
      <c r="D82" s="147"/>
      <c r="E82" s="83">
        <f>INDEX(COLL_Premium_SNOWM,1,1)</f>
        <v>0</v>
      </c>
      <c r="F82" s="83">
        <f>INDEX(COLL_Premium_SNOWM,1,2)</f>
        <v>0</v>
      </c>
      <c r="G82" s="83">
        <f>INDEX(COLL_Premium_SNOWM,1,3)</f>
        <v>0</v>
      </c>
      <c r="H82" s="83">
        <f>INDEX(COLL_Premium_SNOWM,1,4)</f>
        <v>0</v>
      </c>
      <c r="I82" s="83">
        <f>INDEX(COLL_Premium_SNOWM,1,5)</f>
        <v>0</v>
      </c>
      <c r="J82" s="84">
        <f>INDEX(COLL_Premium_SNOWM,1,6)</f>
        <v>0</v>
      </c>
      <c r="K82" t="s">
        <v>1164</v>
      </c>
      <c r="N82" s="1"/>
    </row>
    <row r="83" spans="1:14" ht="12.75">
      <c r="A83" s="82"/>
      <c r="B83" s="147"/>
      <c r="C83" s="147"/>
      <c r="D83" s="147"/>
      <c r="E83" s="83"/>
      <c r="F83" s="83"/>
      <c r="G83" s="83"/>
      <c r="H83" s="83"/>
      <c r="I83" s="83"/>
      <c r="J83" s="84"/>
      <c r="N83" s="1"/>
    </row>
    <row r="84" spans="1:14" ht="12.75">
      <c r="A84" s="82" t="s">
        <v>1176</v>
      </c>
      <c r="B84" s="147" t="s">
        <v>256</v>
      </c>
      <c r="C84" s="147" t="s">
        <v>1486</v>
      </c>
      <c r="D84" s="147"/>
      <c r="E84" s="83">
        <f>INDEX(Bodily_Injury_Premium_ATV,1,1)</f>
        <v>0</v>
      </c>
      <c r="F84" s="83">
        <f>INDEX(Bodily_Injury_Premium_ATV,1,2)</f>
        <v>0</v>
      </c>
      <c r="G84" s="83">
        <f>INDEX(Bodily_Injury_Premium_ATV,1,3)</f>
        <v>0</v>
      </c>
      <c r="H84" s="83">
        <f>INDEX(Bodily_Injury_Premium_ATV,1,4)</f>
        <v>0</v>
      </c>
      <c r="I84" s="83">
        <f>INDEX(Bodily_Injury_Premium_ATV,1,5)</f>
        <v>0</v>
      </c>
      <c r="J84" s="84">
        <f>INDEX(Bodily_Injury_Premium_ATV,1,6)</f>
        <v>0</v>
      </c>
      <c r="K84" t="s">
        <v>1153</v>
      </c>
      <c r="N84" s="1"/>
    </row>
    <row r="85" spans="1:14" ht="12.75">
      <c r="A85" s="82" t="s">
        <v>1177</v>
      </c>
      <c r="B85" s="147" t="s">
        <v>256</v>
      </c>
      <c r="C85" s="147" t="s">
        <v>629</v>
      </c>
      <c r="D85" s="147"/>
      <c r="E85" s="83">
        <f>INDEX(Property_Damage_Premium_ATV,1,1)</f>
        <v>0</v>
      </c>
      <c r="F85" s="83">
        <f>INDEX(Property_Damage_Premium_ATV,1,2)</f>
        <v>0</v>
      </c>
      <c r="G85" s="83">
        <f>INDEX(Property_Damage_Premium_ATV,1,3)</f>
        <v>0</v>
      </c>
      <c r="H85" s="83">
        <f>INDEX(Property_Damage_Premium_ATV,1,4)</f>
        <v>0</v>
      </c>
      <c r="I85" s="83">
        <f>INDEX(Property_Damage_Premium_ATV,1,5)</f>
        <v>0</v>
      </c>
      <c r="J85" s="84">
        <f>INDEX(Property_Damage_Premium_ATV,1,6)</f>
        <v>0</v>
      </c>
      <c r="K85" t="s">
        <v>1155</v>
      </c>
      <c r="N85" s="1"/>
    </row>
    <row r="86" spans="1:14" ht="12.75">
      <c r="A86" s="82" t="s">
        <v>1178</v>
      </c>
      <c r="B86" s="147" t="s">
        <v>256</v>
      </c>
      <c r="C86" s="147" t="s">
        <v>1492</v>
      </c>
      <c r="D86" s="147"/>
      <c r="E86" s="83">
        <f>INDEX(Medical_Premium_ATV,1,1)</f>
        <v>0</v>
      </c>
      <c r="F86" s="83">
        <f>INDEX(Medical_Premium_ATV,1,2)</f>
        <v>0</v>
      </c>
      <c r="G86" s="83">
        <f>INDEX(Medical_Premium_ATV,1,3)</f>
        <v>0</v>
      </c>
      <c r="H86" s="83">
        <f>INDEX(Medical_Premium_ATV,1,4)</f>
        <v>0</v>
      </c>
      <c r="I86" s="83">
        <f>INDEX(Medical_Premium_ATV,1,5)</f>
        <v>0</v>
      </c>
      <c r="J86" s="84">
        <f>INDEX(Medical_Premium_ATV,1,6)</f>
        <v>0</v>
      </c>
      <c r="K86" t="s">
        <v>1157</v>
      </c>
      <c r="N86" s="1"/>
    </row>
    <row r="87" spans="1:14" ht="12.75">
      <c r="A87" s="82" t="s">
        <v>1179</v>
      </c>
      <c r="B87" s="147" t="s">
        <v>256</v>
      </c>
      <c r="C87" s="147" t="s">
        <v>1489</v>
      </c>
      <c r="D87" s="147"/>
      <c r="E87" s="83">
        <f>INDEX(UM_Bodily_Injury_Premium_ATV,1,1)</f>
        <v>0</v>
      </c>
      <c r="F87" s="83">
        <f>INDEX(UM_Bodily_Injury_Premium_ATV,1,2)</f>
        <v>0</v>
      </c>
      <c r="G87" s="83">
        <f>INDEX(UM_Bodily_Injury_Premium_ATV,1,3)</f>
        <v>0</v>
      </c>
      <c r="H87" s="83">
        <f>INDEX(UM_Bodily_Injury_Premium_ATV,1,4)</f>
        <v>0</v>
      </c>
      <c r="I87" s="83">
        <f>INDEX(UM_Bodily_Injury_Premium_ATV,1,5)</f>
        <v>0</v>
      </c>
      <c r="J87" s="84">
        <f>INDEX(UM_Bodily_Injury_Premium_ATV,1,6)</f>
        <v>0</v>
      </c>
      <c r="K87" t="s">
        <v>1160</v>
      </c>
      <c r="N87" s="1"/>
    </row>
    <row r="88" spans="1:14" ht="12.75">
      <c r="A88" s="82" t="s">
        <v>1180</v>
      </c>
      <c r="B88" s="147" t="s">
        <v>256</v>
      </c>
      <c r="C88" s="147" t="s">
        <v>1490</v>
      </c>
      <c r="D88" s="147"/>
      <c r="E88" s="83">
        <f>INDEX(COMP_PREMIUM_ATV,1,1)</f>
        <v>0</v>
      </c>
      <c r="F88" s="83">
        <f>INDEX(COMP_PREMIUM_ATV,1,2)</f>
        <v>0</v>
      </c>
      <c r="G88" s="83">
        <f>INDEX(COMP_PREMIUM_ATV,1,3)</f>
        <v>0</v>
      </c>
      <c r="H88" s="83">
        <f>INDEX(COMP_PREMIUM_ATV,1,4)</f>
        <v>0</v>
      </c>
      <c r="I88" s="83">
        <f>INDEX(COMP_PREMIUM_ATV,1,5)</f>
        <v>0</v>
      </c>
      <c r="J88" s="84">
        <f>INDEX(COMP_PREMIUM_ATV,1,6)</f>
        <v>0</v>
      </c>
      <c r="K88" t="s">
        <v>1162</v>
      </c>
      <c r="N88" s="1"/>
    </row>
    <row r="89" spans="1:14" ht="12.75">
      <c r="A89" s="82" t="s">
        <v>1181</v>
      </c>
      <c r="B89" s="147" t="s">
        <v>256</v>
      </c>
      <c r="C89" s="147" t="s">
        <v>1491</v>
      </c>
      <c r="D89" s="147"/>
      <c r="E89" s="83">
        <f>INDEX(COLL_Premium_ATV,1,1)</f>
        <v>0</v>
      </c>
      <c r="F89" s="83">
        <f>INDEX(COLL_Premium_ATV,1,2)</f>
        <v>0</v>
      </c>
      <c r="G89" s="83">
        <f>INDEX(COLL_Premium_ATV,1,3)</f>
        <v>0</v>
      </c>
      <c r="H89" s="83">
        <f>INDEX(COLL_Premium_ATV,1,4)</f>
        <v>0</v>
      </c>
      <c r="I89" s="83">
        <f>INDEX(COLL_Premium_ATV,1,5)</f>
        <v>0</v>
      </c>
      <c r="J89" s="84">
        <f>INDEX(COLL_Premium_ATV,1,6)</f>
        <v>0</v>
      </c>
      <c r="K89" t="s">
        <v>1164</v>
      </c>
      <c r="N89" s="1"/>
    </row>
    <row r="90" spans="1:14" ht="12.75">
      <c r="A90" s="82"/>
      <c r="B90" s="147"/>
      <c r="C90" s="147"/>
      <c r="D90" s="147"/>
      <c r="E90" s="83"/>
      <c r="F90" s="83"/>
      <c r="G90" s="83"/>
      <c r="H90" s="83"/>
      <c r="I90" s="83"/>
      <c r="J90" s="84"/>
      <c r="N90" s="1"/>
    </row>
    <row r="91" spans="1:14" ht="12.75">
      <c r="A91" s="82" t="s">
        <v>1182</v>
      </c>
      <c r="B91" s="147" t="s">
        <v>256</v>
      </c>
      <c r="C91" s="147" t="s">
        <v>1486</v>
      </c>
      <c r="D91" s="147"/>
      <c r="E91" s="83">
        <f>INDEX(Bodily_Injury_Premium_DB,1,1)</f>
        <v>0</v>
      </c>
      <c r="F91" s="83">
        <f>INDEX(Bodily_Injury_Premium_DB,1,2)</f>
        <v>0</v>
      </c>
      <c r="G91" s="83">
        <f>INDEX(Bodily_Injury_Premium_DB,1,3)</f>
        <v>0</v>
      </c>
      <c r="H91" s="83">
        <f>INDEX(Bodily_Injury_Premium_DB,1,4)</f>
        <v>0</v>
      </c>
      <c r="I91" s="83">
        <f>INDEX(Bodily_Injury_Premium_DB,1,5)</f>
        <v>0</v>
      </c>
      <c r="J91" s="84">
        <f>INDEX(Bodily_Injury_Premium_DB,1,6)</f>
        <v>0</v>
      </c>
      <c r="K91" t="s">
        <v>1153</v>
      </c>
      <c r="N91" s="1"/>
    </row>
    <row r="92" spans="1:14" ht="12.75">
      <c r="A92" s="82" t="s">
        <v>1183</v>
      </c>
      <c r="B92" s="147" t="s">
        <v>256</v>
      </c>
      <c r="C92" s="147" t="s">
        <v>629</v>
      </c>
      <c r="D92" s="147"/>
      <c r="E92" s="83">
        <f>INDEX(Property_Damage_Premium_DB,1,1)</f>
        <v>0</v>
      </c>
      <c r="F92" s="83">
        <f>INDEX(Property_Damage_Premium_DB,1,2)</f>
        <v>0</v>
      </c>
      <c r="G92" s="83">
        <f>INDEX(Property_Damage_Premium_DB,1,3)</f>
        <v>0</v>
      </c>
      <c r="H92" s="83">
        <f>INDEX(Property_Damage_Premium_DB,1,4)</f>
        <v>0</v>
      </c>
      <c r="I92" s="83">
        <f>INDEX(Property_Damage_Premium_DB,1,5)</f>
        <v>0</v>
      </c>
      <c r="J92" s="84">
        <f>INDEX(Property_Damage_Premium_DB,1,6)</f>
        <v>0</v>
      </c>
      <c r="K92" t="s">
        <v>1155</v>
      </c>
      <c r="N92" s="1"/>
    </row>
    <row r="93" spans="1:14" ht="12.75">
      <c r="A93" s="82" t="s">
        <v>1184</v>
      </c>
      <c r="B93" s="147" t="s">
        <v>256</v>
      </c>
      <c r="C93" s="147" t="s">
        <v>1492</v>
      </c>
      <c r="D93" s="147"/>
      <c r="E93" s="83">
        <f>INDEX(Medical_Premium_DB,1,1)</f>
        <v>0</v>
      </c>
      <c r="F93" s="83">
        <f>INDEX(Medical_Premium_DB,1,2)</f>
        <v>0</v>
      </c>
      <c r="G93" s="83">
        <f>INDEX(Medical_Premium_DB,1,3)</f>
        <v>0</v>
      </c>
      <c r="H93" s="83">
        <f>INDEX(Medical_Premium_DB,1,4)</f>
        <v>0</v>
      </c>
      <c r="I93" s="83">
        <f>INDEX(Medical_Premium_DB,1,5)</f>
        <v>0</v>
      </c>
      <c r="J93" s="84">
        <f>INDEX(Medical_Premium_DB,1,6)</f>
        <v>0</v>
      </c>
      <c r="K93" t="s">
        <v>1157</v>
      </c>
      <c r="N93" s="1"/>
    </row>
    <row r="94" spans="1:14" ht="12.75">
      <c r="A94" s="82" t="s">
        <v>1185</v>
      </c>
      <c r="B94" s="147" t="s">
        <v>256</v>
      </c>
      <c r="C94" s="147" t="s">
        <v>1489</v>
      </c>
      <c r="D94" s="147"/>
      <c r="E94" s="83">
        <f>INDEX(UM_Bodily_Injury_Premium_DB,1,1)</f>
        <v>0</v>
      </c>
      <c r="F94" s="83">
        <f>INDEX(UM_Bodily_Injury_Premium_DB,1,2)</f>
        <v>0</v>
      </c>
      <c r="G94" s="83">
        <f>INDEX(UM_Bodily_Injury_Premium_DB,1,3)</f>
        <v>0</v>
      </c>
      <c r="H94" s="83">
        <f>INDEX(UM_Bodily_Injury_Premium_DB,1,4)</f>
        <v>0</v>
      </c>
      <c r="I94" s="83">
        <f>INDEX(UM_Bodily_Injury_Premium_DB,1,5)</f>
        <v>0</v>
      </c>
      <c r="J94" s="84">
        <f>INDEX(UM_Bodily_Injury_Premium_DB,1,6)</f>
        <v>0</v>
      </c>
      <c r="K94" t="s">
        <v>1160</v>
      </c>
      <c r="N94" s="1"/>
    </row>
    <row r="95" spans="1:14" ht="12.75">
      <c r="A95" s="82" t="s">
        <v>1186</v>
      </c>
      <c r="B95" s="147" t="s">
        <v>256</v>
      </c>
      <c r="C95" s="147" t="s">
        <v>1490</v>
      </c>
      <c r="D95" s="147"/>
      <c r="E95" s="83">
        <f>INDEX(COMP_PREMIUM_DB,1,1)</f>
        <v>0</v>
      </c>
      <c r="F95" s="83">
        <f>INDEX(COMP_PREMIUM_DB,1,2)</f>
        <v>0</v>
      </c>
      <c r="G95" s="83">
        <f>INDEX(COMP_PREMIUM_DB,1,3)</f>
        <v>0</v>
      </c>
      <c r="H95" s="83">
        <f>INDEX(COMP_PREMIUM_DB,1,4)</f>
        <v>0</v>
      </c>
      <c r="I95" s="83">
        <f>INDEX(COMP_PREMIUM_DB,1,5)</f>
        <v>0</v>
      </c>
      <c r="J95" s="84">
        <f>INDEX(COMP_PREMIUM_DB,1,6)</f>
        <v>0</v>
      </c>
      <c r="K95" t="s">
        <v>1162</v>
      </c>
      <c r="N95" s="1"/>
    </row>
    <row r="96" spans="1:14" ht="12.75">
      <c r="A96" s="82" t="s">
        <v>1187</v>
      </c>
      <c r="B96" s="147" t="s">
        <v>256</v>
      </c>
      <c r="C96" s="147" t="s">
        <v>1491</v>
      </c>
      <c r="D96" s="147"/>
      <c r="E96" s="83">
        <f>INDEX(COLL_Premium_DB,1,1)</f>
        <v>0</v>
      </c>
      <c r="F96" s="83">
        <f>INDEX(COLL_Premium_DB,1,2)</f>
        <v>0</v>
      </c>
      <c r="G96" s="83">
        <f>INDEX(COLL_Premium_DB,1,3)</f>
        <v>0</v>
      </c>
      <c r="H96" s="83">
        <f>INDEX(COLL_Premium_DB,1,4)</f>
        <v>0</v>
      </c>
      <c r="I96" s="83">
        <f>INDEX(COLL_Premium_DB,1,5)</f>
        <v>0</v>
      </c>
      <c r="J96" s="84">
        <f>INDEX(COLL_Premium_DB,1,6)</f>
        <v>0</v>
      </c>
      <c r="K96" t="s">
        <v>1164</v>
      </c>
      <c r="N96" s="1"/>
    </row>
    <row r="97" spans="1:14" ht="12.75">
      <c r="A97" s="82"/>
      <c r="B97" s="147"/>
      <c r="C97" s="147"/>
      <c r="D97" s="147"/>
      <c r="E97" s="83"/>
      <c r="F97" s="83"/>
      <c r="G97" s="83"/>
      <c r="H97" s="83"/>
      <c r="I97" s="83"/>
      <c r="J97" s="84"/>
      <c r="N97" s="1"/>
    </row>
    <row r="98" spans="1:14" ht="12.75">
      <c r="A98" s="82" t="s">
        <v>1188</v>
      </c>
      <c r="B98" s="147" t="s">
        <v>256</v>
      </c>
      <c r="C98" s="147" t="s">
        <v>1486</v>
      </c>
      <c r="D98" s="147"/>
      <c r="E98" s="83">
        <f>INDEX(Bodily_Injury_Premium_GC,1,1)</f>
        <v>0</v>
      </c>
      <c r="F98" s="83">
        <f>INDEX(Bodily_Injury_Premium_GC,1,2)</f>
        <v>0</v>
      </c>
      <c r="G98" s="83">
        <f>INDEX(Bodily_Injury_Premium_GC,1,3)</f>
        <v>0</v>
      </c>
      <c r="H98" s="83">
        <f>INDEX(Bodily_Injury_Premium_GC,1,4)</f>
        <v>0</v>
      </c>
      <c r="I98" s="83">
        <f>INDEX(Bodily_Injury_Premium_GC,1,5)</f>
        <v>0</v>
      </c>
      <c r="J98" s="84">
        <f>INDEX(Bodily_Injury_Premium_GC,1,6)</f>
        <v>0</v>
      </c>
      <c r="K98" t="s">
        <v>1153</v>
      </c>
      <c r="N98" s="1"/>
    </row>
    <row r="99" spans="1:14" ht="12.75">
      <c r="A99" s="82" t="s">
        <v>1189</v>
      </c>
      <c r="B99" s="147" t="s">
        <v>256</v>
      </c>
      <c r="C99" s="147" t="s">
        <v>1490</v>
      </c>
      <c r="D99" s="147"/>
      <c r="E99" s="83">
        <f>INDEX(COMP_PREMIUM_GC,1,1)</f>
        <v>0</v>
      </c>
      <c r="F99" s="83">
        <f>INDEX(COMP_PREMIUM_GC,1,2)</f>
        <v>0</v>
      </c>
      <c r="G99" s="83">
        <f>INDEX(COMP_PREMIUM_GC,1,3)</f>
        <v>0</v>
      </c>
      <c r="H99" s="83">
        <f>INDEX(COMP_PREMIUM_GC,1,4)</f>
        <v>0</v>
      </c>
      <c r="I99" s="83">
        <f>INDEX(COMP_PREMIUM_GC,1,5)</f>
        <v>0</v>
      </c>
      <c r="J99" s="84">
        <f>INDEX(COMP_PREMIUM_GC,1,6)</f>
        <v>0</v>
      </c>
      <c r="K99" t="s">
        <v>1162</v>
      </c>
      <c r="N99" s="1"/>
    </row>
    <row r="100" spans="1:14" ht="12.75">
      <c r="A100" s="82" t="s">
        <v>1190</v>
      </c>
      <c r="B100" s="147" t="s">
        <v>256</v>
      </c>
      <c r="C100" s="147" t="s">
        <v>1491</v>
      </c>
      <c r="D100" s="147"/>
      <c r="E100" s="83">
        <f>INDEX(COLL_Premium_GC,1,1)</f>
        <v>0</v>
      </c>
      <c r="F100" s="83">
        <f>INDEX(COLL_Premium_GC,1,2)</f>
        <v>0</v>
      </c>
      <c r="G100" s="83">
        <f>INDEX(COLL_Premium_GC,1,3)</f>
        <v>0</v>
      </c>
      <c r="H100" s="83">
        <f>INDEX(COLL_Premium_GC,1,4)</f>
        <v>0</v>
      </c>
      <c r="I100" s="83">
        <f>INDEX(COLL_Premium_GC,1,5)</f>
        <v>0</v>
      </c>
      <c r="J100" s="84">
        <f>INDEX(COLL_Premium_GC,1,6)</f>
        <v>0</v>
      </c>
      <c r="K100" t="s">
        <v>1164</v>
      </c>
      <c r="N100" s="1"/>
    </row>
    <row r="101" spans="1:14" ht="12.75">
      <c r="A101" s="82"/>
      <c r="B101" s="147"/>
      <c r="C101" s="147"/>
      <c r="D101" s="147"/>
      <c r="E101" s="83"/>
      <c r="F101" s="83"/>
      <c r="G101" s="83"/>
      <c r="H101" s="83"/>
      <c r="I101" s="83"/>
      <c r="J101" s="84"/>
      <c r="N101" s="1"/>
    </row>
    <row r="102" spans="1:14" ht="12.75">
      <c r="A102" s="82" t="s">
        <v>1191</v>
      </c>
      <c r="B102" s="147" t="s">
        <v>256</v>
      </c>
      <c r="C102" s="147" t="s">
        <v>1486</v>
      </c>
      <c r="D102" s="147"/>
      <c r="E102" s="83">
        <f>INDEX(Bodily_Injury_Premium_AA,1,1)</f>
        <v>0</v>
      </c>
      <c r="F102" s="83">
        <f>INDEX(Bodily_Injury_Premium_AA,1,2)</f>
        <v>0</v>
      </c>
      <c r="G102" s="83">
        <f>INDEX(Bodily_Injury_Premium_AA,1,3)</f>
        <v>0</v>
      </c>
      <c r="H102" s="83">
        <f>INDEX(Bodily_Injury_Premium_AA,1,4)</f>
        <v>0</v>
      </c>
      <c r="I102" s="83">
        <f>INDEX(Bodily_Injury_Premium_AA,1,5)</f>
        <v>0</v>
      </c>
      <c r="J102" s="84">
        <f>INDEX(Bodily_Injury_Premium_AA,1,6)</f>
        <v>0</v>
      </c>
      <c r="K102" t="s">
        <v>1153</v>
      </c>
      <c r="N102" s="1"/>
    </row>
    <row r="103" spans="1:14" ht="12.75">
      <c r="A103" s="82" t="s">
        <v>1192</v>
      </c>
      <c r="B103" s="147" t="s">
        <v>256</v>
      </c>
      <c r="C103" s="147" t="s">
        <v>629</v>
      </c>
      <c r="D103" s="147"/>
      <c r="E103" s="83">
        <f>INDEX(Property_Damage_Premium_AA,1,1)</f>
        <v>0</v>
      </c>
      <c r="F103" s="83">
        <f>INDEX(Property_Damage_Premium_AA,1,2)</f>
        <v>0</v>
      </c>
      <c r="G103" s="83">
        <f>INDEX(Property_Damage_Premium_AA,1,3)</f>
        <v>0</v>
      </c>
      <c r="H103" s="83">
        <f>INDEX(Property_Damage_Premium_AA,1,4)</f>
        <v>0</v>
      </c>
      <c r="I103" s="83">
        <f>INDEX(Property_Damage_Premium_AA,1,5)</f>
        <v>0</v>
      </c>
      <c r="J103" s="84">
        <f>INDEX(Property_Damage_Premium_AA,1,6)</f>
        <v>0</v>
      </c>
      <c r="K103" t="s">
        <v>1155</v>
      </c>
      <c r="N103" s="1"/>
    </row>
    <row r="104" spans="1:14" ht="12.75">
      <c r="A104" s="82" t="s">
        <v>1193</v>
      </c>
      <c r="B104" s="147" t="s">
        <v>256</v>
      </c>
      <c r="C104" s="147" t="s">
        <v>1492</v>
      </c>
      <c r="D104" s="147"/>
      <c r="E104" s="83">
        <f>INDEX(Medical_Premium_AA,1,1)</f>
        <v>0</v>
      </c>
      <c r="F104" s="83">
        <f>INDEX(Medical_Premium_AA,1,2)</f>
        <v>0</v>
      </c>
      <c r="G104" s="83">
        <f>INDEX(Medical_Premium_AA,1,3)</f>
        <v>0</v>
      </c>
      <c r="H104" s="83">
        <f>INDEX(Medical_Premium_AA,1,4)</f>
        <v>0</v>
      </c>
      <c r="I104" s="83">
        <f>INDEX(Medical_Premium_AA,1,5)</f>
        <v>0</v>
      </c>
      <c r="J104" s="84">
        <f>INDEX(Medical_Premium_AA,1,6)</f>
        <v>0</v>
      </c>
      <c r="K104" t="s">
        <v>1157</v>
      </c>
      <c r="N104" s="1"/>
    </row>
    <row r="105" spans="1:14" ht="12.75">
      <c r="A105" s="82" t="s">
        <v>1194</v>
      </c>
      <c r="B105" s="147" t="s">
        <v>256</v>
      </c>
      <c r="C105" s="147" t="s">
        <v>1489</v>
      </c>
      <c r="D105" s="147"/>
      <c r="E105" s="83">
        <f>INDEX(UM_Bodily_Injury_Premium_AA,1,1)</f>
        <v>0</v>
      </c>
      <c r="F105" s="83">
        <f>INDEX(UM_Bodily_Injury_Premium_AA,1,2)</f>
        <v>0</v>
      </c>
      <c r="G105" s="83">
        <f>INDEX(UM_Bodily_Injury_Premium_AA,1,3)</f>
        <v>0</v>
      </c>
      <c r="H105" s="83">
        <f>INDEX(UM_Bodily_Injury_Premium_AA,1,4)</f>
        <v>0</v>
      </c>
      <c r="I105" s="83">
        <f>INDEX(UM_Bodily_Injury_Premium_AA,1,5)</f>
        <v>0</v>
      </c>
      <c r="J105" s="84">
        <f>INDEX(UM_Bodily_Injury_Premium_AA,1,6)</f>
        <v>0</v>
      </c>
      <c r="K105" t="s">
        <v>1160</v>
      </c>
      <c r="N105" s="1"/>
    </row>
    <row r="106" spans="1:14" ht="12.75">
      <c r="A106" s="82" t="s">
        <v>1195</v>
      </c>
      <c r="B106" s="147" t="s">
        <v>256</v>
      </c>
      <c r="C106" s="147" t="s">
        <v>1490</v>
      </c>
      <c r="D106" s="147"/>
      <c r="E106" s="83">
        <f>INDEX(COMP_PREMIUM_AA,1,1)</f>
        <v>0</v>
      </c>
      <c r="F106" s="83">
        <f>INDEX(COMP_PREMIUM_AA,1,2)</f>
        <v>0</v>
      </c>
      <c r="G106" s="83">
        <f>INDEX(COMP_PREMIUM_AA,1,3)</f>
        <v>0</v>
      </c>
      <c r="H106" s="83">
        <f>INDEX(COMP_PREMIUM_AA,1,4)</f>
        <v>0</v>
      </c>
      <c r="I106" s="83">
        <f>INDEX(COMP_PREMIUM_AA,1,5)</f>
        <v>0</v>
      </c>
      <c r="J106" s="84">
        <f>INDEX(COMP_PREMIUM_AA,1,6)</f>
        <v>0</v>
      </c>
      <c r="K106" t="s">
        <v>1162</v>
      </c>
      <c r="N106" s="1"/>
    </row>
    <row r="107" spans="1:14" ht="12.75">
      <c r="A107" s="82" t="s">
        <v>1196</v>
      </c>
      <c r="B107" s="147" t="s">
        <v>256</v>
      </c>
      <c r="C107" s="147" t="s">
        <v>1491</v>
      </c>
      <c r="D107" s="147"/>
      <c r="E107" s="83">
        <f>INDEX(COLL_Premium_AA,1,1)</f>
        <v>0</v>
      </c>
      <c r="F107" s="83">
        <f>INDEX(COLL_Premium_AA,1,2)</f>
        <v>0</v>
      </c>
      <c r="G107" s="83">
        <f>INDEX(COLL_Premium_AA,1,3)</f>
        <v>0</v>
      </c>
      <c r="H107" s="83">
        <f>INDEX(COLL_Premium_AA,1,4)</f>
        <v>0</v>
      </c>
      <c r="I107" s="83">
        <f>INDEX(COLL_Premium_AA,1,5)</f>
        <v>0</v>
      </c>
      <c r="J107" s="84">
        <f>INDEX(COLL_Premium_AA,1,6)</f>
        <v>0</v>
      </c>
      <c r="K107" t="s">
        <v>1164</v>
      </c>
      <c r="N107" s="1"/>
    </row>
    <row r="108" spans="1:14" ht="12.75">
      <c r="A108" s="82"/>
      <c r="B108" s="147"/>
      <c r="C108" s="147"/>
      <c r="D108" s="147"/>
      <c r="E108" s="85"/>
      <c r="F108" s="85"/>
      <c r="G108" s="85"/>
      <c r="H108" s="85"/>
      <c r="I108" s="85"/>
      <c r="J108" s="86"/>
      <c r="N108" s="1"/>
    </row>
    <row r="109" spans="1:14" ht="12.75">
      <c r="A109" s="82" t="s">
        <v>1084</v>
      </c>
      <c r="B109" s="147" t="s">
        <v>897</v>
      </c>
      <c r="C109" s="147" t="s">
        <v>1498</v>
      </c>
      <c r="D109" s="147"/>
      <c r="E109" s="85">
        <f>INDEX(NC_BI_Clean_Risk_Surcharge,,1)+INDEX(NC_PD_Clean_Risk_Surcharge,,1)+INDEX(NC_Medical_Clean_Risk_Surcharge,,1)</f>
        <v>0</v>
      </c>
      <c r="F109" s="85">
        <f>INDEX(NC_BI_Clean_Risk_Surcharge,,2)+INDEX(NC_PD_Clean_Risk_Surcharge,,2)+INDEX(NC_Medical_Clean_Risk_Surcharge,,2)</f>
        <v>0</v>
      </c>
      <c r="G109" s="85">
        <f>INDEX(NC_BI_Clean_Risk_Surcharge,,3)+INDEX(NC_PD_Clean_Risk_Surcharge,,3)+INDEX(NC_Medical_Clean_Risk_Surcharge,,3)</f>
        <v>0</v>
      </c>
      <c r="H109" s="85">
        <f>INDEX(NC_BI_Clean_Risk_Surcharge,,4)+INDEX(NC_PD_Clean_Risk_Surcharge,,4)+INDEX(NC_Medical_Clean_Risk_Surcharge,,4)</f>
        <v>0</v>
      </c>
      <c r="I109" s="85">
        <f>INDEX(NC_BI_Clean_Risk_Surcharge,,5)+INDEX(NC_PD_Clean_Risk_Surcharge,,5)+INDEX(NC_Medical_Clean_Risk_Surcharge,,5)</f>
        <v>0</v>
      </c>
      <c r="J109" s="86">
        <f>INDEX(NC_BI_Clean_Risk_Surcharge,,6)+INDEX(NC_PD_Clean_Risk_Surcharge,,6)+INDEX(NC_Medical_Clean_Risk_Surcharge,,6)</f>
        <v>0</v>
      </c>
      <c r="N109" s="1"/>
    </row>
    <row r="110" spans="1:14" ht="12.75">
      <c r="A110" s="82"/>
      <c r="B110" s="147"/>
      <c r="C110" s="147"/>
      <c r="D110" s="147"/>
      <c r="E110" s="85"/>
      <c r="F110" s="85"/>
      <c r="G110" s="85"/>
      <c r="H110" s="85"/>
      <c r="I110" s="85"/>
      <c r="J110" s="86"/>
      <c r="N110" s="1"/>
    </row>
    <row r="111" spans="1:14" s="87" customFormat="1" ht="12.75">
      <c r="A111" s="88" t="s">
        <v>1197</v>
      </c>
      <c r="B111" s="148"/>
      <c r="C111" s="148"/>
      <c r="D111" s="148"/>
      <c r="E111" s="83">
        <f>SUM(E12:E20)+SUM(E22:E44)+SUM(E46:E109)</f>
        <v>0</v>
      </c>
      <c r="F111" s="83">
        <f>SUM(F12:F20)+SUM(F22:F44)+SUM(F46:F109)</f>
        <v>0</v>
      </c>
      <c r="G111" s="83">
        <f>SUM(G12:G20)+SUM(G22:G44)+SUM(G46:G109)</f>
        <v>0</v>
      </c>
      <c r="H111" s="83">
        <f>SUM(H12:H20)+SUM(H22:H44)+SUM(H46:H109)</f>
        <v>0</v>
      </c>
      <c r="I111" s="83">
        <f>SUM(I12:I20)+SUM(I22:I44)+SUM(I46:I109)</f>
        <v>0</v>
      </c>
      <c r="J111" s="86">
        <f>SUM(J12:J20)+SUM(J22:J44)+SUM(J46:J109)</f>
        <v>0</v>
      </c>
      <c r="N111" s="89"/>
    </row>
    <row r="112" spans="1:14" s="87" customFormat="1" ht="12.75">
      <c r="A112" s="88" t="s">
        <v>1198</v>
      </c>
      <c r="B112" s="148"/>
      <c r="C112" s="148" t="s">
        <v>1499</v>
      </c>
      <c r="D112" s="148"/>
      <c r="E112" s="83">
        <f>IF(OR(Insured_State&lt;&gt;"KY",ISERROR(ROUND(SUM(E111:J111)*State_Surcharge_Rate,2))),0,ROUND(SUM(E111:J111)*State_Surcharge_Rate,2))</f>
        <v>0</v>
      </c>
      <c r="F112" s="83"/>
      <c r="G112" s="83"/>
      <c r="H112" s="83"/>
      <c r="I112" s="83"/>
      <c r="J112" s="84"/>
      <c r="N112" s="89"/>
    </row>
    <row r="113" spans="1:14" s="87" customFormat="1" ht="12.75">
      <c r="A113" s="88" t="s">
        <v>1199</v>
      </c>
      <c r="B113" s="148"/>
      <c r="C113" s="148" t="s">
        <v>1500</v>
      </c>
      <c r="D113" s="148"/>
      <c r="E113" s="83">
        <f>IF(OR(Insured_State&lt;&gt;"KY",ISERROR(ROUND(SUM(E111:J111)*Applicable_Municipal_Tax_Rate,0))),0,ROUND(SUM(E111:J111)*Applicable_Municipal_Tax_Rate,0))</f>
        <v>0</v>
      </c>
      <c r="F113" s="83"/>
      <c r="G113" s="83"/>
      <c r="H113" s="83"/>
      <c r="I113" s="83"/>
      <c r="J113" s="84"/>
      <c r="N113" s="89"/>
    </row>
    <row r="114" spans="1:14" s="87" customFormat="1" ht="12.75">
      <c r="A114" s="88" t="s">
        <v>552</v>
      </c>
      <c r="B114" s="148"/>
      <c r="C114" s="148" t="s">
        <v>1501</v>
      </c>
      <c r="D114" s="148"/>
      <c r="E114" s="83">
        <f>Umbrella_Endorsement_Premium</f>
        <v>0</v>
      </c>
      <c r="F114" s="85"/>
      <c r="G114" s="85"/>
      <c r="H114" s="85"/>
      <c r="I114" s="85"/>
      <c r="J114" s="86"/>
      <c r="K114" s="46" t="s">
        <v>1200</v>
      </c>
      <c r="N114" s="89"/>
    </row>
    <row r="115" spans="1:10" s="87" customFormat="1" ht="12.75">
      <c r="A115" s="88" t="s">
        <v>1201</v>
      </c>
      <c r="B115" s="148"/>
      <c r="C115" s="148"/>
      <c r="D115" s="148"/>
      <c r="E115" s="83">
        <f>ROUND(SUM(E111:J111)+SUM(E112:E114),2)</f>
        <v>0</v>
      </c>
      <c r="F115" s="90"/>
      <c r="G115" s="90"/>
      <c r="H115" s="90"/>
      <c r="I115" s="90"/>
      <c r="J115" s="91"/>
    </row>
    <row r="116" spans="1:10" ht="12.75">
      <c r="A116" s="92"/>
      <c r="B116" s="39"/>
      <c r="C116" s="39"/>
      <c r="D116" s="39"/>
      <c r="E116" s="93"/>
      <c r="F116" s="94"/>
      <c r="G116" s="94"/>
      <c r="H116" s="94"/>
      <c r="I116" s="94"/>
      <c r="J116" s="95"/>
    </row>
    <row r="117" spans="1:10" s="87" customFormat="1" ht="12.75">
      <c r="A117" s="96" t="s">
        <v>1202</v>
      </c>
      <c r="B117" s="94"/>
      <c r="C117" s="94"/>
      <c r="D117" s="94"/>
      <c r="E117" s="97">
        <f>ROUND(SUM(E12:J19)+SUM(E22:J32)+SUM(E41:J41)+SUM(E44:J44)+SUM(E52:J55)+SUM(E63:J67)+SUM(E71:J73)+SUM(E77:J80)+SUM(E84:J87)+SUM(E91:J94)+SUM(E98:J98)+SUM(E102:J105),2)</f>
        <v>0</v>
      </c>
      <c r="F117" s="94"/>
      <c r="G117" s="94"/>
      <c r="H117" s="94"/>
      <c r="I117" s="94"/>
      <c r="J117" s="95"/>
    </row>
    <row r="118" spans="1:10" s="87" customFormat="1" ht="12.75">
      <c r="A118" s="96" t="s">
        <v>1203</v>
      </c>
      <c r="B118" s="94"/>
      <c r="C118" s="94"/>
      <c r="D118" s="94"/>
      <c r="E118" s="97">
        <f>SUM(E112:E113)</f>
        <v>0</v>
      </c>
      <c r="F118" s="94"/>
      <c r="G118" s="94"/>
      <c r="H118" s="94"/>
      <c r="I118" s="94"/>
      <c r="J118" s="95"/>
    </row>
    <row r="119" spans="1:10" s="87" customFormat="1" ht="12.75">
      <c r="A119" s="96" t="s">
        <v>1204</v>
      </c>
      <c r="B119" s="94"/>
      <c r="C119" s="94"/>
      <c r="D119" s="94"/>
      <c r="E119" s="97">
        <f>ROUND((E115-E117-E118),2)</f>
        <v>0</v>
      </c>
      <c r="F119" s="94"/>
      <c r="G119" s="94"/>
      <c r="H119" s="94"/>
      <c r="I119" s="94"/>
      <c r="J119" s="95"/>
    </row>
    <row r="120" spans="1:10" ht="12.75">
      <c r="A120" s="92"/>
      <c r="B120" s="39"/>
      <c r="C120" s="39"/>
      <c r="D120" s="39"/>
      <c r="E120" s="39"/>
      <c r="F120" s="39"/>
      <c r="G120" s="39"/>
      <c r="H120" s="39"/>
      <c r="I120" s="39"/>
      <c r="J120" s="98"/>
    </row>
    <row r="121" spans="1:10" ht="12.75">
      <c r="A121" s="92"/>
      <c r="B121" s="39"/>
      <c r="C121" s="39"/>
      <c r="D121" s="39"/>
      <c r="E121" s="39"/>
      <c r="F121" s="39"/>
      <c r="G121" s="39"/>
      <c r="H121" s="39"/>
      <c r="I121" s="39"/>
      <c r="J121" s="98"/>
    </row>
    <row r="122" spans="1:10" ht="12.75">
      <c r="A122" s="92"/>
      <c r="B122" s="39"/>
      <c r="C122" s="39"/>
      <c r="D122" s="39"/>
      <c r="E122" s="39"/>
      <c r="F122" s="39"/>
      <c r="G122" s="39"/>
      <c r="H122" s="39"/>
      <c r="I122" s="39"/>
      <c r="J122" s="98"/>
    </row>
    <row r="123" spans="1:10" ht="12.75">
      <c r="A123" s="92"/>
      <c r="B123" s="39"/>
      <c r="C123" s="39"/>
      <c r="D123" s="39"/>
      <c r="E123" s="39"/>
      <c r="F123" s="39"/>
      <c r="G123" s="39"/>
      <c r="H123" s="39"/>
      <c r="I123" s="39"/>
      <c r="J123" s="98"/>
    </row>
    <row r="124" spans="1:10" ht="12.75">
      <c r="A124" s="92"/>
      <c r="B124" s="39"/>
      <c r="C124" s="39"/>
      <c r="D124" s="39"/>
      <c r="E124" s="39"/>
      <c r="F124" s="39"/>
      <c r="G124" s="39"/>
      <c r="H124" s="39"/>
      <c r="I124" s="39"/>
      <c r="J124" s="98"/>
    </row>
    <row r="125" spans="1:10" ht="12.75">
      <c r="A125" s="92"/>
      <c r="B125" s="39"/>
      <c r="C125" s="39"/>
      <c r="D125" s="39"/>
      <c r="E125" s="39"/>
      <c r="F125" s="39"/>
      <c r="G125" s="39"/>
      <c r="H125" s="39"/>
      <c r="I125" s="39"/>
      <c r="J125" s="98"/>
    </row>
    <row r="126" spans="1:10" ht="12.75">
      <c r="A126" s="92"/>
      <c r="B126" s="39"/>
      <c r="C126" s="39"/>
      <c r="D126" s="39"/>
      <c r="E126" s="39"/>
      <c r="F126" s="39"/>
      <c r="G126" s="39"/>
      <c r="H126" s="39"/>
      <c r="I126" s="39"/>
      <c r="J126" s="98"/>
    </row>
    <row r="127" spans="1:10" ht="12.75">
      <c r="A127" s="92"/>
      <c r="B127" s="39"/>
      <c r="C127" s="39"/>
      <c r="D127" s="39"/>
      <c r="E127" s="39"/>
      <c r="F127" s="39"/>
      <c r="G127" s="39"/>
      <c r="H127" s="39"/>
      <c r="I127" s="39"/>
      <c r="J127" s="98"/>
    </row>
    <row r="128" spans="1:10" ht="12.75">
      <c r="A128" s="92"/>
      <c r="B128" s="39"/>
      <c r="C128" s="39"/>
      <c r="D128" s="39"/>
      <c r="E128" s="39"/>
      <c r="F128" s="39"/>
      <c r="G128" s="39"/>
      <c r="H128" s="39"/>
      <c r="I128" s="39"/>
      <c r="J128" s="98"/>
    </row>
    <row r="129" spans="1:10" ht="13.5" customHeight="1" thickBot="1">
      <c r="A129" s="99"/>
      <c r="B129" s="100"/>
      <c r="C129" s="100"/>
      <c r="D129" s="100"/>
      <c r="E129" s="100"/>
      <c r="F129" s="100"/>
      <c r="G129" s="100"/>
      <c r="H129" s="100"/>
      <c r="I129" s="100"/>
      <c r="J129" s="101"/>
    </row>
  </sheetData>
  <printOptions/>
  <pageMargins left="0.75" right="0.75" top="1" bottom="1" header="0.5" footer="0.5"/>
  <pageSetup horizontalDpi="600" verticalDpi="600" orientation="portrait"/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>
  <dimension ref="A1:G21"/>
  <sheetViews>
    <sheetView zoomScale="75" zoomScaleNormal="75" workbookViewId="0" topLeftCell="A1">
      <selection activeCell="B17" sqref="B17"/>
    </sheetView>
  </sheetViews>
  <sheetFormatPr defaultColWidth="9.140625" defaultRowHeight="12.75"/>
  <cols>
    <col min="1" max="1" width="28.8515625" style="0" customWidth="1"/>
  </cols>
  <sheetData>
    <row r="1" spans="1:7" s="31" customFormat="1" ht="12.75">
      <c r="A1" s="31" t="s">
        <v>205</v>
      </c>
      <c r="B1" s="31" t="s">
        <v>428</v>
      </c>
      <c r="C1" s="31" t="s">
        <v>429</v>
      </c>
      <c r="D1" s="31" t="s">
        <v>430</v>
      </c>
      <c r="E1" s="31" t="s">
        <v>431</v>
      </c>
      <c r="F1" s="31" t="s">
        <v>432</v>
      </c>
      <c r="G1" s="31" t="s">
        <v>433</v>
      </c>
    </row>
    <row r="2" spans="1:7" ht="12.75">
      <c r="A2" s="141" t="s">
        <v>206</v>
      </c>
      <c r="B2" s="135">
        <f>INDEX(Vehicle_Type,,1)</f>
        <v>0</v>
      </c>
      <c r="C2" s="135">
        <f>INDEX(Vehicle_Type,,2)</f>
        <v>0</v>
      </c>
      <c r="D2" s="135">
        <f>INDEX(Vehicle_Type,,3)</f>
        <v>0</v>
      </c>
      <c r="E2" s="135">
        <f>INDEX(Vehicle_Type,,4)</f>
        <v>0</v>
      </c>
      <c r="F2" s="135">
        <f>INDEX(Vehicle_Type,,5)</f>
        <v>0</v>
      </c>
      <c r="G2" s="135">
        <f>INDEX(Vehicle_Type,,6)</f>
        <v>0</v>
      </c>
    </row>
    <row r="3" spans="1:7" ht="12.75">
      <c r="A3" s="87" t="s">
        <v>207</v>
      </c>
      <c r="B3" s="140">
        <f aca="true" t="shared" si="0" ref="B3:G3">IF(OR(B2=0,B2="MC",B2="CMCMS",B2="GO",B2="SNOWM",B2="ATV",B2="DB",B2="GC",B2="MH",B2="RT",B2="AA"),0,1)</f>
        <v>0</v>
      </c>
      <c r="C3" s="140">
        <f t="shared" si="0"/>
        <v>0</v>
      </c>
      <c r="D3" s="140">
        <f t="shared" si="0"/>
        <v>0</v>
      </c>
      <c r="E3" s="140">
        <f t="shared" si="0"/>
        <v>0</v>
      </c>
      <c r="F3" s="140">
        <f t="shared" si="0"/>
        <v>0</v>
      </c>
      <c r="G3" s="140">
        <f t="shared" si="0"/>
        <v>0</v>
      </c>
    </row>
    <row r="4" spans="1:7" ht="12.75">
      <c r="A4" s="87" t="s">
        <v>208</v>
      </c>
      <c r="B4" s="140">
        <f aca="true" t="shared" si="1" ref="B4:G4">IF(OR(B2=0,B2="MC",B2="CMCMS",B2="GO",B2="SNOWM",B2="ATV",B2="DB",B2="GC",B2="MH",B2="RT",B2="AA"),0,1)</f>
        <v>0</v>
      </c>
      <c r="C4" s="140">
        <f t="shared" si="1"/>
        <v>0</v>
      </c>
      <c r="D4" s="140">
        <f t="shared" si="1"/>
        <v>0</v>
      </c>
      <c r="E4" s="140">
        <f t="shared" si="1"/>
        <v>0</v>
      </c>
      <c r="F4" s="140">
        <f t="shared" si="1"/>
        <v>0</v>
      </c>
      <c r="G4" s="140">
        <f t="shared" si="1"/>
        <v>0</v>
      </c>
    </row>
    <row r="5" spans="1:7" ht="12.75">
      <c r="A5" s="87" t="s">
        <v>209</v>
      </c>
      <c r="B5" s="140">
        <f aca="true" t="shared" si="2" ref="B5:G5">IF(OR(B2=0,B2="MC",B2="CMCMS",B2="GO",B2="SNOWM",B2="ATV",B2="DB",B2="GC",B2="MH",B2="RT",B2="AA"),0,1)</f>
        <v>0</v>
      </c>
      <c r="C5" s="140">
        <f t="shared" si="2"/>
        <v>0</v>
      </c>
      <c r="D5" s="140">
        <f t="shared" si="2"/>
        <v>0</v>
      </c>
      <c r="E5" s="140">
        <f t="shared" si="2"/>
        <v>0</v>
      </c>
      <c r="F5" s="140">
        <f t="shared" si="2"/>
        <v>0</v>
      </c>
      <c r="G5" s="140">
        <f t="shared" si="2"/>
        <v>0</v>
      </c>
    </row>
    <row r="6" spans="1:7" ht="12.75">
      <c r="A6" s="87" t="s">
        <v>210</v>
      </c>
      <c r="B6" s="140">
        <f aca="true" t="shared" si="3" ref="B6:G6">IF(OR(B2=0,B2="MC",B2="CMCMS",B2="GO",B2="SNOWM",B2="ATV",B2="DB",B2="GC",B2="MH",B2="RT",B2="AA"),0,1)</f>
        <v>0</v>
      </c>
      <c r="C6" s="140">
        <f t="shared" si="3"/>
        <v>0</v>
      </c>
      <c r="D6" s="140">
        <f t="shared" si="3"/>
        <v>0</v>
      </c>
      <c r="E6" s="140">
        <f t="shared" si="3"/>
        <v>0</v>
      </c>
      <c r="F6" s="140">
        <f t="shared" si="3"/>
        <v>0</v>
      </c>
      <c r="G6" s="140">
        <f t="shared" si="3"/>
        <v>0</v>
      </c>
    </row>
    <row r="7" spans="1:7" ht="12.75">
      <c r="A7" s="87" t="s">
        <v>211</v>
      </c>
      <c r="B7" s="140">
        <f aca="true" t="shared" si="4" ref="B7:G7">IF(OR(B2=0,B2="MC",B2="CMCMS",B2="GO",B2="SNOWM",B2="ATV",B2="DB",B2="GC",B2="AA",B2="MH",B2="RT"),0,1)</f>
        <v>0</v>
      </c>
      <c r="C7" s="140">
        <f t="shared" si="4"/>
        <v>0</v>
      </c>
      <c r="D7" s="140">
        <f t="shared" si="4"/>
        <v>0</v>
      </c>
      <c r="E7" s="140">
        <f t="shared" si="4"/>
        <v>0</v>
      </c>
      <c r="F7" s="140">
        <f t="shared" si="4"/>
        <v>0</v>
      </c>
      <c r="G7" s="140">
        <f t="shared" si="4"/>
        <v>0</v>
      </c>
    </row>
    <row r="8" spans="1:7" ht="12.75">
      <c r="A8" s="87" t="s">
        <v>212</v>
      </c>
      <c r="B8" s="140">
        <f aca="true" t="shared" si="5" ref="B8:G8">IF(OR(B2=0,B2="MC",B2="CMCMS",B2="GO",B2="SNOWM",B2="ATV",B2="DB",B2="GC",B2="AA",B2="MH",B2="RT"),0,1)</f>
        <v>0</v>
      </c>
      <c r="C8" s="140">
        <f t="shared" si="5"/>
        <v>0</v>
      </c>
      <c r="D8" s="140">
        <f t="shared" si="5"/>
        <v>0</v>
      </c>
      <c r="E8" s="140">
        <f t="shared" si="5"/>
        <v>0</v>
      </c>
      <c r="F8" s="140">
        <f t="shared" si="5"/>
        <v>0</v>
      </c>
      <c r="G8" s="140">
        <f t="shared" si="5"/>
        <v>0</v>
      </c>
    </row>
    <row r="9" spans="1:7" ht="12.75">
      <c r="A9" s="87" t="s">
        <v>213</v>
      </c>
      <c r="B9" s="140">
        <f aca="true" t="shared" si="6" ref="B9:G9">IF(OR(B2=0,B2="MC",B2="CMCMS",B2="GO",B2="SNOWM",B2="ATV",B2="DB",B2="GC",B2="AA",B2="MH",B2="RT"),0,1)</f>
        <v>0</v>
      </c>
      <c r="C9" s="140">
        <f t="shared" si="6"/>
        <v>0</v>
      </c>
      <c r="D9" s="140">
        <f t="shared" si="6"/>
        <v>0</v>
      </c>
      <c r="E9" s="140">
        <f t="shared" si="6"/>
        <v>0</v>
      </c>
      <c r="F9" s="140">
        <f t="shared" si="6"/>
        <v>0</v>
      </c>
      <c r="G9" s="140">
        <f t="shared" si="6"/>
        <v>0</v>
      </c>
    </row>
    <row r="10" spans="1:7" ht="12.75">
      <c r="A10" s="87" t="s">
        <v>214</v>
      </c>
      <c r="B10" s="140">
        <f aca="true" t="shared" si="7" ref="B10:G10">IF(OR(B2="PP",B2="PU",B2="VAN",B2="VANMV",B2="CL",B2="CUSTVANPKUP"),1,0)</f>
        <v>0</v>
      </c>
      <c r="C10" s="140">
        <f t="shared" si="7"/>
        <v>0</v>
      </c>
      <c r="D10" s="140">
        <f t="shared" si="7"/>
        <v>0</v>
      </c>
      <c r="E10" s="140">
        <f t="shared" si="7"/>
        <v>0</v>
      </c>
      <c r="F10" s="140">
        <f t="shared" si="7"/>
        <v>0</v>
      </c>
      <c r="G10" s="140">
        <f t="shared" si="7"/>
        <v>0</v>
      </c>
    </row>
    <row r="11" spans="1:7" ht="12.75">
      <c r="A11" s="87" t="s">
        <v>215</v>
      </c>
      <c r="B11" s="140">
        <f aca="true" t="shared" si="8" ref="B11:G11">IF(OR(B2="PP",B2="PU",B2="VAN",B2="VANMV",B2="CL",B2="CUSTVANPKUP"),1,0)</f>
        <v>0</v>
      </c>
      <c r="C11" s="140">
        <f t="shared" si="8"/>
        <v>0</v>
      </c>
      <c r="D11" s="140">
        <f t="shared" si="8"/>
        <v>0</v>
      </c>
      <c r="E11" s="140">
        <f t="shared" si="8"/>
        <v>0</v>
      </c>
      <c r="F11" s="140">
        <f t="shared" si="8"/>
        <v>0</v>
      </c>
      <c r="G11" s="140">
        <f t="shared" si="8"/>
        <v>0</v>
      </c>
    </row>
    <row r="12" spans="1:7" ht="12.75">
      <c r="A12" s="87" t="s">
        <v>216</v>
      </c>
      <c r="B12" s="140">
        <f aca="true" t="shared" si="9" ref="B12:G12">IF(OR(B2="PP",B2="CL",B2="VAN",B2="PU",B2="VANMV",B2="CUSTVANPKUP"),1,0)</f>
        <v>0</v>
      </c>
      <c r="C12" s="140">
        <f t="shared" si="9"/>
        <v>0</v>
      </c>
      <c r="D12" s="140">
        <f t="shared" si="9"/>
        <v>0</v>
      </c>
      <c r="E12" s="140">
        <f t="shared" si="9"/>
        <v>0</v>
      </c>
      <c r="F12" s="140">
        <f t="shared" si="9"/>
        <v>0</v>
      </c>
      <c r="G12" s="140">
        <f t="shared" si="9"/>
        <v>0</v>
      </c>
    </row>
    <row r="13" spans="1:7" ht="12.75">
      <c r="A13" s="87" t="s">
        <v>217</v>
      </c>
      <c r="B13" s="140">
        <f>IF(OR(B2="PP",B2="CL",B2="VAN",B2="PU",B2="VANMV",B2="CUSTVANPKUP"),1,0)</f>
        <v>0</v>
      </c>
      <c r="C13" s="140">
        <f>IF(OR(C2="PP",C2="VANMV",C2="CUSTVANPKUP"),1,0)</f>
        <v>0</v>
      </c>
      <c r="D13" s="140">
        <f>IF(OR(D2="PP",D2="VANMV",D2="CUSTVANPKUP"),1,0)</f>
        <v>0</v>
      </c>
      <c r="E13" s="140">
        <f>IF(OR(E2="PP",E2="VANMV",E2="CUSTVANPKUP"),1,0)</f>
        <v>0</v>
      </c>
      <c r="F13" s="140">
        <f>IF(OR(F2="PP",F2="VANMV",F2="CUSTVANPKUP"),1,0)</f>
        <v>0</v>
      </c>
      <c r="G13" s="140">
        <f>IF(OR(G2="PP",G2="VANMV",G2="CUSTVANPKUP"),1,0)</f>
        <v>0</v>
      </c>
    </row>
    <row r="14" spans="1:7" ht="12.75">
      <c r="A14" s="87" t="s">
        <v>218</v>
      </c>
      <c r="B14" s="140">
        <f aca="true" t="shared" si="10" ref="B14:G14">IF(B2="MH",1,0)</f>
        <v>0</v>
      </c>
      <c r="C14" s="140">
        <f t="shared" si="10"/>
        <v>0</v>
      </c>
      <c r="D14" s="140">
        <f t="shared" si="10"/>
        <v>0</v>
      </c>
      <c r="E14" s="140">
        <f t="shared" si="10"/>
        <v>0</v>
      </c>
      <c r="F14" s="140">
        <f t="shared" si="10"/>
        <v>0</v>
      </c>
      <c r="G14" s="140">
        <f t="shared" si="10"/>
        <v>0</v>
      </c>
    </row>
    <row r="15" spans="1:7" ht="12.75">
      <c r="A15" s="87" t="s">
        <v>219</v>
      </c>
      <c r="B15" s="140">
        <f aca="true" t="shared" si="11" ref="B15:G15">IF(B2="RT",1,0)</f>
        <v>0</v>
      </c>
      <c r="C15" s="140">
        <f t="shared" si="11"/>
        <v>0</v>
      </c>
      <c r="D15" s="140">
        <f t="shared" si="11"/>
        <v>0</v>
      </c>
      <c r="E15" s="140">
        <f t="shared" si="11"/>
        <v>0</v>
      </c>
      <c r="F15" s="140">
        <f t="shared" si="11"/>
        <v>0</v>
      </c>
      <c r="G15" s="140">
        <f t="shared" si="11"/>
        <v>0</v>
      </c>
    </row>
    <row r="17" spans="1:7" ht="12.75">
      <c r="A17" s="87" t="s">
        <v>220</v>
      </c>
      <c r="B17" s="140">
        <v>1</v>
      </c>
      <c r="C17" s="140">
        <f aca="true" t="shared" si="12" ref="B17:G17">IF(OR(C2="PP",C2="CL",C2="VAN",C2="PU",C2="VANMV",C2="CUSTVANPKUP",C2="AA"),1,0)</f>
        <v>0</v>
      </c>
      <c r="D17" s="140">
        <f t="shared" si="12"/>
        <v>0</v>
      </c>
      <c r="E17" s="140">
        <f t="shared" si="12"/>
        <v>0</v>
      </c>
      <c r="F17" s="140">
        <f t="shared" si="12"/>
        <v>0</v>
      </c>
      <c r="G17" s="140">
        <f t="shared" si="12"/>
        <v>0</v>
      </c>
    </row>
    <row r="18" spans="1:7" ht="12.75">
      <c r="A18" s="87" t="s">
        <v>221</v>
      </c>
      <c r="B18" s="140">
        <f>IF(SUM(B17:G17)&gt;1,1,0)</f>
        <v>0</v>
      </c>
      <c r="C18" s="140"/>
      <c r="D18" s="140"/>
      <c r="E18" s="140"/>
      <c r="F18" s="140"/>
      <c r="G18" s="140"/>
    </row>
    <row r="19" spans="1:7" ht="12.75">
      <c r="A19" s="87" t="s">
        <v>222</v>
      </c>
      <c r="B19" s="140">
        <f aca="true" t="shared" si="13" ref="B19:G19">IF(B2="MH",IF(Number_of_Vehicles&gt;1,1,0),Special_MultiCar)</f>
        <v>0</v>
      </c>
      <c r="C19" s="140">
        <f t="shared" si="13"/>
        <v>0</v>
      </c>
      <c r="D19" s="140">
        <f t="shared" si="13"/>
        <v>0</v>
      </c>
      <c r="E19" s="140">
        <f t="shared" si="13"/>
        <v>0</v>
      </c>
      <c r="F19" s="140">
        <f t="shared" si="13"/>
        <v>0</v>
      </c>
      <c r="G19" s="140">
        <f t="shared" si="13"/>
        <v>0</v>
      </c>
    </row>
    <row r="20" spans="1:7" ht="12.75">
      <c r="A20" s="87" t="s">
        <v>223</v>
      </c>
      <c r="B20" s="140">
        <f>IF(SUM(B19:G19)&gt;0,1,0)</f>
        <v>0</v>
      </c>
      <c r="C20" s="140"/>
      <c r="D20" s="140"/>
      <c r="E20" s="140"/>
      <c r="F20" s="140"/>
      <c r="G20" s="140"/>
    </row>
    <row r="21" spans="1:7" ht="12.75">
      <c r="A21" s="87" t="s">
        <v>224</v>
      </c>
      <c r="B21" s="140">
        <f aca="true" t="shared" si="14" ref="B21:G21">IF(AND(Insured_State="NC",Number_of_Additional_Persons&gt;0),0,B19)</f>
        <v>0</v>
      </c>
      <c r="C21" s="140">
        <f t="shared" si="14"/>
        <v>0</v>
      </c>
      <c r="D21" s="140">
        <f t="shared" si="14"/>
        <v>0</v>
      </c>
      <c r="E21" s="140">
        <f t="shared" si="14"/>
        <v>0</v>
      </c>
      <c r="F21" s="140">
        <f t="shared" si="14"/>
        <v>0</v>
      </c>
      <c r="G21" s="140">
        <f t="shared" si="14"/>
        <v>0</v>
      </c>
    </row>
  </sheetData>
  <printOptions/>
  <pageMargins left="0.75" right="0.75" top="1" bottom="1" header="0.5" footer="0.5"/>
  <pageSetup horizontalDpi="600" verticalDpi="600" orientation="portrait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71"/>
  <sheetViews>
    <sheetView zoomScale="75" zoomScaleNormal="75" workbookViewId="0" topLeftCell="A1">
      <selection activeCell="C4" sqref="C4"/>
    </sheetView>
  </sheetViews>
  <sheetFormatPr defaultColWidth="9.140625" defaultRowHeight="12.75"/>
  <cols>
    <col min="1" max="1" width="9.28125" style="102" customWidth="1"/>
    <col min="2" max="2" width="52.57421875" style="102" customWidth="1"/>
    <col min="3" max="5" width="9.421875" style="102" bestFit="1" customWidth="1"/>
    <col min="6" max="8" width="9.140625" style="102" customWidth="1"/>
    <col min="9" max="9" width="31.8515625" style="1" customWidth="1"/>
    <col min="10" max="16384" width="9.140625" style="102" customWidth="1"/>
  </cols>
  <sheetData>
    <row r="1" spans="1:5" ht="20.25" customHeight="1">
      <c r="A1" s="103"/>
      <c r="B1" s="104" t="s">
        <v>1205</v>
      </c>
      <c r="C1" s="103"/>
      <c r="D1" s="103"/>
      <c r="E1" s="103"/>
    </row>
    <row r="2" spans="1:8" s="46" customFormat="1" ht="20.25" customHeight="1">
      <c r="A2" s="103"/>
      <c r="B2" s="105"/>
      <c r="C2" s="103"/>
      <c r="D2" s="103"/>
      <c r="E2" s="103"/>
      <c r="F2" s="102"/>
      <c r="G2" s="102"/>
      <c r="H2" s="102"/>
    </row>
    <row r="3" spans="1:9" s="106" customFormat="1" ht="12.75">
      <c r="A3" s="106" t="s">
        <v>1206</v>
      </c>
      <c r="B3" s="106" t="s">
        <v>1207</v>
      </c>
      <c r="C3" s="106" t="s">
        <v>428</v>
      </c>
      <c r="D3" s="106" t="s">
        <v>429</v>
      </c>
      <c r="E3" s="106" t="s">
        <v>430</v>
      </c>
      <c r="F3" s="106" t="s">
        <v>431</v>
      </c>
      <c r="G3" s="106" t="s">
        <v>432</v>
      </c>
      <c r="H3" s="106" t="s">
        <v>433</v>
      </c>
      <c r="I3" s="6" t="s">
        <v>229</v>
      </c>
    </row>
    <row r="4" spans="1:8" ht="12.75">
      <c r="A4" s="106" t="s">
        <v>1208</v>
      </c>
      <c r="B4" s="102" t="s">
        <v>1209</v>
      </c>
      <c r="C4" s="102">
        <f>INDEX(IF(CSL,CSL_Base_rate,BI_Base_rate),1,1)</f>
        <v>0</v>
      </c>
      <c r="D4" s="102">
        <f>INDEX(IF(CSL,CSL_Base_rate,BI_Base_rate),1,2)</f>
        <v>0</v>
      </c>
      <c r="E4" s="102">
        <f>INDEX(IF(CSL,CSL_Base_rate,BI_Base_rate),1,3)</f>
        <v>0</v>
      </c>
      <c r="F4" s="102">
        <f>INDEX(IF(CSL,CSL_Base_rate,BI_Base_rate),1,4)</f>
        <v>0</v>
      </c>
      <c r="G4" s="102">
        <f>INDEX(IF(CSL,CSL_Base_rate,BI_Base_rate),1,5)</f>
        <v>0</v>
      </c>
      <c r="H4" s="102">
        <f>INDEX(IF(CSL,CSL_Base_rate,BI_Base_rate),1,6)</f>
        <v>0</v>
      </c>
    </row>
    <row r="5" spans="1:8" ht="12.75">
      <c r="A5" s="106"/>
      <c r="B5" s="102" t="s">
        <v>1210</v>
      </c>
      <c r="C5" s="102">
        <f>IF(CSL,0,INDEX(NC_Adjusted_BI_Rate,,1))</f>
        <v>0</v>
      </c>
      <c r="D5" s="102">
        <f>IF(CSL,0,INDEX(NC_Adjusted_BI_Rate,,2))</f>
        <v>0</v>
      </c>
      <c r="E5" s="102">
        <f>IF(CSL,0,INDEX(NC_Adjusted_BI_Rate,,3))</f>
        <v>0</v>
      </c>
      <c r="F5" s="102">
        <f>IF(CSL,0,INDEX(NC_Adjusted_BI_Rate,,4))</f>
        <v>0</v>
      </c>
      <c r="G5" s="102">
        <f>IF(CSL,0,INDEX(NC_Adjusted_BI_Rate,,5))</f>
        <v>0</v>
      </c>
      <c r="H5" s="102">
        <f>IF(CSL,0,INDEX(NC_Adjusted_BI_Rate,,6))</f>
        <v>0</v>
      </c>
    </row>
    <row r="6" spans="1:8" ht="12.75">
      <c r="A6" s="106"/>
      <c r="B6" s="102" t="s">
        <v>1211</v>
      </c>
      <c r="C6" s="102">
        <f aca="true" t="shared" si="0" ref="C6:H6">SUM(C4:C5)</f>
        <v>0</v>
      </c>
      <c r="D6" s="102">
        <f t="shared" si="0"/>
        <v>0</v>
      </c>
      <c r="E6" s="102">
        <f t="shared" si="0"/>
        <v>0</v>
      </c>
      <c r="F6" s="102">
        <f t="shared" si="0"/>
        <v>0</v>
      </c>
      <c r="G6" s="102">
        <f t="shared" si="0"/>
        <v>0</v>
      </c>
      <c r="H6" s="102">
        <f t="shared" si="0"/>
        <v>0</v>
      </c>
    </row>
    <row r="7" spans="1:2" ht="12.75">
      <c r="A7" s="106"/>
      <c r="B7" s="107"/>
    </row>
    <row r="8" spans="1:8" ht="12.75">
      <c r="A8" s="106" t="s">
        <v>1212</v>
      </c>
      <c r="B8" s="107" t="s">
        <v>1213</v>
      </c>
      <c r="C8" s="102">
        <f aca="true" t="shared" si="1" ref="C8:H8">(C6*(IF(Insured_State="NC",Company_Deviation_Factor_NC,IF(CSL,Company_Deviation_Factor_CSL,Company_Deviation_Factor_Split_BI)))*Tier_Rating_Factor)</f>
        <v>0</v>
      </c>
      <c r="D8" s="102">
        <f t="shared" si="1"/>
        <v>0</v>
      </c>
      <c r="E8" s="102">
        <f t="shared" si="1"/>
        <v>0</v>
      </c>
      <c r="F8" s="102">
        <f t="shared" si="1"/>
        <v>0</v>
      </c>
      <c r="G8" s="102">
        <f t="shared" si="1"/>
        <v>0</v>
      </c>
      <c r="H8" s="102">
        <f t="shared" si="1"/>
        <v>0</v>
      </c>
    </row>
    <row r="9" spans="1:2" ht="12.75">
      <c r="A9" s="106"/>
      <c r="B9" s="107"/>
    </row>
    <row r="10" spans="1:8" ht="12.75">
      <c r="A10" s="106" t="s">
        <v>1214</v>
      </c>
      <c r="B10" s="102" t="s">
        <v>1215</v>
      </c>
      <c r="C10" s="102">
        <f>INDEX(IF(CSL,CSL_Increased_Limits_Factor,BI_Increased_Limits_Factor),1,1)</f>
        <v>0</v>
      </c>
      <c r="D10" s="102">
        <f>INDEX(IF(CSL,CSL_Increased_Limits_Factor,BI_Increased_Limits_Factor),1,2)</f>
        <v>0</v>
      </c>
      <c r="E10" s="102">
        <f>INDEX(IF(CSL,CSL_Increased_Limits_Factor,BI_Increased_Limits_Factor),1,3)</f>
        <v>0</v>
      </c>
      <c r="F10" s="102">
        <f>INDEX(IF(CSL,CSL_Increased_Limits_Factor,BI_Increased_Limits_Factor),1,4)</f>
        <v>0</v>
      </c>
      <c r="G10" s="102">
        <f>INDEX(IF(CSL,CSL_Increased_Limits_Factor,BI_Increased_Limits_Factor),1,5)</f>
        <v>0</v>
      </c>
      <c r="H10" s="102">
        <f>INDEX(IF(CSL,CSL_Increased_Limits_Factor,BI_Increased_Limits_Factor),1,6)</f>
        <v>0</v>
      </c>
    </row>
    <row r="11" spans="1:8" ht="12.75">
      <c r="A11" s="106"/>
      <c r="B11" s="102" t="s">
        <v>1216</v>
      </c>
      <c r="C11" s="102">
        <f aca="true" t="shared" si="2" ref="C11:H11">IF(Insured_State="KY",IF(CSL,Tort_Factor_CSL,Tort_Factor_BI),1)</f>
        <v>1</v>
      </c>
      <c r="D11" s="102">
        <f t="shared" si="2"/>
        <v>1</v>
      </c>
      <c r="E11" s="102">
        <f t="shared" si="2"/>
        <v>1</v>
      </c>
      <c r="F11" s="102">
        <f t="shared" si="2"/>
        <v>1</v>
      </c>
      <c r="G11" s="102">
        <f t="shared" si="2"/>
        <v>1</v>
      </c>
      <c r="H11" s="102">
        <f t="shared" si="2"/>
        <v>1</v>
      </c>
    </row>
    <row r="12" spans="1:8" ht="12.75">
      <c r="A12" s="106"/>
      <c r="B12" s="102" t="s">
        <v>1217</v>
      </c>
      <c r="C12" s="102">
        <f aca="true" t="shared" si="3" ref="C12:H12">IF(Insured_State="NC",1,C10*C11)</f>
        <v>0</v>
      </c>
      <c r="D12" s="102">
        <f t="shared" si="3"/>
        <v>0</v>
      </c>
      <c r="E12" s="102">
        <f t="shared" si="3"/>
        <v>0</v>
      </c>
      <c r="F12" s="102">
        <f t="shared" si="3"/>
        <v>0</v>
      </c>
      <c r="G12" s="102">
        <f t="shared" si="3"/>
        <v>0</v>
      </c>
      <c r="H12" s="102">
        <f t="shared" si="3"/>
        <v>0</v>
      </c>
    </row>
    <row r="13" spans="1:8" ht="12.75">
      <c r="A13" s="106" t="s">
        <v>1218</v>
      </c>
      <c r="B13" s="108" t="s">
        <v>1219</v>
      </c>
      <c r="C13" s="102">
        <f aca="true" t="shared" si="4" ref="C13:H13">(C8*C12)</f>
        <v>0</v>
      </c>
      <c r="D13" s="102">
        <f t="shared" si="4"/>
        <v>0</v>
      </c>
      <c r="E13" s="102">
        <f t="shared" si="4"/>
        <v>0</v>
      </c>
      <c r="F13" s="102">
        <f t="shared" si="4"/>
        <v>0</v>
      </c>
      <c r="G13" s="102">
        <f t="shared" si="4"/>
        <v>0</v>
      </c>
      <c r="H13" s="102">
        <f t="shared" si="4"/>
        <v>0</v>
      </c>
    </row>
    <row r="14" ht="12.75">
      <c r="B14" s="109"/>
    </row>
    <row r="15" spans="1:8" ht="12.75">
      <c r="A15" s="102" t="s">
        <v>1220</v>
      </c>
      <c r="B15" s="108" t="s">
        <v>1221</v>
      </c>
      <c r="C15" s="102">
        <f>IF(AND(INDEX(Extended_Non_owned_Liability_indicator_for_Vehicle,,1)="Y",INDEX(Primary_Liability_for_Furnished_Automobile_for_Vehicle,,1)&lt;&gt;"Y"),C13*1.5,C13)</f>
        <v>0</v>
      </c>
      <c r="D15" s="102">
        <f>IF(AND(INDEX(Extended_Non_owned_Liability_indicator_for_Vehicle,,2)="Y",INDEX(Primary_Liability_for_Furnished_Automobile_for_Vehicle,,2)&lt;&gt;"Y"),D13*1.5,D13)</f>
        <v>0</v>
      </c>
      <c r="E15" s="102">
        <f>IF(AND(INDEX(Extended_Non_owned_Liability_indicator_for_Vehicle,,3)="Y",INDEX(Primary_Liability_for_Furnished_Automobile_for_Vehicle,,3)&lt;&gt;"Y"),E13*1.5,E13)</f>
        <v>0</v>
      </c>
      <c r="F15" s="102">
        <f>IF(AND(INDEX(Extended_Non_owned_Liability_indicator_for_Vehicle,,4)="Y",INDEX(Primary_Liability_for_Furnished_Automobile_for_Vehicle,,4)&lt;&gt;"Y"),F13*1.5,F13)</f>
        <v>0</v>
      </c>
      <c r="G15" s="102">
        <f>IF(AND(INDEX(Extended_Non_owned_Liability_indicator_for_Vehicle,,5)="Y",INDEX(Primary_Liability_for_Furnished_Automobile_for_Vehicle,,5)&lt;&gt;"Y"),G13*1.5,G13)</f>
        <v>0</v>
      </c>
      <c r="H15" s="102">
        <f>IF(AND(INDEX(Extended_Non_owned_Liability_indicator_for_Vehicle,,6)="Y",INDEX(Primary_Liability_for_Furnished_Automobile_for_Vehicle,,6)&lt;&gt;"Y"),H13*1.5,H13)</f>
        <v>0</v>
      </c>
    </row>
    <row r="16" ht="12.75">
      <c r="B16" s="109"/>
    </row>
    <row r="17" spans="1:8" ht="12.75">
      <c r="A17" s="106" t="s">
        <v>1222</v>
      </c>
      <c r="B17" s="102" t="s">
        <v>1223</v>
      </c>
      <c r="C17" s="102">
        <f>INDEX(Primary_class_factor_for_BI_and_PD,,1)</f>
        <v>0</v>
      </c>
      <c r="D17" s="102">
        <f>INDEX(Primary_class_factor_for_BI_and_PD,,2)</f>
        <v>0</v>
      </c>
      <c r="E17" s="102">
        <f>INDEX(Primary_class_factor_for_BI_and_PD,,3)</f>
        <v>0</v>
      </c>
      <c r="F17" s="102">
        <f>INDEX(Primary_class_factor_for_BI_and_PD,,4)</f>
        <v>0</v>
      </c>
      <c r="G17" s="102">
        <f>INDEX(Primary_class_factor_for_BI_and_PD,,5)</f>
        <v>0</v>
      </c>
      <c r="H17" s="102">
        <f>INDEX(Primary_class_factor_for_BI_and_PD,,6)</f>
        <v>0</v>
      </c>
    </row>
    <row r="18" spans="1:8" ht="12.75">
      <c r="A18" s="106"/>
      <c r="B18" s="102" t="s">
        <v>1224</v>
      </c>
      <c r="C18" s="102">
        <f>INDEX(NC_Primary_Factor_Liability,,1)</f>
        <v>0</v>
      </c>
      <c r="D18" s="102">
        <f>INDEX(NC_Primary_Factor_Liability,,2)</f>
        <v>0</v>
      </c>
      <c r="E18" s="102">
        <f>INDEX(NC_Primary_Factor_Liability,,3)</f>
        <v>0</v>
      </c>
      <c r="F18" s="102">
        <f>INDEX(NC_Primary_Factor_Liability,,4)</f>
        <v>0</v>
      </c>
      <c r="G18" s="102">
        <f>INDEX(NC_Primary_Factor_Liability,,5)</f>
        <v>0</v>
      </c>
      <c r="H18" s="102">
        <f>INDEX(NC_Primary_Factor_Liability,,6)</f>
        <v>0</v>
      </c>
    </row>
    <row r="19" ht="12.75">
      <c r="A19" s="106"/>
    </row>
    <row r="20" spans="1:8" ht="12.75">
      <c r="A20" s="106" t="s">
        <v>1225</v>
      </c>
      <c r="B20" s="102" t="s">
        <v>1226</v>
      </c>
      <c r="C20" s="102">
        <f>INDEX(Secondary_class_factor_for_BI_and_PD,,1)</f>
        <v>0</v>
      </c>
      <c r="D20" s="102">
        <f>INDEX(Secondary_class_factor_for_BI_and_PD,,2)</f>
        <v>0</v>
      </c>
      <c r="E20" s="102">
        <f>INDEX(Secondary_class_factor_for_BI_and_PD,,3)</f>
        <v>0</v>
      </c>
      <c r="F20" s="102">
        <f>INDEX(Secondary_class_factor_for_BI_and_PD,,4)</f>
        <v>0</v>
      </c>
      <c r="G20" s="102">
        <f>INDEX(Secondary_class_factor_for_BI_and_PD,,5)</f>
        <v>0</v>
      </c>
      <c r="H20" s="102">
        <f>INDEX(Secondary_class_factor_for_BI_and_PD,,6)</f>
        <v>0</v>
      </c>
    </row>
    <row r="21" spans="1:8" ht="12.75">
      <c r="A21" s="106"/>
      <c r="B21" s="102" t="s">
        <v>1227</v>
      </c>
      <c r="C21" s="102">
        <f>INDEX(NC_No_Inexperience_Liability,,1)+INDEX(NC_Inexperience_Liability,,1)</f>
        <v>0</v>
      </c>
      <c r="D21" s="102">
        <f>INDEX(NC_No_Inexperience_Liability,,2)+INDEX(NC_Inexperience_Liability,,2)</f>
        <v>0</v>
      </c>
      <c r="E21" s="102">
        <f>INDEX(NC_No_Inexperience_Liability,,3)+INDEX(NC_Inexperience_Liability,,3)</f>
        <v>0</v>
      </c>
      <c r="F21" s="102">
        <f>INDEX(NC_No_Inexperience_Liability,,4)+INDEX(NC_Inexperience_Liability,,4)</f>
        <v>0</v>
      </c>
      <c r="G21" s="102">
        <f>INDEX(NC_No_Inexperience_Liability,,5)+INDEX(NC_Inexperience_Liability,,5)</f>
        <v>0</v>
      </c>
      <c r="H21" s="102">
        <f>INDEX(NC_No_Inexperience_Liability,,6)+INDEX(NC_Inexperience_Liability,,6)</f>
        <v>0</v>
      </c>
    </row>
    <row r="22" spans="1:8" ht="12.75">
      <c r="A22" s="106"/>
      <c r="B22" s="102" t="s">
        <v>1228</v>
      </c>
      <c r="C22" s="102">
        <f>INDEX(MI_Secondary_Class_Factor,,1)</f>
        <v>0</v>
      </c>
      <c r="D22" s="102">
        <f>INDEX(MI_Secondary_Class_Factor,,2)</f>
        <v>0</v>
      </c>
      <c r="E22" s="102">
        <f>INDEX(MI_Secondary_Class_Factor,,3)</f>
        <v>0</v>
      </c>
      <c r="F22" s="102">
        <f>INDEX(MI_Secondary_Class_Factor,,4)</f>
        <v>0</v>
      </c>
      <c r="G22" s="102">
        <f>INDEX(MI_Secondary_Class_Factor,,5)</f>
        <v>0</v>
      </c>
      <c r="H22" s="102">
        <f>INDEX(MI_Secondary_Class_Factor,,6)</f>
        <v>0</v>
      </c>
    </row>
    <row r="23" spans="2:256" ht="12.75">
      <c r="B23" s="109"/>
      <c r="J23" s="109"/>
      <c r="L23" s="109"/>
      <c r="N23" s="109"/>
      <c r="P23" s="109"/>
      <c r="R23" s="109"/>
      <c r="T23" s="109"/>
      <c r="V23" s="109"/>
      <c r="X23" s="109"/>
      <c r="Z23" s="109"/>
      <c r="AB23" s="109"/>
      <c r="AD23" s="109"/>
      <c r="AF23" s="109"/>
      <c r="AH23" s="109"/>
      <c r="AJ23" s="109"/>
      <c r="AL23" s="109"/>
      <c r="AN23" s="109"/>
      <c r="AP23" s="109"/>
      <c r="AR23" s="109"/>
      <c r="AT23" s="109"/>
      <c r="AV23" s="109"/>
      <c r="AX23" s="109"/>
      <c r="AZ23" s="109"/>
      <c r="BB23" s="109"/>
      <c r="BD23" s="109"/>
      <c r="BF23" s="109"/>
      <c r="BH23" s="109"/>
      <c r="BJ23" s="109"/>
      <c r="BL23" s="109"/>
      <c r="BN23" s="109"/>
      <c r="BP23" s="109"/>
      <c r="BR23" s="109"/>
      <c r="BT23" s="109"/>
      <c r="BV23" s="109"/>
      <c r="BX23" s="109"/>
      <c r="BZ23" s="109"/>
      <c r="CB23" s="109"/>
      <c r="CD23" s="109"/>
      <c r="CF23" s="109"/>
      <c r="CH23" s="109"/>
      <c r="CJ23" s="109"/>
      <c r="CL23" s="109"/>
      <c r="CN23" s="109"/>
      <c r="CP23" s="109"/>
      <c r="CR23" s="109"/>
      <c r="CT23" s="109"/>
      <c r="CV23" s="109"/>
      <c r="CX23" s="109"/>
      <c r="CZ23" s="109"/>
      <c r="DB23" s="109"/>
      <c r="DD23" s="109"/>
      <c r="DF23" s="109"/>
      <c r="DH23" s="109"/>
      <c r="DJ23" s="109"/>
      <c r="DL23" s="109"/>
      <c r="DN23" s="109"/>
      <c r="DP23" s="109"/>
      <c r="DR23" s="109"/>
      <c r="DT23" s="109"/>
      <c r="DV23" s="109"/>
      <c r="DX23" s="109"/>
      <c r="DZ23" s="109"/>
      <c r="EB23" s="109"/>
      <c r="ED23" s="109"/>
      <c r="EF23" s="109"/>
      <c r="EH23" s="109"/>
      <c r="EJ23" s="109"/>
      <c r="EL23" s="109"/>
      <c r="EN23" s="109"/>
      <c r="EP23" s="109"/>
      <c r="ER23" s="109"/>
      <c r="ET23" s="109"/>
      <c r="EV23" s="109"/>
      <c r="EX23" s="109"/>
      <c r="EZ23" s="109"/>
      <c r="FB23" s="109"/>
      <c r="FD23" s="109"/>
      <c r="FF23" s="109"/>
      <c r="FH23" s="109"/>
      <c r="FJ23" s="109"/>
      <c r="FL23" s="109"/>
      <c r="FN23" s="109"/>
      <c r="FP23" s="109"/>
      <c r="FR23" s="109"/>
      <c r="FT23" s="109"/>
      <c r="FV23" s="109"/>
      <c r="FX23" s="109"/>
      <c r="FZ23" s="109"/>
      <c r="GB23" s="109"/>
      <c r="GD23" s="109"/>
      <c r="GF23" s="109"/>
      <c r="GH23" s="109"/>
      <c r="GJ23" s="109"/>
      <c r="GL23" s="109"/>
      <c r="GN23" s="109"/>
      <c r="GP23" s="109"/>
      <c r="GR23" s="109"/>
      <c r="GT23" s="109"/>
      <c r="GV23" s="109"/>
      <c r="GX23" s="109"/>
      <c r="GZ23" s="109"/>
      <c r="HB23" s="109"/>
      <c r="HD23" s="109"/>
      <c r="HF23" s="109"/>
      <c r="HH23" s="109"/>
      <c r="HJ23" s="109"/>
      <c r="HL23" s="109"/>
      <c r="HN23" s="109"/>
      <c r="HP23" s="109"/>
      <c r="HR23" s="109"/>
      <c r="HT23" s="109"/>
      <c r="HV23" s="109"/>
      <c r="HX23" s="109"/>
      <c r="HZ23" s="109"/>
      <c r="IB23" s="109"/>
      <c r="ID23" s="109"/>
      <c r="IF23" s="109"/>
      <c r="IH23" s="109"/>
      <c r="IJ23" s="109"/>
      <c r="IL23" s="109"/>
      <c r="IN23" s="109"/>
      <c r="IP23" s="109"/>
      <c r="IR23" s="109"/>
      <c r="IT23" s="109"/>
      <c r="IV23" s="109"/>
    </row>
    <row r="24" spans="1:256" ht="12.75">
      <c r="A24" s="106" t="s">
        <v>1229</v>
      </c>
      <c r="B24" s="108" t="s">
        <v>1230</v>
      </c>
      <c r="C24" s="102">
        <f aca="true" t="shared" si="5" ref="C24:H24">SUM(C17:C18)+SUM(C20:C22)</f>
        <v>0</v>
      </c>
      <c r="D24" s="102">
        <f t="shared" si="5"/>
        <v>0</v>
      </c>
      <c r="E24" s="102">
        <f t="shared" si="5"/>
        <v>0</v>
      </c>
      <c r="F24" s="102">
        <f t="shared" si="5"/>
        <v>0</v>
      </c>
      <c r="G24" s="102">
        <f t="shared" si="5"/>
        <v>0</v>
      </c>
      <c r="H24" s="102">
        <f t="shared" si="5"/>
        <v>0</v>
      </c>
      <c r="J24" s="109"/>
      <c r="L24" s="109"/>
      <c r="N24" s="109"/>
      <c r="P24" s="109"/>
      <c r="R24" s="109"/>
      <c r="T24" s="109"/>
      <c r="V24" s="109"/>
      <c r="X24" s="109"/>
      <c r="Z24" s="109"/>
      <c r="AB24" s="109"/>
      <c r="AD24" s="109"/>
      <c r="AF24" s="109"/>
      <c r="AH24" s="109"/>
      <c r="AJ24" s="109"/>
      <c r="AL24" s="109"/>
      <c r="AN24" s="109"/>
      <c r="AP24" s="109"/>
      <c r="AR24" s="109"/>
      <c r="AT24" s="109"/>
      <c r="AV24" s="109"/>
      <c r="AX24" s="109"/>
      <c r="AZ24" s="109"/>
      <c r="BB24" s="109"/>
      <c r="BD24" s="109"/>
      <c r="BF24" s="109"/>
      <c r="BH24" s="109"/>
      <c r="BJ24" s="109"/>
      <c r="BL24" s="109"/>
      <c r="BN24" s="109"/>
      <c r="BP24" s="109"/>
      <c r="BR24" s="109"/>
      <c r="BT24" s="109"/>
      <c r="BV24" s="109"/>
      <c r="BX24" s="109"/>
      <c r="BZ24" s="109"/>
      <c r="CB24" s="109"/>
      <c r="CD24" s="109"/>
      <c r="CF24" s="109"/>
      <c r="CH24" s="109"/>
      <c r="CJ24" s="109"/>
      <c r="CL24" s="109"/>
      <c r="CN24" s="109"/>
      <c r="CP24" s="109"/>
      <c r="CR24" s="109"/>
      <c r="CT24" s="109"/>
      <c r="CV24" s="109"/>
      <c r="CX24" s="109"/>
      <c r="CZ24" s="109"/>
      <c r="DB24" s="109"/>
      <c r="DD24" s="109"/>
      <c r="DF24" s="109"/>
      <c r="DH24" s="109"/>
      <c r="DJ24" s="109"/>
      <c r="DL24" s="109"/>
      <c r="DN24" s="109"/>
      <c r="DP24" s="109"/>
      <c r="DR24" s="109"/>
      <c r="DT24" s="109"/>
      <c r="DV24" s="109"/>
      <c r="DX24" s="109"/>
      <c r="DZ24" s="109"/>
      <c r="EB24" s="109"/>
      <c r="ED24" s="109"/>
      <c r="EF24" s="109"/>
      <c r="EH24" s="109"/>
      <c r="EJ24" s="109"/>
      <c r="EL24" s="109"/>
      <c r="EN24" s="109"/>
      <c r="EP24" s="109"/>
      <c r="ER24" s="109"/>
      <c r="ET24" s="109"/>
      <c r="EV24" s="109"/>
      <c r="EX24" s="109"/>
      <c r="EZ24" s="109"/>
      <c r="FB24" s="109"/>
      <c r="FD24" s="109"/>
      <c r="FF24" s="109"/>
      <c r="FH24" s="109"/>
      <c r="FJ24" s="109"/>
      <c r="FL24" s="109"/>
      <c r="FN24" s="109"/>
      <c r="FP24" s="109"/>
      <c r="FR24" s="109"/>
      <c r="FT24" s="109"/>
      <c r="FV24" s="109"/>
      <c r="FX24" s="109"/>
      <c r="FZ24" s="109"/>
      <c r="GB24" s="109"/>
      <c r="GD24" s="109"/>
      <c r="GF24" s="109"/>
      <c r="GH24" s="109"/>
      <c r="GJ24" s="109"/>
      <c r="GL24" s="109"/>
      <c r="GN24" s="109"/>
      <c r="GP24" s="109"/>
      <c r="GR24" s="109"/>
      <c r="GT24" s="109"/>
      <c r="GV24" s="109"/>
      <c r="GX24" s="109"/>
      <c r="GZ24" s="109"/>
      <c r="HB24" s="109"/>
      <c r="HD24" s="109"/>
      <c r="HF24" s="109"/>
      <c r="HH24" s="109"/>
      <c r="HJ24" s="109"/>
      <c r="HL24" s="109"/>
      <c r="HN24" s="109"/>
      <c r="HP24" s="109"/>
      <c r="HR24" s="109"/>
      <c r="HT24" s="109"/>
      <c r="HV24" s="109"/>
      <c r="HX24" s="109"/>
      <c r="HZ24" s="109"/>
      <c r="IB24" s="109"/>
      <c r="ID24" s="109"/>
      <c r="IF24" s="109"/>
      <c r="IH24" s="109"/>
      <c r="IJ24" s="109"/>
      <c r="IL24" s="109"/>
      <c r="IN24" s="109"/>
      <c r="IP24" s="109"/>
      <c r="IR24" s="109"/>
      <c r="IT24" s="109"/>
      <c r="IV24" s="109"/>
    </row>
    <row r="26" spans="1:8" ht="12.75">
      <c r="A26" s="106" t="s">
        <v>1231</v>
      </c>
      <c r="B26" s="102" t="s">
        <v>1232</v>
      </c>
      <c r="C26" s="102">
        <f aca="true" t="shared" si="6" ref="C26:H26">C15*C24</f>
        <v>0</v>
      </c>
      <c r="D26" s="102">
        <f t="shared" si="6"/>
        <v>0</v>
      </c>
      <c r="E26" s="102">
        <f t="shared" si="6"/>
        <v>0</v>
      </c>
      <c r="F26" s="102">
        <f t="shared" si="6"/>
        <v>0</v>
      </c>
      <c r="G26" s="102">
        <f t="shared" si="6"/>
        <v>0</v>
      </c>
      <c r="H26" s="102">
        <f t="shared" si="6"/>
        <v>0</v>
      </c>
    </row>
    <row r="27" spans="2:256" ht="12.75">
      <c r="B27" s="109"/>
      <c r="J27" s="109"/>
      <c r="L27" s="109"/>
      <c r="N27" s="109"/>
      <c r="P27" s="109"/>
      <c r="R27" s="109"/>
      <c r="T27" s="109"/>
      <c r="V27" s="109"/>
      <c r="X27" s="109"/>
      <c r="Z27" s="109"/>
      <c r="AB27" s="109"/>
      <c r="AD27" s="109"/>
      <c r="AF27" s="109"/>
      <c r="AH27" s="109"/>
      <c r="AJ27" s="109"/>
      <c r="AL27" s="109"/>
      <c r="AN27" s="109"/>
      <c r="AP27" s="109"/>
      <c r="AR27" s="109"/>
      <c r="AT27" s="109"/>
      <c r="AV27" s="109"/>
      <c r="AX27" s="109"/>
      <c r="AZ27" s="109"/>
      <c r="BB27" s="109"/>
      <c r="BD27" s="109"/>
      <c r="BF27" s="109"/>
      <c r="BH27" s="109"/>
      <c r="BJ27" s="109"/>
      <c r="BL27" s="109"/>
      <c r="BN27" s="109"/>
      <c r="BP27" s="109"/>
      <c r="BR27" s="109"/>
      <c r="BT27" s="109"/>
      <c r="BV27" s="109"/>
      <c r="BX27" s="109"/>
      <c r="BZ27" s="109"/>
      <c r="CB27" s="109"/>
      <c r="CD27" s="109"/>
      <c r="CF27" s="109"/>
      <c r="CH27" s="109"/>
      <c r="CJ27" s="109"/>
      <c r="CL27" s="109"/>
      <c r="CN27" s="109"/>
      <c r="CP27" s="109"/>
      <c r="CR27" s="109"/>
      <c r="CT27" s="109"/>
      <c r="CV27" s="109"/>
      <c r="CX27" s="109"/>
      <c r="CZ27" s="109"/>
      <c r="DB27" s="109"/>
      <c r="DD27" s="109"/>
      <c r="DF27" s="109"/>
      <c r="DH27" s="109"/>
      <c r="DJ27" s="109"/>
      <c r="DL27" s="109"/>
      <c r="DN27" s="109"/>
      <c r="DP27" s="109"/>
      <c r="DR27" s="109"/>
      <c r="DT27" s="109"/>
      <c r="DV27" s="109"/>
      <c r="DX27" s="109"/>
      <c r="DZ27" s="109"/>
      <c r="EB27" s="109"/>
      <c r="ED27" s="109"/>
      <c r="EF27" s="109"/>
      <c r="EH27" s="109"/>
      <c r="EJ27" s="109"/>
      <c r="EL27" s="109"/>
      <c r="EN27" s="109"/>
      <c r="EP27" s="109"/>
      <c r="ER27" s="109"/>
      <c r="ET27" s="109"/>
      <c r="EV27" s="109"/>
      <c r="EX27" s="109"/>
      <c r="EZ27" s="109"/>
      <c r="FB27" s="109"/>
      <c r="FD27" s="109"/>
      <c r="FF27" s="109"/>
      <c r="FH27" s="109"/>
      <c r="FJ27" s="109"/>
      <c r="FL27" s="109"/>
      <c r="FN27" s="109"/>
      <c r="FP27" s="109"/>
      <c r="FR27" s="109"/>
      <c r="FT27" s="109"/>
      <c r="FV27" s="109"/>
      <c r="FX27" s="109"/>
      <c r="FZ27" s="109"/>
      <c r="GB27" s="109"/>
      <c r="GD27" s="109"/>
      <c r="GF27" s="109"/>
      <c r="GH27" s="109"/>
      <c r="GJ27" s="109"/>
      <c r="GL27" s="109"/>
      <c r="GN27" s="109"/>
      <c r="GP27" s="109"/>
      <c r="GR27" s="109"/>
      <c r="GT27" s="109"/>
      <c r="GV27" s="109"/>
      <c r="GX27" s="109"/>
      <c r="GZ27" s="109"/>
      <c r="HB27" s="109"/>
      <c r="HD27" s="109"/>
      <c r="HF27" s="109"/>
      <c r="HH27" s="109"/>
      <c r="HJ27" s="109"/>
      <c r="HL27" s="109"/>
      <c r="HN27" s="109"/>
      <c r="HP27" s="109"/>
      <c r="HR27" s="109"/>
      <c r="HT27" s="109"/>
      <c r="HV27" s="109"/>
      <c r="HX27" s="109"/>
      <c r="HZ27" s="109"/>
      <c r="IB27" s="109"/>
      <c r="ID27" s="109"/>
      <c r="IF27" s="109"/>
      <c r="IH27" s="109"/>
      <c r="IJ27" s="109"/>
      <c r="IL27" s="109"/>
      <c r="IN27" s="109"/>
      <c r="IP27" s="109"/>
      <c r="IR27" s="109"/>
      <c r="IT27" s="109"/>
      <c r="IV27" s="109"/>
    </row>
    <row r="28" spans="1:256" ht="12.75">
      <c r="A28" s="106" t="s">
        <v>1233</v>
      </c>
      <c r="B28" s="108" t="s">
        <v>830</v>
      </c>
      <c r="C28" s="102">
        <f>INDEX(ABS_Discount_Factor,1,1)</f>
        <v>0</v>
      </c>
      <c r="D28" s="102">
        <f>INDEX(ABS_Discount_Factor,1,2)</f>
        <v>0</v>
      </c>
      <c r="E28" s="102">
        <f>INDEX(ABS_Discount_Factor,1,3)</f>
        <v>0</v>
      </c>
      <c r="F28" s="102">
        <f>INDEX(ABS_Discount_Factor,1,4)</f>
        <v>0</v>
      </c>
      <c r="G28" s="102">
        <f>INDEX(ABS_Discount_Factor,1,5)</f>
        <v>0</v>
      </c>
      <c r="H28" s="102">
        <f>INDEX(ABS_Discount_Factor,1,6)</f>
        <v>0</v>
      </c>
      <c r="J28" s="109"/>
      <c r="L28" s="109"/>
      <c r="N28" s="109"/>
      <c r="P28" s="109"/>
      <c r="R28" s="109"/>
      <c r="T28" s="109"/>
      <c r="V28" s="109"/>
      <c r="X28" s="109"/>
      <c r="Z28" s="109"/>
      <c r="AB28" s="109"/>
      <c r="AD28" s="109"/>
      <c r="AF28" s="109"/>
      <c r="AH28" s="109"/>
      <c r="AJ28" s="109"/>
      <c r="AL28" s="109"/>
      <c r="AN28" s="109"/>
      <c r="AP28" s="109"/>
      <c r="AR28" s="109"/>
      <c r="AT28" s="109"/>
      <c r="AV28" s="109"/>
      <c r="AX28" s="109"/>
      <c r="AZ28" s="109"/>
      <c r="BB28" s="109"/>
      <c r="BD28" s="109"/>
      <c r="BF28" s="109"/>
      <c r="BH28" s="109"/>
      <c r="BJ28" s="109"/>
      <c r="BL28" s="109"/>
      <c r="BN28" s="109"/>
      <c r="BP28" s="109"/>
      <c r="BR28" s="109"/>
      <c r="BT28" s="109"/>
      <c r="BV28" s="109"/>
      <c r="BX28" s="109"/>
      <c r="BZ28" s="109"/>
      <c r="CB28" s="109"/>
      <c r="CD28" s="109"/>
      <c r="CF28" s="109"/>
      <c r="CH28" s="109"/>
      <c r="CJ28" s="109"/>
      <c r="CL28" s="109"/>
      <c r="CN28" s="109"/>
      <c r="CP28" s="109"/>
      <c r="CR28" s="109"/>
      <c r="CT28" s="109"/>
      <c r="CV28" s="109"/>
      <c r="CX28" s="109"/>
      <c r="CZ28" s="109"/>
      <c r="DB28" s="109"/>
      <c r="DD28" s="109"/>
      <c r="DF28" s="109"/>
      <c r="DH28" s="109"/>
      <c r="DJ28" s="109"/>
      <c r="DL28" s="109"/>
      <c r="DN28" s="109"/>
      <c r="DP28" s="109"/>
      <c r="DR28" s="109"/>
      <c r="DT28" s="109"/>
      <c r="DV28" s="109"/>
      <c r="DX28" s="109"/>
      <c r="DZ28" s="109"/>
      <c r="EB28" s="109"/>
      <c r="ED28" s="109"/>
      <c r="EF28" s="109"/>
      <c r="EH28" s="109"/>
      <c r="EJ28" s="109"/>
      <c r="EL28" s="109"/>
      <c r="EN28" s="109"/>
      <c r="EP28" s="109"/>
      <c r="ER28" s="109"/>
      <c r="ET28" s="109"/>
      <c r="EV28" s="109"/>
      <c r="EX28" s="109"/>
      <c r="EZ28" s="109"/>
      <c r="FB28" s="109"/>
      <c r="FD28" s="109"/>
      <c r="FF28" s="109"/>
      <c r="FH28" s="109"/>
      <c r="FJ28" s="109"/>
      <c r="FL28" s="109"/>
      <c r="FN28" s="109"/>
      <c r="FP28" s="109"/>
      <c r="FR28" s="109"/>
      <c r="FT28" s="109"/>
      <c r="FV28" s="109"/>
      <c r="FX28" s="109"/>
      <c r="FZ28" s="109"/>
      <c r="GB28" s="109"/>
      <c r="GD28" s="109"/>
      <c r="GF28" s="109"/>
      <c r="GH28" s="109"/>
      <c r="GJ28" s="109"/>
      <c r="GL28" s="109"/>
      <c r="GN28" s="109"/>
      <c r="GP28" s="109"/>
      <c r="GR28" s="109"/>
      <c r="GT28" s="109"/>
      <c r="GV28" s="109"/>
      <c r="GX28" s="109"/>
      <c r="GZ28" s="109"/>
      <c r="HB28" s="109"/>
      <c r="HD28" s="109"/>
      <c r="HF28" s="109"/>
      <c r="HH28" s="109"/>
      <c r="HJ28" s="109"/>
      <c r="HL28" s="109"/>
      <c r="HN28" s="109"/>
      <c r="HP28" s="109"/>
      <c r="HR28" s="109"/>
      <c r="HT28" s="109"/>
      <c r="HV28" s="109"/>
      <c r="HX28" s="109"/>
      <c r="HZ28" s="109"/>
      <c r="IB28" s="109"/>
      <c r="ID28" s="109"/>
      <c r="IF28" s="109"/>
      <c r="IH28" s="109"/>
      <c r="IJ28" s="109"/>
      <c r="IL28" s="109"/>
      <c r="IN28" s="109"/>
      <c r="IP28" s="109"/>
      <c r="IR28" s="109"/>
      <c r="IT28" s="109"/>
      <c r="IV28" s="109"/>
    </row>
    <row r="29" spans="2:8" ht="12.75">
      <c r="B29" s="108" t="s">
        <v>1234</v>
      </c>
      <c r="C29" s="110">
        <f aca="true" t="shared" si="7" ref="C29:H29">C26*C28</f>
        <v>0</v>
      </c>
      <c r="D29" s="110">
        <f t="shared" si="7"/>
        <v>0</v>
      </c>
      <c r="E29" s="110">
        <f t="shared" si="7"/>
        <v>0</v>
      </c>
      <c r="F29" s="110">
        <f t="shared" si="7"/>
        <v>0</v>
      </c>
      <c r="G29" s="110">
        <f t="shared" si="7"/>
        <v>0</v>
      </c>
      <c r="H29" s="110">
        <f t="shared" si="7"/>
        <v>0</v>
      </c>
    </row>
    <row r="30" spans="2:8" ht="12.75">
      <c r="B30" s="108" t="s">
        <v>1235</v>
      </c>
      <c r="C30" s="110">
        <f aca="true" t="shared" si="8" ref="C30:H30">C26-C29</f>
        <v>0</v>
      </c>
      <c r="D30" s="110">
        <f t="shared" si="8"/>
        <v>0</v>
      </c>
      <c r="E30" s="110">
        <f t="shared" si="8"/>
        <v>0</v>
      </c>
      <c r="F30" s="110">
        <f t="shared" si="8"/>
        <v>0</v>
      </c>
      <c r="G30" s="110">
        <f t="shared" si="8"/>
        <v>0</v>
      </c>
      <c r="H30" s="110">
        <f t="shared" si="8"/>
        <v>0</v>
      </c>
    </row>
    <row r="31" spans="2:8" ht="12.75">
      <c r="B31" s="108"/>
      <c r="C31" s="111"/>
      <c r="D31" s="111"/>
      <c r="E31" s="111"/>
      <c r="F31" s="111"/>
      <c r="G31" s="111"/>
      <c r="H31" s="111"/>
    </row>
    <row r="32" spans="1:8" ht="12.75" customHeight="1">
      <c r="A32" s="106" t="s">
        <v>1236</v>
      </c>
      <c r="B32" s="108" t="s">
        <v>816</v>
      </c>
      <c r="C32" s="102">
        <f>INDEX(SDIP_Factor,,1)</f>
        <v>0</v>
      </c>
      <c r="D32" s="102">
        <f>INDEX(SDIP_Factor,,2)</f>
        <v>0</v>
      </c>
      <c r="E32" s="102">
        <f>INDEX(SDIP_Factor,,3)</f>
        <v>0</v>
      </c>
      <c r="F32" s="102">
        <f>INDEX(SDIP_Factor,,4)</f>
        <v>0</v>
      </c>
      <c r="G32" s="102">
        <f>INDEX(SDIP_Factor,,5)</f>
        <v>0</v>
      </c>
      <c r="H32" s="102">
        <f>INDEX(SDIP_Factor,,6)</f>
        <v>0</v>
      </c>
    </row>
    <row r="33" spans="1:9" s="46" customFormat="1" ht="12.75">
      <c r="A33" s="106"/>
      <c r="B33" s="108" t="s">
        <v>1237</v>
      </c>
      <c r="C33" s="111">
        <f>INDEX(Accident_Prevention_Discount_Factor,,1)</f>
        <v>0</v>
      </c>
      <c r="D33" s="111">
        <f>INDEX(Accident_Prevention_Discount_Factor,,2)</f>
        <v>0</v>
      </c>
      <c r="E33" s="111">
        <f>INDEX(Accident_Prevention_Discount_Factor,,3)</f>
        <v>0</v>
      </c>
      <c r="F33" s="111">
        <f>INDEX(Accident_Prevention_Discount_Factor,,4)</f>
        <v>0</v>
      </c>
      <c r="G33" s="111">
        <f>INDEX(Accident_Prevention_Discount_Factor,,5)</f>
        <v>0</v>
      </c>
      <c r="H33" s="111">
        <f>INDEX(Accident_Prevention_Discount_Factor,,6)</f>
        <v>0</v>
      </c>
      <c r="I33" s="1"/>
    </row>
    <row r="34" spans="1:9" s="46" customFormat="1" ht="12.75">
      <c r="A34" s="106"/>
      <c r="B34" s="108" t="s">
        <v>837</v>
      </c>
      <c r="C34" s="111">
        <f>INDEX(Minivan_Discount_Factor,,1)</f>
        <v>0</v>
      </c>
      <c r="D34" s="111">
        <f>INDEX(Minivan_Discount_Factor,,2)</f>
        <v>0</v>
      </c>
      <c r="E34" s="111">
        <f>INDEX(Minivan_Discount_Factor,,3)</f>
        <v>0</v>
      </c>
      <c r="F34" s="111">
        <f>INDEX(Minivan_Discount_Factor,,4)</f>
        <v>0</v>
      </c>
      <c r="G34" s="111">
        <f>INDEX(Minivan_Discount_Factor,,5)</f>
        <v>0</v>
      </c>
      <c r="H34" s="111">
        <f>INDEX(Minivan_Discount_Factor,,6)</f>
        <v>0</v>
      </c>
      <c r="I34" s="1"/>
    </row>
    <row r="35" spans="3:9" s="112" customFormat="1" ht="12.75">
      <c r="C35" s="102"/>
      <c r="D35" s="102"/>
      <c r="E35" s="102"/>
      <c r="F35" s="102"/>
      <c r="G35" s="102"/>
      <c r="H35" s="102"/>
      <c r="I35" s="15"/>
    </row>
    <row r="36" spans="1:8" ht="12.75">
      <c r="A36" s="106" t="s">
        <v>1238</v>
      </c>
      <c r="B36" s="108" t="s">
        <v>1239</v>
      </c>
      <c r="C36" s="102">
        <f aca="true" t="shared" si="9" ref="C36:H36">C32*C4</f>
        <v>0</v>
      </c>
      <c r="D36" s="102">
        <f t="shared" si="9"/>
        <v>0</v>
      </c>
      <c r="E36" s="102">
        <f t="shared" si="9"/>
        <v>0</v>
      </c>
      <c r="F36" s="102">
        <f t="shared" si="9"/>
        <v>0</v>
      </c>
      <c r="G36" s="102">
        <f t="shared" si="9"/>
        <v>0</v>
      </c>
      <c r="H36" s="102">
        <f t="shared" si="9"/>
        <v>0</v>
      </c>
    </row>
    <row r="37" spans="1:9" s="46" customFormat="1" ht="12.75">
      <c r="A37" s="102"/>
      <c r="B37" s="108" t="s">
        <v>1240</v>
      </c>
      <c r="C37" s="110">
        <f aca="true" t="shared" si="10" ref="C37:H37">IF(AND(Insured_State&lt;&gt;"MI",Insured_State&lt;&gt;"PA"),C30*C33,0)</f>
        <v>0</v>
      </c>
      <c r="D37" s="110">
        <f t="shared" si="10"/>
        <v>0</v>
      </c>
      <c r="E37" s="110">
        <f t="shared" si="10"/>
        <v>0</v>
      </c>
      <c r="F37" s="110">
        <f t="shared" si="10"/>
        <v>0</v>
      </c>
      <c r="G37" s="110">
        <f t="shared" si="10"/>
        <v>0</v>
      </c>
      <c r="H37" s="110">
        <f t="shared" si="10"/>
        <v>0</v>
      </c>
      <c r="I37" s="1"/>
    </row>
    <row r="38" spans="1:8" ht="12.75">
      <c r="A38" s="106"/>
      <c r="B38" s="102" t="s">
        <v>1241</v>
      </c>
      <c r="C38" s="102">
        <f aca="true" t="shared" si="11" ref="C38:H38">((C30-C37)*Loss_Free_Credit_Factor)</f>
        <v>0</v>
      </c>
      <c r="D38" s="102">
        <f t="shared" si="11"/>
        <v>0</v>
      </c>
      <c r="E38" s="102">
        <f t="shared" si="11"/>
        <v>0</v>
      </c>
      <c r="F38" s="102">
        <f t="shared" si="11"/>
        <v>0</v>
      </c>
      <c r="G38" s="102">
        <f t="shared" si="11"/>
        <v>0</v>
      </c>
      <c r="H38" s="102">
        <f t="shared" si="11"/>
        <v>0</v>
      </c>
    </row>
    <row r="39" spans="1:9" s="46" customFormat="1" ht="12.75">
      <c r="A39" s="102"/>
      <c r="B39" s="108" t="s">
        <v>1242</v>
      </c>
      <c r="C39" s="110">
        <f aca="true" t="shared" si="12" ref="C39:H39">(C30-C37-C38)*C34</f>
        <v>0</v>
      </c>
      <c r="D39" s="110">
        <f t="shared" si="12"/>
        <v>0</v>
      </c>
      <c r="E39" s="110">
        <f t="shared" si="12"/>
        <v>0</v>
      </c>
      <c r="F39" s="110">
        <f t="shared" si="12"/>
        <v>0</v>
      </c>
      <c r="G39" s="110">
        <f t="shared" si="12"/>
        <v>0</v>
      </c>
      <c r="H39" s="110">
        <f t="shared" si="12"/>
        <v>0</v>
      </c>
      <c r="I39" s="1"/>
    </row>
    <row r="40" spans="1:2" ht="12.75">
      <c r="A40" s="106"/>
      <c r="B40" s="108"/>
    </row>
    <row r="41" spans="1:8" ht="12.75">
      <c r="A41" s="106" t="s">
        <v>1243</v>
      </c>
      <c r="B41" s="102" t="s">
        <v>1244</v>
      </c>
      <c r="C41" s="110">
        <f aca="true" t="shared" si="13" ref="C41:H41">(C30+C36-C37--C38-C39)</f>
        <v>0</v>
      </c>
      <c r="D41" s="110">
        <f t="shared" si="13"/>
        <v>0</v>
      </c>
      <c r="E41" s="110">
        <f t="shared" si="13"/>
        <v>0</v>
      </c>
      <c r="F41" s="110">
        <f t="shared" si="13"/>
        <v>0</v>
      </c>
      <c r="G41" s="110">
        <f t="shared" si="13"/>
        <v>0</v>
      </c>
      <c r="H41" s="110">
        <f t="shared" si="13"/>
        <v>0</v>
      </c>
    </row>
    <row r="42" spans="1:9" s="46" customFormat="1" ht="12.75">
      <c r="A42" s="102"/>
      <c r="B42" s="108" t="s">
        <v>1245</v>
      </c>
      <c r="C42" s="110">
        <f>C41*INDEX(MI_High_Performance_Factor,,1)</f>
        <v>0</v>
      </c>
      <c r="D42" s="110">
        <f>D41*INDEX(MI_High_Performance_Factor,,2)</f>
        <v>0</v>
      </c>
      <c r="E42" s="110">
        <f>E41*INDEX(MI_High_Performance_Factor,,3)</f>
        <v>0</v>
      </c>
      <c r="F42" s="110">
        <f>F41*INDEX(MI_High_Performance_Factor,,4)</f>
        <v>0</v>
      </c>
      <c r="G42" s="110">
        <f>G41*INDEX(MI_High_Performance_Factor,,5)</f>
        <v>0</v>
      </c>
      <c r="H42" s="110">
        <f>H41*INDEX(MI_High_Performance_Factor,,6)</f>
        <v>0</v>
      </c>
      <c r="I42" s="1"/>
    </row>
    <row r="44" spans="2:9" s="112" customFormat="1" ht="12.75">
      <c r="B44" s="112" t="s">
        <v>939</v>
      </c>
      <c r="C44" s="102">
        <f aca="true" t="shared" si="14" ref="C44:H44">IF(OR(ISERROR(C42),C42&lt;=0),0,IF(CSL,Expense_Fees_CSL,Expense_Fees_Split_BI))</f>
        <v>0</v>
      </c>
      <c r="D44" s="102">
        <f t="shared" si="14"/>
        <v>0</v>
      </c>
      <c r="E44" s="102">
        <f t="shared" si="14"/>
        <v>0</v>
      </c>
      <c r="F44" s="102">
        <f t="shared" si="14"/>
        <v>0</v>
      </c>
      <c r="G44" s="102">
        <f t="shared" si="14"/>
        <v>0</v>
      </c>
      <c r="H44" s="102">
        <f t="shared" si="14"/>
        <v>0</v>
      </c>
      <c r="I44" s="15"/>
    </row>
    <row r="45" spans="2:9" s="112" customFormat="1" ht="12.75">
      <c r="B45" s="112" t="s">
        <v>1246</v>
      </c>
      <c r="C45" s="102">
        <f aca="true" t="shared" si="15" ref="C45:H45">IF(Insured_State&lt;&gt;"AZ",C42+C44,C42)</f>
        <v>0</v>
      </c>
      <c r="D45" s="102">
        <f t="shared" si="15"/>
        <v>0</v>
      </c>
      <c r="E45" s="102">
        <f t="shared" si="15"/>
        <v>0</v>
      </c>
      <c r="F45" s="102">
        <f t="shared" si="15"/>
        <v>0</v>
      </c>
      <c r="G45" s="102">
        <f t="shared" si="15"/>
        <v>0</v>
      </c>
      <c r="H45" s="102">
        <f t="shared" si="15"/>
        <v>0</v>
      </c>
      <c r="I45" s="15"/>
    </row>
    <row r="46" spans="3:9" s="112" customFormat="1" ht="12.75">
      <c r="C46" s="102"/>
      <c r="D46" s="102"/>
      <c r="E46" s="102"/>
      <c r="F46" s="102"/>
      <c r="G46" s="102"/>
      <c r="H46" s="102"/>
      <c r="I46" s="15"/>
    </row>
    <row r="47" spans="1:8" ht="12.75">
      <c r="A47" s="106" t="s">
        <v>1247</v>
      </c>
      <c r="B47" s="102" t="s">
        <v>1248</v>
      </c>
      <c r="C47" s="102">
        <f>INDEX(IF(CSL,CSL_Minimum_Premium,BI_Minimum_Premium),1,1)</f>
        <v>0</v>
      </c>
      <c r="D47" s="102">
        <f>INDEX(IF(CSL,CSL_Minimum_Premium,BI_Minimum_Premium),1,2)</f>
        <v>0</v>
      </c>
      <c r="E47" s="102">
        <f>INDEX(IF(CSL,CSL_Minimum_Premium,BI_Minimum_Premium),1,3)</f>
        <v>0</v>
      </c>
      <c r="F47" s="102">
        <f>INDEX(IF(CSL,CSL_Minimum_Premium,BI_Minimum_Premium),1,4)</f>
        <v>0</v>
      </c>
      <c r="G47" s="102">
        <f>INDEX(IF(CSL,CSL_Minimum_Premium,BI_Minimum_Premium),1,5)</f>
        <v>0</v>
      </c>
      <c r="H47" s="102">
        <f>INDEX(IF(CSL,CSL_Minimum_Premium,BI_Minimum_Premium),1,6)</f>
        <v>0</v>
      </c>
    </row>
    <row r="48" spans="1:8" ht="12.75">
      <c r="A48" s="106"/>
      <c r="B48" s="102" t="s">
        <v>1249</v>
      </c>
      <c r="C48" s="102">
        <f aca="true" t="shared" si="16" ref="C48:H48">IF(C45&lt;C47,C47,C45)</f>
        <v>0</v>
      </c>
      <c r="D48" s="102">
        <f t="shared" si="16"/>
        <v>0</v>
      </c>
      <c r="E48" s="102">
        <f t="shared" si="16"/>
        <v>0</v>
      </c>
      <c r="F48" s="102">
        <f t="shared" si="16"/>
        <v>0</v>
      </c>
      <c r="G48" s="102">
        <f t="shared" si="16"/>
        <v>0</v>
      </c>
      <c r="H48" s="102">
        <f t="shared" si="16"/>
        <v>0</v>
      </c>
    </row>
    <row r="49" ht="12.75">
      <c r="B49" s="109"/>
    </row>
    <row r="50" spans="1:8" ht="12.75">
      <c r="A50" s="106" t="s">
        <v>1250</v>
      </c>
      <c r="B50" s="102" t="s">
        <v>1251</v>
      </c>
      <c r="C50" s="102">
        <f aca="true" t="shared" si="17" ref="C50:H50">C48</f>
        <v>0</v>
      </c>
      <c r="D50" s="102">
        <f t="shared" si="17"/>
        <v>0</v>
      </c>
      <c r="E50" s="102">
        <f t="shared" si="17"/>
        <v>0</v>
      </c>
      <c r="F50" s="102">
        <f t="shared" si="17"/>
        <v>0</v>
      </c>
      <c r="G50" s="102">
        <f t="shared" si="17"/>
        <v>0</v>
      </c>
      <c r="H50" s="102">
        <f t="shared" si="17"/>
        <v>0</v>
      </c>
    </row>
    <row r="51" spans="1:8" ht="12.75">
      <c r="A51" s="106" t="s">
        <v>1252</v>
      </c>
      <c r="B51" s="102" t="s">
        <v>1253</v>
      </c>
      <c r="C51" s="102">
        <f>C50*IF(AND(Insured_State="MI",INDEX(Extended_Non_owned_Liability_indicator_for_Vehicle,,1)&lt;&gt;"Y",INDEX(Named_Non_owner_liability_indicator_for_Vehicle,,1)="Y"),Named_Non_owner_BI_factor,1)</f>
        <v>0</v>
      </c>
      <c r="D51" s="102">
        <f>D50*IF(AND(Insured_State="MI",INDEX(Extended_Non_owned_Liability_indicator_for_Vehicle,,2)&lt;&gt;"Y",INDEX(Named_Non_owner_liability_indicator_for_Vehicle,,2)="Y"),Named_Non_owner_BI_factor,1)</f>
        <v>0</v>
      </c>
      <c r="E51" s="102">
        <f>E50*IF(AND(Insured_State="MI",INDEX(Extended_Non_owned_Liability_indicator_for_Vehicle,,3)&lt;&gt;"Y",INDEX(Named_Non_owner_liability_indicator_for_Vehicle,,3)="Y"),Named_Non_owner_BI_factor,1)</f>
        <v>0</v>
      </c>
      <c r="F51" s="102">
        <f>F50*IF(AND(Insured_State="MI",INDEX(Extended_Non_owned_Liability_indicator_for_Vehicle,,4)&lt;&gt;"Y",INDEX(Named_Non_owner_liability_indicator_for_Vehicle,,4)="Y"),Named_Non_owner_BI_factor,1)</f>
        <v>0</v>
      </c>
      <c r="G51" s="102">
        <f>G50*IF(AND(Insured_State="MI",INDEX(Extended_Non_owned_Liability_indicator_for_Vehicle,,5)&lt;&gt;"Y",INDEX(Named_Non_owner_liability_indicator_for_Vehicle,,5)="Y"),Named_Non_owner_BI_factor,1)</f>
        <v>0</v>
      </c>
      <c r="H51" s="102">
        <f>H50*IF(AND(Insured_State="MI",INDEX(Extended_Non_owned_Liability_indicator_for_Vehicle,,6)&lt;&gt;"Y",INDEX(Named_Non_owner_liability_indicator_for_Vehicle,,6)="Y"),Named_Non_owner_BI_factor,1)</f>
        <v>0</v>
      </c>
    </row>
    <row r="52" ht="12.75">
      <c r="B52" s="109"/>
    </row>
    <row r="53" spans="1:8" ht="12.75">
      <c r="A53" s="106" t="s">
        <v>1254</v>
      </c>
      <c r="B53" s="102" t="s">
        <v>1255</v>
      </c>
      <c r="C53" s="102">
        <f aca="true" t="shared" si="18" ref="C53:H53">C51-(C51*Valued_Customer_Discount_Factor)</f>
        <v>0</v>
      </c>
      <c r="D53" s="102">
        <f t="shared" si="18"/>
        <v>0</v>
      </c>
      <c r="E53" s="102">
        <f t="shared" si="18"/>
        <v>0</v>
      </c>
      <c r="F53" s="102">
        <f t="shared" si="18"/>
        <v>0</v>
      </c>
      <c r="G53" s="102">
        <f t="shared" si="18"/>
        <v>0</v>
      </c>
      <c r="H53" s="102">
        <f t="shared" si="18"/>
        <v>0</v>
      </c>
    </row>
    <row r="54" spans="1:8" ht="12.75">
      <c r="A54" s="106"/>
      <c r="B54" s="102" t="s">
        <v>1256</v>
      </c>
      <c r="C54" s="102">
        <f aca="true" t="shared" si="19" ref="C54:H54">IF(Insured_State="MI",C53-(C53*C33),C53)</f>
        <v>0</v>
      </c>
      <c r="D54" s="102">
        <f t="shared" si="19"/>
        <v>0</v>
      </c>
      <c r="E54" s="102">
        <f t="shared" si="19"/>
        <v>0</v>
      </c>
      <c r="F54" s="102">
        <f t="shared" si="19"/>
        <v>0</v>
      </c>
      <c r="G54" s="102">
        <f t="shared" si="19"/>
        <v>0</v>
      </c>
      <c r="H54" s="102">
        <f t="shared" si="19"/>
        <v>0</v>
      </c>
    </row>
    <row r="55" spans="1:8" ht="12.75">
      <c r="A55" s="106"/>
      <c r="B55" s="102" t="s">
        <v>1257</v>
      </c>
      <c r="C55" s="102">
        <f aca="true" t="shared" si="20" ref="C55:H55">C54*Policy_Period_Factor</f>
        <v>0</v>
      </c>
      <c r="D55" s="102">
        <f t="shared" si="20"/>
        <v>0</v>
      </c>
      <c r="E55" s="102">
        <f t="shared" si="20"/>
        <v>0</v>
      </c>
      <c r="F55" s="102">
        <f t="shared" si="20"/>
        <v>0</v>
      </c>
      <c r="G55" s="102">
        <f t="shared" si="20"/>
        <v>0</v>
      </c>
      <c r="H55" s="102">
        <f t="shared" si="20"/>
        <v>0</v>
      </c>
    </row>
    <row r="56" spans="1:8" ht="12.75">
      <c r="A56" s="106"/>
      <c r="B56" s="102" t="s">
        <v>1258</v>
      </c>
      <c r="C56" s="102">
        <f aca="true" t="shared" si="21" ref="C56:H56">C55-(C55*Fampak_Discount_Factor)</f>
        <v>0</v>
      </c>
      <c r="D56" s="102">
        <f t="shared" si="21"/>
        <v>0</v>
      </c>
      <c r="E56" s="102">
        <f t="shared" si="21"/>
        <v>0</v>
      </c>
      <c r="F56" s="102">
        <f t="shared" si="21"/>
        <v>0</v>
      </c>
      <c r="G56" s="102">
        <f t="shared" si="21"/>
        <v>0</v>
      </c>
      <c r="H56" s="102">
        <f t="shared" si="21"/>
        <v>0</v>
      </c>
    </row>
    <row r="57" spans="1:8" ht="12.75">
      <c r="A57" s="106"/>
      <c r="B57" s="112" t="s">
        <v>1259</v>
      </c>
      <c r="C57" s="102">
        <f aca="true" t="shared" si="22" ref="C57:H57">C56-(C56*Prime_Life_Discount_Factor)</f>
        <v>0</v>
      </c>
      <c r="D57" s="102">
        <f t="shared" si="22"/>
        <v>0</v>
      </c>
      <c r="E57" s="102">
        <f t="shared" si="22"/>
        <v>0</v>
      </c>
      <c r="F57" s="102">
        <f t="shared" si="22"/>
        <v>0</v>
      </c>
      <c r="G57" s="102">
        <f t="shared" si="22"/>
        <v>0</v>
      </c>
      <c r="H57" s="102">
        <f t="shared" si="22"/>
        <v>0</v>
      </c>
    </row>
    <row r="58" spans="1:8" ht="12.75">
      <c r="A58" s="106"/>
      <c r="B58" s="102" t="s">
        <v>1260</v>
      </c>
      <c r="C58" s="102">
        <f aca="true" t="shared" si="23" ref="C58:H58">IF(Insured_State="PA",C57-(C57*C33),C57)</f>
        <v>0</v>
      </c>
      <c r="D58" s="102">
        <f t="shared" si="23"/>
        <v>0</v>
      </c>
      <c r="E58" s="102">
        <f t="shared" si="23"/>
        <v>0</v>
      </c>
      <c r="F58" s="102">
        <f t="shared" si="23"/>
        <v>0</v>
      </c>
      <c r="G58" s="102">
        <f t="shared" si="23"/>
        <v>0</v>
      </c>
      <c r="H58" s="102">
        <f t="shared" si="23"/>
        <v>0</v>
      </c>
    </row>
    <row r="59" spans="1:8" ht="12.75">
      <c r="A59" s="106"/>
      <c r="B59" s="102" t="s">
        <v>1261</v>
      </c>
      <c r="C59" s="102">
        <f aca="true" t="shared" si="24" ref="C59:H59">IF(Insured_State="PA",IF(CSL,Tort_Factor_CSL,Tort_Factor_BI),1)</f>
        <v>1</v>
      </c>
      <c r="D59" s="102">
        <f t="shared" si="24"/>
        <v>1</v>
      </c>
      <c r="E59" s="102">
        <f t="shared" si="24"/>
        <v>1</v>
      </c>
      <c r="F59" s="102">
        <f t="shared" si="24"/>
        <v>1</v>
      </c>
      <c r="G59" s="102">
        <f t="shared" si="24"/>
        <v>1</v>
      </c>
      <c r="H59" s="102">
        <f t="shared" si="24"/>
        <v>1</v>
      </c>
    </row>
    <row r="60" spans="1:8" ht="12.75">
      <c r="A60" s="106"/>
      <c r="B60" s="102" t="s">
        <v>1262</v>
      </c>
      <c r="C60" s="102">
        <f aca="true" t="shared" si="25" ref="C60:H60">C58*C59</f>
        <v>0</v>
      </c>
      <c r="D60" s="102">
        <f t="shared" si="25"/>
        <v>0</v>
      </c>
      <c r="E60" s="102">
        <f t="shared" si="25"/>
        <v>0</v>
      </c>
      <c r="F60" s="102">
        <f t="shared" si="25"/>
        <v>0</v>
      </c>
      <c r="G60" s="102">
        <f t="shared" si="25"/>
        <v>0</v>
      </c>
      <c r="H60" s="102">
        <f t="shared" si="25"/>
        <v>0</v>
      </c>
    </row>
    <row r="61" spans="1:8" ht="12.75">
      <c r="A61" s="106"/>
      <c r="B61" s="112" t="s">
        <v>1263</v>
      </c>
      <c r="C61" s="102">
        <f>C60-(C60*INDEX(Mass_Merchandise_Factor,,1))</f>
        <v>0</v>
      </c>
      <c r="D61" s="102">
        <f>D60-(D60*INDEX(Mass_Merchandise_Factor,,2))</f>
        <v>0</v>
      </c>
      <c r="E61" s="102">
        <f>E60-(E60*INDEX(Mass_Merchandise_Factor,,3))</f>
        <v>0</v>
      </c>
      <c r="F61" s="102">
        <f>F60-(F60*INDEX(Mass_Merchandise_Factor,,4))</f>
        <v>0</v>
      </c>
      <c r="G61" s="102">
        <f>G60-(G60*INDEX(Mass_Merchandise_Factor,,5))</f>
        <v>0</v>
      </c>
      <c r="H61" s="102">
        <f>H60-(H60*INDEX(Mass_Merchandise_Factor,,6))</f>
        <v>0</v>
      </c>
    </row>
    <row r="62" spans="1:8" ht="12.75">
      <c r="A62" s="106"/>
      <c r="B62" s="112" t="s">
        <v>1264</v>
      </c>
      <c r="C62" s="102">
        <f aca="true" t="shared" si="26" ref="C62:H62">C61-(C61*IN_Standard_Agent_Commission_Factor)</f>
        <v>0</v>
      </c>
      <c r="D62" s="102">
        <f t="shared" si="26"/>
        <v>0</v>
      </c>
      <c r="E62" s="102">
        <f t="shared" si="26"/>
        <v>0</v>
      </c>
      <c r="F62" s="102">
        <f t="shared" si="26"/>
        <v>0</v>
      </c>
      <c r="G62" s="102">
        <f t="shared" si="26"/>
        <v>0</v>
      </c>
      <c r="H62" s="102">
        <f t="shared" si="26"/>
        <v>0</v>
      </c>
    </row>
    <row r="63" spans="1:8" ht="12.75">
      <c r="A63" s="106" t="s">
        <v>1265</v>
      </c>
      <c r="B63" s="112" t="s">
        <v>1266</v>
      </c>
      <c r="C63" s="102">
        <f aca="true" t="shared" si="27" ref="C63:H63">C62</f>
        <v>0</v>
      </c>
      <c r="D63" s="102">
        <f t="shared" si="27"/>
        <v>0</v>
      </c>
      <c r="E63" s="102">
        <f t="shared" si="27"/>
        <v>0</v>
      </c>
      <c r="F63" s="102">
        <f t="shared" si="27"/>
        <v>0</v>
      </c>
      <c r="G63" s="102">
        <f t="shared" si="27"/>
        <v>0</v>
      </c>
      <c r="H63" s="102">
        <f t="shared" si="27"/>
        <v>0</v>
      </c>
    </row>
    <row r="65" ht="12.75">
      <c r="A65" s="106"/>
    </row>
    <row r="66" spans="1:8" ht="12.75">
      <c r="A66" s="106"/>
      <c r="B66" s="102" t="s">
        <v>1267</v>
      </c>
      <c r="C66" s="102">
        <f>INDEX(Is_BI_Applicable_For_Vehicle,,1)</f>
        <v>0</v>
      </c>
      <c r="D66" s="102">
        <f>INDEX(Is_BI_Applicable_For_Vehicle,,2)</f>
        <v>0</v>
      </c>
      <c r="E66" s="102">
        <f>INDEX(Is_BI_Applicable_For_Vehicle,,3)</f>
        <v>0</v>
      </c>
      <c r="F66" s="102">
        <f>INDEX(Is_BI_Applicable_For_Vehicle,,4)</f>
        <v>0</v>
      </c>
      <c r="G66" s="102">
        <f>INDEX(Is_BI_Applicable_For_Vehicle,,5)</f>
        <v>0</v>
      </c>
      <c r="H66" s="102">
        <f>INDEX(Is_BI_Applicable_For_Vehicle,,6)</f>
        <v>0</v>
      </c>
    </row>
    <row r="67" ht="12.75">
      <c r="A67" s="106"/>
    </row>
    <row r="68" spans="1:9" s="106" customFormat="1" ht="12.75">
      <c r="A68" s="112"/>
      <c r="B68" s="112" t="s">
        <v>1268</v>
      </c>
      <c r="C68" s="112">
        <f aca="true" t="shared" si="28" ref="C68:H68">IF(OR(ISERROR(C63),C63&lt;=0,C66=0),0,C63)</f>
        <v>0</v>
      </c>
      <c r="D68" s="112">
        <f t="shared" si="28"/>
        <v>0</v>
      </c>
      <c r="E68" s="112">
        <f t="shared" si="28"/>
        <v>0</v>
      </c>
      <c r="F68" s="112">
        <f t="shared" si="28"/>
        <v>0</v>
      </c>
      <c r="G68" s="112">
        <f t="shared" si="28"/>
        <v>0</v>
      </c>
      <c r="H68" s="112">
        <f t="shared" si="28"/>
        <v>0</v>
      </c>
      <c r="I68" s="6"/>
    </row>
    <row r="69" spans="2:9" s="112" customFormat="1" ht="12.75">
      <c r="B69" s="112" t="s">
        <v>1269</v>
      </c>
      <c r="C69" s="102">
        <f aca="true" t="shared" si="29" ref="C69:H69">IF(AND(Insured_State="AZ",C66&lt;&gt;0),C44,0)</f>
        <v>0</v>
      </c>
      <c r="D69" s="102">
        <f t="shared" si="29"/>
        <v>0</v>
      </c>
      <c r="E69" s="102">
        <f t="shared" si="29"/>
        <v>0</v>
      </c>
      <c r="F69" s="102">
        <f t="shared" si="29"/>
        <v>0</v>
      </c>
      <c r="G69" s="102">
        <f t="shared" si="29"/>
        <v>0</v>
      </c>
      <c r="H69" s="102">
        <f t="shared" si="29"/>
        <v>0</v>
      </c>
      <c r="I69" s="15"/>
    </row>
    <row r="70" spans="1:9" s="112" customFormat="1" ht="12.75">
      <c r="A70" s="106" t="s">
        <v>1270</v>
      </c>
      <c r="B70" s="106" t="s">
        <v>1268</v>
      </c>
      <c r="C70" s="110">
        <f aca="true" t="shared" si="30" ref="C70:H70">IF(ISERROR(C68+C69),0,ROUND(C68+C69,2))</f>
        <v>0</v>
      </c>
      <c r="D70" s="110">
        <f t="shared" si="30"/>
        <v>0</v>
      </c>
      <c r="E70" s="110">
        <f t="shared" si="30"/>
        <v>0</v>
      </c>
      <c r="F70" s="110">
        <f t="shared" si="30"/>
        <v>0</v>
      </c>
      <c r="G70" s="110">
        <f t="shared" si="30"/>
        <v>0</v>
      </c>
      <c r="H70" s="110">
        <f t="shared" si="30"/>
        <v>0</v>
      </c>
      <c r="I70" s="15"/>
    </row>
    <row r="71" spans="1:9" s="112" customFormat="1" ht="12.75">
      <c r="A71" s="106" t="s">
        <v>1270</v>
      </c>
      <c r="B71" s="106" t="s">
        <v>1271</v>
      </c>
      <c r="C71" s="110">
        <f aca="true" t="shared" si="31" ref="C71:H71">IF(OR(Insured_State&lt;&gt;"NC",ISERROR(C68),C66=0),0,ROUND(C68*7.54/100,2))</f>
        <v>0</v>
      </c>
      <c r="D71" s="110">
        <f t="shared" si="31"/>
        <v>0</v>
      </c>
      <c r="E71" s="110">
        <f t="shared" si="31"/>
        <v>0</v>
      </c>
      <c r="F71" s="110">
        <f t="shared" si="31"/>
        <v>0</v>
      </c>
      <c r="G71" s="110">
        <f t="shared" si="31"/>
        <v>0</v>
      </c>
      <c r="H71" s="110">
        <f t="shared" si="31"/>
        <v>0</v>
      </c>
      <c r="I71" s="15"/>
    </row>
  </sheetData>
  <printOptions/>
  <pageMargins left="0.75" right="0.75" top="1" bottom="1" header="0.5" footer="0.5"/>
  <pageSetup horizontalDpi="600" verticalDpi="6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I70"/>
  <sheetViews>
    <sheetView zoomScale="75" zoomScaleNormal="75" workbookViewId="0" topLeftCell="A1">
      <selection activeCell="H8" sqref="H8"/>
    </sheetView>
  </sheetViews>
  <sheetFormatPr defaultColWidth="9.140625" defaultRowHeight="12.75"/>
  <cols>
    <col min="1" max="1" width="9.28125" style="0" customWidth="1"/>
    <col min="2" max="2" width="36.7109375" style="0" customWidth="1"/>
    <col min="3" max="3" width="11.8515625" style="0" customWidth="1"/>
    <col min="4" max="4" width="12.57421875" style="0" customWidth="1"/>
    <col min="9" max="9" width="28.140625" style="0" customWidth="1"/>
  </cols>
  <sheetData>
    <row r="1" spans="1:5" ht="20.25" customHeight="1">
      <c r="A1" s="113"/>
      <c r="B1" s="114" t="s">
        <v>1272</v>
      </c>
      <c r="C1" s="113"/>
      <c r="D1" s="113"/>
      <c r="E1" s="113"/>
    </row>
    <row r="2" spans="1:8" ht="20.25" customHeight="1">
      <c r="A2" s="103"/>
      <c r="B2" s="105"/>
      <c r="C2" s="103"/>
      <c r="D2" s="103"/>
      <c r="E2" s="103"/>
      <c r="F2" s="102"/>
      <c r="G2" s="102"/>
      <c r="H2" s="102"/>
    </row>
    <row r="3" spans="1:9" ht="12.75">
      <c r="A3" s="106" t="s">
        <v>1206</v>
      </c>
      <c r="B3" s="106" t="s">
        <v>1207</v>
      </c>
      <c r="C3" s="106" t="s">
        <v>428</v>
      </c>
      <c r="D3" s="106" t="s">
        <v>429</v>
      </c>
      <c r="E3" s="106" t="s">
        <v>430</v>
      </c>
      <c r="F3" s="106" t="s">
        <v>431</v>
      </c>
      <c r="G3" s="106" t="s">
        <v>432</v>
      </c>
      <c r="H3" s="106" t="s">
        <v>433</v>
      </c>
      <c r="I3" s="6" t="s">
        <v>229</v>
      </c>
    </row>
    <row r="4" spans="1:9" ht="12.75">
      <c r="A4" s="106" t="s">
        <v>1208</v>
      </c>
      <c r="B4" s="102" t="s">
        <v>1209</v>
      </c>
      <c r="C4" s="102">
        <f>IF(CSL,0,INDEX(PD_Base_rate,1,1))</f>
        <v>0</v>
      </c>
      <c r="D4" s="102">
        <f>IF(CSL,0,INDEX(PD_Base_rate,1,2))</f>
        <v>0</v>
      </c>
      <c r="E4" s="102">
        <f>IF(CSL,0,INDEX(PD_Base_rate,1,3))</f>
        <v>0</v>
      </c>
      <c r="F4" s="102">
        <f>IF(CSL,0,INDEX(PD_Base_rate,1,4))</f>
        <v>0</v>
      </c>
      <c r="G4" s="102">
        <f>IF(CSL,0,INDEX(PD_Base_rate,1,5))</f>
        <v>0</v>
      </c>
      <c r="H4" s="102">
        <f>IF(CSL,0,INDEX(PD_Base_rate,1,6))</f>
        <v>0</v>
      </c>
      <c r="I4" s="1" t="s">
        <v>1273</v>
      </c>
    </row>
    <row r="5" spans="1:9" s="102" customFormat="1" ht="12.75">
      <c r="A5" s="106"/>
      <c r="B5" s="102" t="s">
        <v>1210</v>
      </c>
      <c r="C5" s="102">
        <f>IF(CSL,0,INDEX(NC_Adjusted_PD_Rate,,1))</f>
        <v>0</v>
      </c>
      <c r="D5" s="102">
        <f>IF(CSL,0,INDEX(NC_Adjusted_PD_Rate,,2))</f>
        <v>0</v>
      </c>
      <c r="E5" s="102">
        <f>IF(CSL,0,INDEX(NC_Adjusted_PD_Rate,,3))</f>
        <v>0</v>
      </c>
      <c r="F5" s="102">
        <f>IF(CSL,0,INDEX(NC_Adjusted_PD_Rate,,4))</f>
        <v>0</v>
      </c>
      <c r="G5" s="102">
        <f>IF(CSL,0,INDEX(NC_Adjusted_PD_Rate,,5))</f>
        <v>0</v>
      </c>
      <c r="H5" s="102">
        <f>IF(CSL,0,INDEX(NC_Adjusted_PD_Rate,,6))</f>
        <v>0</v>
      </c>
      <c r="I5" s="1"/>
    </row>
    <row r="6" spans="1:9" s="102" customFormat="1" ht="12.75">
      <c r="A6" s="106"/>
      <c r="B6" s="102" t="s">
        <v>1211</v>
      </c>
      <c r="C6" s="102">
        <f aca="true" t="shared" si="0" ref="C6:H6">SUM(C4:C5)</f>
        <v>0</v>
      </c>
      <c r="D6" s="102">
        <f t="shared" si="0"/>
        <v>0</v>
      </c>
      <c r="E6" s="102">
        <f t="shared" si="0"/>
        <v>0</v>
      </c>
      <c r="F6" s="102">
        <f t="shared" si="0"/>
        <v>0</v>
      </c>
      <c r="G6" s="102">
        <f t="shared" si="0"/>
        <v>0</v>
      </c>
      <c r="H6" s="102">
        <f t="shared" si="0"/>
        <v>0</v>
      </c>
      <c r="I6" s="1"/>
    </row>
    <row r="7" spans="1:9" ht="12.75">
      <c r="A7" s="106"/>
      <c r="B7" s="107"/>
      <c r="C7" s="102"/>
      <c r="D7" s="102"/>
      <c r="E7" s="102"/>
      <c r="F7" s="102"/>
      <c r="G7" s="102"/>
      <c r="H7" s="102"/>
      <c r="I7" s="1"/>
    </row>
    <row r="8" spans="1:9" s="102" customFormat="1" ht="12.75">
      <c r="A8" s="106" t="s">
        <v>1212</v>
      </c>
      <c r="B8" s="107" t="s">
        <v>1213</v>
      </c>
      <c r="C8" s="102">
        <f aca="true" t="shared" si="1" ref="C8:H8">(C6*(IF(Insured_State="NC",Company_Deviation_Factor_NC,Company_Deviation_Factor_Split_PD))*Tier_Rating_Factor)</f>
        <v>0</v>
      </c>
      <c r="D8" s="102">
        <f t="shared" si="1"/>
        <v>0</v>
      </c>
      <c r="E8" s="102">
        <f t="shared" si="1"/>
        <v>0</v>
      </c>
      <c r="F8" s="102">
        <f t="shared" si="1"/>
        <v>0</v>
      </c>
      <c r="G8" s="102">
        <f t="shared" si="1"/>
        <v>0</v>
      </c>
      <c r="H8" s="102">
        <f t="shared" si="1"/>
        <v>0</v>
      </c>
      <c r="I8" s="1"/>
    </row>
    <row r="9" spans="1:9" ht="12.75">
      <c r="A9" s="106"/>
      <c r="B9" s="107"/>
      <c r="C9" s="102"/>
      <c r="D9" s="102"/>
      <c r="E9" s="102"/>
      <c r="F9" s="102"/>
      <c r="G9" s="102"/>
      <c r="H9" s="102"/>
      <c r="I9" s="1"/>
    </row>
    <row r="10" spans="1:9" ht="12.75">
      <c r="A10" s="106" t="s">
        <v>1214</v>
      </c>
      <c r="B10" s="102" t="s">
        <v>1215</v>
      </c>
      <c r="C10" s="102">
        <f>IF(CSL,0,INDEX(PD_Increased_Limits_Factor,1,1))</f>
        <v>0</v>
      </c>
      <c r="D10" s="102">
        <f>IF(CSL,0,INDEX(PD_Increased_Limits_Factor,1,2))</f>
        <v>0</v>
      </c>
      <c r="E10" s="102">
        <f>IF(CSL,0,INDEX(PD_Increased_Limits_Factor,1,3))</f>
        <v>0</v>
      </c>
      <c r="F10" s="102">
        <f>IF(CSL,0,INDEX(PD_Increased_Limits_Factor,1,4))</f>
        <v>0</v>
      </c>
      <c r="G10" s="102">
        <f>IF(CSL,0,INDEX(PD_Increased_Limits_Factor,1,5))</f>
        <v>0</v>
      </c>
      <c r="H10" s="102">
        <f>IF(CSL,0,INDEX(PD_Increased_Limits_Factor,1,6))</f>
        <v>0</v>
      </c>
      <c r="I10" s="1"/>
    </row>
    <row r="11" spans="1:9" s="102" customFormat="1" ht="12.75">
      <c r="A11" s="106"/>
      <c r="B11" s="102" t="s">
        <v>1217</v>
      </c>
      <c r="C11" s="102">
        <f aca="true" t="shared" si="2" ref="C11:H11">IF(Insured_State="NC",1,C10)</f>
        <v>0</v>
      </c>
      <c r="D11" s="102">
        <f t="shared" si="2"/>
        <v>0</v>
      </c>
      <c r="E11" s="102">
        <f t="shared" si="2"/>
        <v>0</v>
      </c>
      <c r="F11" s="102">
        <f t="shared" si="2"/>
        <v>0</v>
      </c>
      <c r="G11" s="102">
        <f t="shared" si="2"/>
        <v>0</v>
      </c>
      <c r="H11" s="102">
        <f t="shared" si="2"/>
        <v>0</v>
      </c>
      <c r="I11" s="1"/>
    </row>
    <row r="12" spans="1:9" ht="12.75">
      <c r="A12" s="106" t="s">
        <v>1218</v>
      </c>
      <c r="B12" s="108" t="s">
        <v>1219</v>
      </c>
      <c r="C12" s="102">
        <f aca="true" t="shared" si="3" ref="C12:H12">(C8*C11)</f>
        <v>0</v>
      </c>
      <c r="D12" s="102">
        <f t="shared" si="3"/>
        <v>0</v>
      </c>
      <c r="E12" s="102">
        <f t="shared" si="3"/>
        <v>0</v>
      </c>
      <c r="F12" s="102">
        <f t="shared" si="3"/>
        <v>0</v>
      </c>
      <c r="G12" s="102">
        <f t="shared" si="3"/>
        <v>0</v>
      </c>
      <c r="H12" s="102">
        <f t="shared" si="3"/>
        <v>0</v>
      </c>
      <c r="I12" s="1"/>
    </row>
    <row r="13" spans="1:9" ht="12.75">
      <c r="A13" s="102"/>
      <c r="B13" s="109"/>
      <c r="C13" s="102"/>
      <c r="D13" s="102"/>
      <c r="E13" s="102"/>
      <c r="F13" s="102"/>
      <c r="G13" s="102"/>
      <c r="H13" s="102"/>
      <c r="I13" s="1"/>
    </row>
    <row r="14" spans="1:9" s="102" customFormat="1" ht="12.75">
      <c r="A14" s="102" t="s">
        <v>1220</v>
      </c>
      <c r="B14" s="108" t="s">
        <v>1221</v>
      </c>
      <c r="C14" s="102">
        <f>IF(AND(INDEX(Extended_Non_owned_Property_Damage_indicator_for_Vehicle,,1)="Y",INDEX(Primary_Liability_for_Furnished_Automobile_for_Vehicle,,1)&lt;&gt;"Y"),C12*1.5,C12)</f>
        <v>0</v>
      </c>
      <c r="D14" s="102">
        <f>IF(AND(INDEX(Extended_Non_owned_Property_Damage_indicator_for_Vehicle,,2)="Y",INDEX(Primary_Liability_for_Furnished_Automobile_for_Vehicle,,2)&lt;&gt;"Y"),D12*1.5,D12)</f>
        <v>0</v>
      </c>
      <c r="E14" s="102">
        <f>IF(AND(INDEX(Extended_Non_owned_Property_Damage_indicator_for_Vehicle,,3)="Y",INDEX(Primary_Liability_for_Furnished_Automobile_for_Vehicle,,3)&lt;&gt;"Y"),E12*1.5,E12)</f>
        <v>0</v>
      </c>
      <c r="F14" s="102">
        <f>IF(AND(INDEX(Extended_Non_owned_Property_Damage_indicator_for_Vehicle,,4)="Y",INDEX(Primary_Liability_for_Furnished_Automobile_for_Vehicle,,4)&lt;&gt;"Y"),F12*1.5,F12)</f>
        <v>0</v>
      </c>
      <c r="G14" s="102">
        <f>IF(AND(INDEX(Extended_Non_owned_Property_Damage_indicator_for_Vehicle,,5)="Y",INDEX(Primary_Liability_for_Furnished_Automobile_for_Vehicle,,5)&lt;&gt;"Y"),G12*1.5,G12)</f>
        <v>0</v>
      </c>
      <c r="H14" s="102">
        <f>IF(AND(INDEX(Extended_Non_owned_Property_Damage_indicator_for_Vehicle,,6)="Y",INDEX(Primary_Liability_for_Furnished_Automobile_for_Vehicle,,6)&lt;&gt;"Y"),H12*1.5,H12)</f>
        <v>0</v>
      </c>
      <c r="I14" s="1"/>
    </row>
    <row r="15" spans="2:9" s="102" customFormat="1" ht="12.75">
      <c r="B15" s="109"/>
      <c r="I15" s="1"/>
    </row>
    <row r="16" spans="1:9" ht="12.75">
      <c r="A16" s="106" t="s">
        <v>1222</v>
      </c>
      <c r="B16" s="102" t="s">
        <v>1223</v>
      </c>
      <c r="C16" s="102">
        <f>INDEX(Primary_class_factor_for_BI_and_PD,1,1)</f>
        <v>0</v>
      </c>
      <c r="D16" s="102">
        <f>INDEX(Primary_class_factor_for_BI_and_PD,1,2)</f>
        <v>0</v>
      </c>
      <c r="E16" s="102">
        <f>INDEX(Primary_class_factor_for_BI_and_PD,1,3)</f>
        <v>0</v>
      </c>
      <c r="F16" s="102">
        <f>INDEX(Primary_class_factor_for_BI_and_PD,1,4)</f>
        <v>0</v>
      </c>
      <c r="G16" s="102">
        <f>INDEX(Primary_class_factor_for_BI_and_PD,1,5)</f>
        <v>0</v>
      </c>
      <c r="H16" s="102">
        <f>INDEX(Primary_class_factor_for_BI_and_PD,1,6)</f>
        <v>0</v>
      </c>
      <c r="I16" s="1"/>
    </row>
    <row r="17" spans="1:9" s="102" customFormat="1" ht="12.75">
      <c r="A17" s="106"/>
      <c r="B17" s="102" t="s">
        <v>1224</v>
      </c>
      <c r="C17" s="102">
        <f>INDEX(NC_Primary_Factor_Liability,,1)</f>
        <v>0</v>
      </c>
      <c r="D17" s="102">
        <f>INDEX(NC_Primary_Factor_Liability,,2)</f>
        <v>0</v>
      </c>
      <c r="E17" s="102">
        <f>INDEX(NC_Primary_Factor_Liability,,3)</f>
        <v>0</v>
      </c>
      <c r="F17" s="102">
        <f>INDEX(NC_Primary_Factor_Liability,,4)</f>
        <v>0</v>
      </c>
      <c r="G17" s="102">
        <f>INDEX(NC_Primary_Factor_Liability,,5)</f>
        <v>0</v>
      </c>
      <c r="H17" s="102">
        <f>INDEX(NC_Primary_Factor_Liability,,6)</f>
        <v>0</v>
      </c>
      <c r="I17" s="1"/>
    </row>
    <row r="18" spans="1:9" ht="12.75">
      <c r="A18" s="102"/>
      <c r="B18" s="102"/>
      <c r="C18" s="102"/>
      <c r="D18" s="102"/>
      <c r="E18" s="102"/>
      <c r="F18" s="102"/>
      <c r="G18" s="102"/>
      <c r="H18" s="102"/>
      <c r="I18" s="1"/>
    </row>
    <row r="19" spans="1:9" ht="12.75">
      <c r="A19" s="106" t="s">
        <v>1225</v>
      </c>
      <c r="B19" s="102" t="s">
        <v>1226</v>
      </c>
      <c r="C19" s="102">
        <f>INDEX(Secondary_class_factor_for_BI_and_PD,1,1)</f>
        <v>0</v>
      </c>
      <c r="D19" s="102">
        <f>INDEX(Secondary_class_factor_for_BI_and_PD,1,2)</f>
        <v>0</v>
      </c>
      <c r="E19" s="102">
        <f>INDEX(Secondary_class_factor_for_BI_and_PD,1,3)</f>
        <v>0</v>
      </c>
      <c r="F19" s="102">
        <f>INDEX(Secondary_class_factor_for_BI_and_PD,1,4)</f>
        <v>0</v>
      </c>
      <c r="G19" s="102">
        <f>INDEX(Secondary_class_factor_for_BI_and_PD,1,5)</f>
        <v>0</v>
      </c>
      <c r="H19" s="102">
        <f>INDEX(Secondary_class_factor_for_BI_and_PD,1,6)</f>
        <v>0</v>
      </c>
      <c r="I19" s="1"/>
    </row>
    <row r="20" spans="1:9" s="102" customFormat="1" ht="12.75">
      <c r="A20" s="106"/>
      <c r="B20" s="102" t="s">
        <v>1227</v>
      </c>
      <c r="C20" s="102">
        <f>INDEX(NC_No_Inexperience_Liability,,1)+INDEX(NC_Inexperience_Liability,,1)</f>
        <v>0</v>
      </c>
      <c r="D20" s="102">
        <f>INDEX(NC_No_Inexperience_Liability,,2)+INDEX(NC_Inexperience_Liability,,2)</f>
        <v>0</v>
      </c>
      <c r="E20" s="102">
        <f>INDEX(NC_No_Inexperience_Liability,,3)+INDEX(NC_Inexperience_Liability,,3)</f>
        <v>0</v>
      </c>
      <c r="F20" s="102">
        <f>INDEX(NC_No_Inexperience_Liability,,4)+INDEX(NC_Inexperience_Liability,,4)</f>
        <v>0</v>
      </c>
      <c r="G20" s="102">
        <f>INDEX(NC_No_Inexperience_Liability,,5)+INDEX(NC_Inexperience_Liability,,5)</f>
        <v>0</v>
      </c>
      <c r="H20" s="102">
        <f>INDEX(NC_No_Inexperience_Liability,,6)+INDEX(NC_Inexperience_Liability,,6)</f>
        <v>0</v>
      </c>
      <c r="I20" s="1"/>
    </row>
    <row r="21" spans="1:9" s="102" customFormat="1" ht="12.75">
      <c r="A21" s="106"/>
      <c r="B21" s="102" t="s">
        <v>1228</v>
      </c>
      <c r="C21" s="102">
        <f>INDEX(MI_Secondary_Class_Factor,,1)</f>
        <v>0</v>
      </c>
      <c r="D21" s="102">
        <f>INDEX(MI_Secondary_Class_Factor,,2)</f>
        <v>0</v>
      </c>
      <c r="E21" s="102">
        <f>INDEX(MI_Secondary_Class_Factor,,3)</f>
        <v>0</v>
      </c>
      <c r="F21" s="102">
        <f>INDEX(MI_Secondary_Class_Factor,,4)</f>
        <v>0</v>
      </c>
      <c r="G21" s="102">
        <f>INDEX(MI_Secondary_Class_Factor,,5)</f>
        <v>0</v>
      </c>
      <c r="H21" s="102">
        <f>INDEX(MI_Secondary_Class_Factor,,6)</f>
        <v>0</v>
      </c>
      <c r="I21" s="1"/>
    </row>
    <row r="22" spans="1:9" ht="12.75">
      <c r="A22" s="102"/>
      <c r="B22" s="109"/>
      <c r="C22" s="102"/>
      <c r="D22" s="102"/>
      <c r="E22" s="102"/>
      <c r="F22" s="102"/>
      <c r="G22" s="102"/>
      <c r="H22" s="102"/>
      <c r="I22" s="1"/>
    </row>
    <row r="23" spans="1:9" ht="12.75">
      <c r="A23" s="106" t="s">
        <v>1229</v>
      </c>
      <c r="B23" s="108" t="s">
        <v>1230</v>
      </c>
      <c r="C23" s="102">
        <f aca="true" t="shared" si="4" ref="C23:H23">SUM(C16:C17)+SUM(C19:C21)</f>
        <v>0</v>
      </c>
      <c r="D23" s="102">
        <f t="shared" si="4"/>
        <v>0</v>
      </c>
      <c r="E23" s="102">
        <f t="shared" si="4"/>
        <v>0</v>
      </c>
      <c r="F23" s="102">
        <f t="shared" si="4"/>
        <v>0</v>
      </c>
      <c r="G23" s="102">
        <f t="shared" si="4"/>
        <v>0</v>
      </c>
      <c r="H23" s="102">
        <f t="shared" si="4"/>
        <v>0</v>
      </c>
      <c r="I23" s="1"/>
    </row>
    <row r="24" spans="1:9" ht="12.75">
      <c r="A24" s="102"/>
      <c r="B24" s="102"/>
      <c r="C24" s="102"/>
      <c r="D24" s="102"/>
      <c r="E24" s="102"/>
      <c r="F24" s="102"/>
      <c r="G24" s="102"/>
      <c r="H24" s="102"/>
      <c r="I24" s="1"/>
    </row>
    <row r="25" spans="1:9" ht="12.75">
      <c r="A25" s="106" t="s">
        <v>1231</v>
      </c>
      <c r="B25" s="102" t="s">
        <v>1232</v>
      </c>
      <c r="C25" s="102">
        <f aca="true" t="shared" si="5" ref="C25:H25">C14*C23</f>
        <v>0</v>
      </c>
      <c r="D25" s="102">
        <f t="shared" si="5"/>
        <v>0</v>
      </c>
      <c r="E25" s="102">
        <f t="shared" si="5"/>
        <v>0</v>
      </c>
      <c r="F25" s="102">
        <f t="shared" si="5"/>
        <v>0</v>
      </c>
      <c r="G25" s="102">
        <f t="shared" si="5"/>
        <v>0</v>
      </c>
      <c r="H25" s="102">
        <f t="shared" si="5"/>
        <v>0</v>
      </c>
      <c r="I25" s="1"/>
    </row>
    <row r="26" spans="1:9" ht="12.75">
      <c r="A26" s="102"/>
      <c r="B26" s="109"/>
      <c r="C26" s="102"/>
      <c r="D26" s="102"/>
      <c r="E26" s="102"/>
      <c r="F26" s="102"/>
      <c r="G26" s="102"/>
      <c r="H26" s="102"/>
      <c r="I26" s="1"/>
    </row>
    <row r="27" spans="1:9" ht="12.75">
      <c r="A27" s="106" t="s">
        <v>1233</v>
      </c>
      <c r="B27" s="108" t="s">
        <v>830</v>
      </c>
      <c r="C27" s="102">
        <f>INDEX(ABS_Discount_Factor,1,1)</f>
        <v>0</v>
      </c>
      <c r="D27" s="102">
        <f>INDEX(ABS_Discount_Factor,1,2)</f>
        <v>0</v>
      </c>
      <c r="E27" s="102">
        <f>INDEX(ABS_Discount_Factor,1,3)</f>
        <v>0</v>
      </c>
      <c r="F27" s="102">
        <f>INDEX(ABS_Discount_Factor,1,4)</f>
        <v>0</v>
      </c>
      <c r="G27" s="102">
        <f>INDEX(ABS_Discount_Factor,1,5)</f>
        <v>0</v>
      </c>
      <c r="H27" s="102">
        <f>INDEX(ABS_Discount_Factor,1,6)</f>
        <v>0</v>
      </c>
      <c r="I27" s="1"/>
    </row>
    <row r="28" spans="1:9" ht="12.75">
      <c r="A28" s="102"/>
      <c r="B28" s="108" t="s">
        <v>1234</v>
      </c>
      <c r="C28" s="110">
        <f aca="true" t="shared" si="6" ref="C28:H28">C25*C27</f>
        <v>0</v>
      </c>
      <c r="D28" s="110">
        <f t="shared" si="6"/>
        <v>0</v>
      </c>
      <c r="E28" s="110">
        <f t="shared" si="6"/>
        <v>0</v>
      </c>
      <c r="F28" s="110">
        <f t="shared" si="6"/>
        <v>0</v>
      </c>
      <c r="G28" s="110">
        <f t="shared" si="6"/>
        <v>0</v>
      </c>
      <c r="H28" s="110">
        <f t="shared" si="6"/>
        <v>0</v>
      </c>
      <c r="I28" s="1"/>
    </row>
    <row r="29" spans="1:9" ht="12.75">
      <c r="A29" s="102"/>
      <c r="B29" s="108" t="s">
        <v>1235</v>
      </c>
      <c r="C29" s="110">
        <f aca="true" t="shared" si="7" ref="C29:H29">C25-C28</f>
        <v>0</v>
      </c>
      <c r="D29" s="110">
        <f t="shared" si="7"/>
        <v>0</v>
      </c>
      <c r="E29" s="110">
        <f t="shared" si="7"/>
        <v>0</v>
      </c>
      <c r="F29" s="110">
        <f t="shared" si="7"/>
        <v>0</v>
      </c>
      <c r="G29" s="110">
        <f t="shared" si="7"/>
        <v>0</v>
      </c>
      <c r="H29" s="110">
        <f t="shared" si="7"/>
        <v>0</v>
      </c>
      <c r="I29" s="1"/>
    </row>
    <row r="30" spans="1:9" ht="12.75">
      <c r="A30" s="102"/>
      <c r="B30" s="108"/>
      <c r="C30" s="111"/>
      <c r="D30" s="111"/>
      <c r="E30" s="111"/>
      <c r="F30" s="111"/>
      <c r="G30" s="111"/>
      <c r="H30" s="111"/>
      <c r="I30" s="1"/>
    </row>
    <row r="31" spans="1:9" ht="12.75" customHeight="1">
      <c r="A31" s="106" t="s">
        <v>1236</v>
      </c>
      <c r="B31" s="108" t="s">
        <v>816</v>
      </c>
      <c r="C31" s="102">
        <f>INDEX(SDIP_Factor,,1)</f>
        <v>0</v>
      </c>
      <c r="D31" s="102">
        <f>INDEX(SDIP_Factor,,2)</f>
        <v>0</v>
      </c>
      <c r="E31" s="102">
        <f>INDEX(SDIP_Factor,,3)</f>
        <v>0</v>
      </c>
      <c r="F31" s="102">
        <f>INDEX(SDIP_Factor,,4)</f>
        <v>0</v>
      </c>
      <c r="G31" s="102">
        <f>INDEX(SDIP_Factor,,5)</f>
        <v>0</v>
      </c>
      <c r="H31" s="102">
        <f>INDEX(SDIP_Factor,,6)</f>
        <v>0</v>
      </c>
      <c r="I31" s="1"/>
    </row>
    <row r="32" spans="1:9" ht="12.75">
      <c r="A32" s="106"/>
      <c r="B32" s="108" t="s">
        <v>1237</v>
      </c>
      <c r="C32" s="111">
        <f>INDEX(Accident_Prevention_Discount_Factor,,1)</f>
        <v>0</v>
      </c>
      <c r="D32" s="111">
        <f>INDEX(Accident_Prevention_Discount_Factor,,2)</f>
        <v>0</v>
      </c>
      <c r="E32" s="111">
        <f>INDEX(Accident_Prevention_Discount_Factor,,3)</f>
        <v>0</v>
      </c>
      <c r="F32" s="111">
        <f>INDEX(Accident_Prevention_Discount_Factor,,4)</f>
        <v>0</v>
      </c>
      <c r="G32" s="111">
        <f>INDEX(Accident_Prevention_Discount_Factor,,5)</f>
        <v>0</v>
      </c>
      <c r="H32" s="111">
        <f>INDEX(Accident_Prevention_Discount_Factor,,6)</f>
        <v>0</v>
      </c>
      <c r="I32" s="1"/>
    </row>
    <row r="33" spans="1:9" ht="12.75">
      <c r="A33" s="106"/>
      <c r="B33" s="108" t="s">
        <v>837</v>
      </c>
      <c r="C33" s="111">
        <f>INDEX(Minivan_Discount_Factor,,1)</f>
        <v>0</v>
      </c>
      <c r="D33" s="111">
        <f>INDEX(Minivan_Discount_Factor,,2)</f>
        <v>0</v>
      </c>
      <c r="E33" s="111">
        <f>INDEX(Minivan_Discount_Factor,,3)</f>
        <v>0</v>
      </c>
      <c r="F33" s="111">
        <f>INDEX(Minivan_Discount_Factor,,4)</f>
        <v>0</v>
      </c>
      <c r="G33" s="111">
        <f>INDEX(Minivan_Discount_Factor,,5)</f>
        <v>0</v>
      </c>
      <c r="H33" s="111">
        <f>INDEX(Minivan_Discount_Factor,,6)</f>
        <v>0</v>
      </c>
      <c r="I33" s="1"/>
    </row>
    <row r="34" spans="1:9" ht="12.75">
      <c r="A34" s="102"/>
      <c r="B34" s="108"/>
      <c r="C34" s="102"/>
      <c r="D34" s="102"/>
      <c r="E34" s="102"/>
      <c r="F34" s="102"/>
      <c r="G34" s="102"/>
      <c r="H34" s="102"/>
      <c r="I34" s="1"/>
    </row>
    <row r="35" spans="1:9" ht="12.75">
      <c r="A35" s="106" t="s">
        <v>1238</v>
      </c>
      <c r="B35" s="108" t="s">
        <v>1239</v>
      </c>
      <c r="C35" s="102">
        <f aca="true" t="shared" si="8" ref="C35:H35">C31*C4</f>
        <v>0</v>
      </c>
      <c r="D35" s="102">
        <f t="shared" si="8"/>
        <v>0</v>
      </c>
      <c r="E35" s="102">
        <f t="shared" si="8"/>
        <v>0</v>
      </c>
      <c r="F35" s="102">
        <f t="shared" si="8"/>
        <v>0</v>
      </c>
      <c r="G35" s="102">
        <f t="shared" si="8"/>
        <v>0</v>
      </c>
      <c r="H35" s="102">
        <f t="shared" si="8"/>
        <v>0</v>
      </c>
      <c r="I35" s="1"/>
    </row>
    <row r="36" spans="1:9" ht="12.75">
      <c r="A36" s="102"/>
      <c r="B36" s="108" t="s">
        <v>1240</v>
      </c>
      <c r="C36" s="110">
        <f aca="true" t="shared" si="9" ref="C36:H36">IF(AND(Insured_State&lt;&gt;"MI",Insured_State&lt;&gt;"PA"),C29*C32,0)</f>
        <v>0</v>
      </c>
      <c r="D36" s="110">
        <f t="shared" si="9"/>
        <v>0</v>
      </c>
      <c r="E36" s="110">
        <f t="shared" si="9"/>
        <v>0</v>
      </c>
      <c r="F36" s="110">
        <f t="shared" si="9"/>
        <v>0</v>
      </c>
      <c r="G36" s="110">
        <f t="shared" si="9"/>
        <v>0</v>
      </c>
      <c r="H36" s="110">
        <f t="shared" si="9"/>
        <v>0</v>
      </c>
      <c r="I36" s="1"/>
    </row>
    <row r="37" spans="1:9" s="102" customFormat="1" ht="12.75">
      <c r="A37" s="106"/>
      <c r="B37" s="102" t="s">
        <v>1241</v>
      </c>
      <c r="C37" s="102">
        <f aca="true" t="shared" si="10" ref="C37:H37">((C29-C36)*Loss_Free_Credit_Factor)</f>
        <v>0</v>
      </c>
      <c r="D37" s="102">
        <f t="shared" si="10"/>
        <v>0</v>
      </c>
      <c r="E37" s="102">
        <f t="shared" si="10"/>
        <v>0</v>
      </c>
      <c r="F37" s="102">
        <f t="shared" si="10"/>
        <v>0</v>
      </c>
      <c r="G37" s="102">
        <f t="shared" si="10"/>
        <v>0</v>
      </c>
      <c r="H37" s="102">
        <f t="shared" si="10"/>
        <v>0</v>
      </c>
      <c r="I37" s="1"/>
    </row>
    <row r="38" spans="1:9" ht="12.75">
      <c r="A38" s="102"/>
      <c r="B38" s="108" t="s">
        <v>1242</v>
      </c>
      <c r="C38" s="110">
        <f aca="true" t="shared" si="11" ref="C38:H38">(C29-C36-C37)*C33</f>
        <v>0</v>
      </c>
      <c r="D38" s="110">
        <f t="shared" si="11"/>
        <v>0</v>
      </c>
      <c r="E38" s="110">
        <f t="shared" si="11"/>
        <v>0</v>
      </c>
      <c r="F38" s="110">
        <f t="shared" si="11"/>
        <v>0</v>
      </c>
      <c r="G38" s="110">
        <f t="shared" si="11"/>
        <v>0</v>
      </c>
      <c r="H38" s="110">
        <f t="shared" si="11"/>
        <v>0</v>
      </c>
      <c r="I38" s="1"/>
    </row>
    <row r="39" spans="1:9" ht="12.75">
      <c r="A39" s="106"/>
      <c r="B39" s="108"/>
      <c r="C39" s="102"/>
      <c r="D39" s="102"/>
      <c r="E39" s="102"/>
      <c r="F39" s="102"/>
      <c r="G39" s="102"/>
      <c r="H39" s="102"/>
      <c r="I39" s="1"/>
    </row>
    <row r="40" spans="1:9" ht="12.75">
      <c r="A40" s="106" t="s">
        <v>1243</v>
      </c>
      <c r="B40" s="102" t="s">
        <v>1244</v>
      </c>
      <c r="C40" s="110">
        <f aca="true" t="shared" si="12" ref="C40:H40">(C29+C35-C36--C37-C38)</f>
        <v>0</v>
      </c>
      <c r="D40" s="110">
        <f t="shared" si="12"/>
        <v>0</v>
      </c>
      <c r="E40" s="110">
        <f t="shared" si="12"/>
        <v>0</v>
      </c>
      <c r="F40" s="110">
        <f t="shared" si="12"/>
        <v>0</v>
      </c>
      <c r="G40" s="110">
        <f t="shared" si="12"/>
        <v>0</v>
      </c>
      <c r="H40" s="110">
        <f t="shared" si="12"/>
        <v>0</v>
      </c>
      <c r="I40" s="1"/>
    </row>
    <row r="41" spans="1:9" ht="12.75">
      <c r="A41" s="102"/>
      <c r="B41" s="108" t="s">
        <v>1245</v>
      </c>
      <c r="C41" s="110">
        <f>C40*INDEX(MI_High_Performance_Factor,,1)</f>
        <v>0</v>
      </c>
      <c r="D41" s="110">
        <f>D40*INDEX(MI_High_Performance_Factor,,2)</f>
        <v>0</v>
      </c>
      <c r="E41" s="110">
        <f>E40*INDEX(MI_High_Performance_Factor,,3)</f>
        <v>0</v>
      </c>
      <c r="F41" s="110">
        <f>F40*INDEX(MI_High_Performance_Factor,,4)</f>
        <v>0</v>
      </c>
      <c r="G41" s="110">
        <f>G40*INDEX(MI_High_Performance_Factor,,5)</f>
        <v>0</v>
      </c>
      <c r="H41" s="110">
        <f>H40*INDEX(MI_High_Performance_Factor,,6)</f>
        <v>0</v>
      </c>
      <c r="I41" s="1"/>
    </row>
    <row r="42" spans="1:9" ht="12.75">
      <c r="A42" s="102"/>
      <c r="B42" s="102"/>
      <c r="C42" s="102"/>
      <c r="D42" s="102"/>
      <c r="E42" s="102"/>
      <c r="F42" s="102"/>
      <c r="G42" s="102"/>
      <c r="H42" s="102"/>
      <c r="I42" s="1"/>
    </row>
    <row r="43" spans="2:9" s="112" customFormat="1" ht="12.75">
      <c r="B43" s="112" t="s">
        <v>939</v>
      </c>
      <c r="C43" s="102">
        <f aca="true" t="shared" si="13" ref="C43:H43">IF(OR(ISERROR(C41),C41&lt;=0),0,IF(CSL,0,Expense_Fees_Split_PD))</f>
        <v>0</v>
      </c>
      <c r="D43" s="102">
        <f t="shared" si="13"/>
        <v>0</v>
      </c>
      <c r="E43" s="102">
        <f t="shared" si="13"/>
        <v>0</v>
      </c>
      <c r="F43" s="102">
        <f t="shared" si="13"/>
        <v>0</v>
      </c>
      <c r="G43" s="102">
        <f t="shared" si="13"/>
        <v>0</v>
      </c>
      <c r="H43" s="102">
        <f t="shared" si="13"/>
        <v>0</v>
      </c>
      <c r="I43" s="15"/>
    </row>
    <row r="44" spans="2:9" s="112" customFormat="1" ht="12.75">
      <c r="B44" s="112" t="s">
        <v>1246</v>
      </c>
      <c r="C44" s="102">
        <f aca="true" t="shared" si="14" ref="C44:H44">IF(Insured_State&lt;&gt;"AZ",C41+C43,C41)</f>
        <v>0</v>
      </c>
      <c r="D44" s="102">
        <f t="shared" si="14"/>
        <v>0</v>
      </c>
      <c r="E44" s="102">
        <f t="shared" si="14"/>
        <v>0</v>
      </c>
      <c r="F44" s="102">
        <f t="shared" si="14"/>
        <v>0</v>
      </c>
      <c r="G44" s="102">
        <f t="shared" si="14"/>
        <v>0</v>
      </c>
      <c r="H44" s="102">
        <f t="shared" si="14"/>
        <v>0</v>
      </c>
      <c r="I44" s="15"/>
    </row>
    <row r="45" spans="3:9" s="112" customFormat="1" ht="12.75">
      <c r="C45" s="102"/>
      <c r="D45" s="102"/>
      <c r="E45" s="102"/>
      <c r="F45" s="102"/>
      <c r="G45" s="102"/>
      <c r="H45" s="102"/>
      <c r="I45" s="15"/>
    </row>
    <row r="46" spans="1:9" ht="12.75">
      <c r="A46" s="106" t="s">
        <v>1247</v>
      </c>
      <c r="B46" s="102" t="s">
        <v>1248</v>
      </c>
      <c r="C46" s="102">
        <f>IF(CSL,0,INDEX(PD_Minimum_Premium,1,1))</f>
        <v>0</v>
      </c>
      <c r="D46" s="102">
        <f>IF(CSL,0,INDEX(PD_Minimum_Premium,1,2))</f>
        <v>0</v>
      </c>
      <c r="E46" s="102">
        <f>IF(CSL,0,INDEX(PD_Minimum_Premium,1,3))</f>
        <v>0</v>
      </c>
      <c r="F46" s="102">
        <f>IF(CSL,0,INDEX(PD_Minimum_Premium,1,4))</f>
        <v>0</v>
      </c>
      <c r="G46" s="102">
        <f>IF(CSL,0,INDEX(PD_Minimum_Premium,1,5))</f>
        <v>0</v>
      </c>
      <c r="H46" s="102">
        <f>IF(CSL,0,INDEX(PD_Minimum_Premium,1,6))</f>
        <v>0</v>
      </c>
      <c r="I46" s="1"/>
    </row>
    <row r="47" spans="1:9" ht="12.75">
      <c r="A47" s="106"/>
      <c r="B47" s="102" t="s">
        <v>1249</v>
      </c>
      <c r="C47" s="102">
        <f aca="true" t="shared" si="15" ref="C47:H47">IF(C44&lt;C46,C46,C44)</f>
        <v>0</v>
      </c>
      <c r="D47" s="102">
        <f t="shared" si="15"/>
        <v>0</v>
      </c>
      <c r="E47" s="102">
        <f t="shared" si="15"/>
        <v>0</v>
      </c>
      <c r="F47" s="102">
        <f t="shared" si="15"/>
        <v>0</v>
      </c>
      <c r="G47" s="102">
        <f t="shared" si="15"/>
        <v>0</v>
      </c>
      <c r="H47" s="102">
        <f t="shared" si="15"/>
        <v>0</v>
      </c>
      <c r="I47" s="1"/>
    </row>
    <row r="48" spans="1:9" ht="12.75">
      <c r="A48" s="102"/>
      <c r="B48" s="109"/>
      <c r="C48" s="102"/>
      <c r="D48" s="102"/>
      <c r="E48" s="102"/>
      <c r="F48" s="102"/>
      <c r="G48" s="102"/>
      <c r="H48" s="102"/>
      <c r="I48" s="1"/>
    </row>
    <row r="49" spans="1:9" ht="12.75">
      <c r="A49" s="106" t="s">
        <v>1250</v>
      </c>
      <c r="B49" s="102" t="s">
        <v>1251</v>
      </c>
      <c r="C49" s="102">
        <f aca="true" t="shared" si="16" ref="C49:H49">C47</f>
        <v>0</v>
      </c>
      <c r="D49" s="102">
        <f t="shared" si="16"/>
        <v>0</v>
      </c>
      <c r="E49" s="102">
        <f t="shared" si="16"/>
        <v>0</v>
      </c>
      <c r="F49" s="102">
        <f t="shared" si="16"/>
        <v>0</v>
      </c>
      <c r="G49" s="102">
        <f t="shared" si="16"/>
        <v>0</v>
      </c>
      <c r="H49" s="102">
        <f t="shared" si="16"/>
        <v>0</v>
      </c>
      <c r="I49" s="1"/>
    </row>
    <row r="50" spans="1:9" s="102" customFormat="1" ht="12.75">
      <c r="A50" s="106" t="s">
        <v>1274</v>
      </c>
      <c r="B50" s="102" t="s">
        <v>1253</v>
      </c>
      <c r="C50" s="102">
        <f aca="true" t="shared" si="17" ref="C50:H50">C49*IF(AND(Insured_State="MI",INDEX(Extended_Non_owned_Property_Damage_indicator_for_Vehicle,,1)&lt;&gt;"Y",INDEX(Named_Non_owner_Property_Damage_indicator_for_Vehicle,,1)="Y"),Named_Non_owner_PD_factor,1)</f>
        <v>0</v>
      </c>
      <c r="D50" s="102">
        <f t="shared" si="17"/>
        <v>0</v>
      </c>
      <c r="E50" s="102">
        <f t="shared" si="17"/>
        <v>0</v>
      </c>
      <c r="F50" s="102">
        <f t="shared" si="17"/>
        <v>0</v>
      </c>
      <c r="G50" s="102">
        <f t="shared" si="17"/>
        <v>0</v>
      </c>
      <c r="H50" s="102">
        <f t="shared" si="17"/>
        <v>0</v>
      </c>
      <c r="I50" s="1"/>
    </row>
    <row r="51" spans="1:9" ht="12.75">
      <c r="A51" s="102"/>
      <c r="B51" s="109"/>
      <c r="C51" s="102"/>
      <c r="D51" s="102"/>
      <c r="E51" s="102"/>
      <c r="F51" s="102"/>
      <c r="G51" s="102"/>
      <c r="H51" s="102"/>
      <c r="I51" s="1"/>
    </row>
    <row r="52" spans="1:9" s="102" customFormat="1" ht="12.75">
      <c r="A52" s="106" t="s">
        <v>1254</v>
      </c>
      <c r="B52" s="102" t="s">
        <v>1255</v>
      </c>
      <c r="C52" s="102">
        <f aca="true" t="shared" si="18" ref="C52:H52">C50-(C50*Valued_Customer_Discount_Factor)</f>
        <v>0</v>
      </c>
      <c r="D52" s="102">
        <f t="shared" si="18"/>
        <v>0</v>
      </c>
      <c r="E52" s="102">
        <f t="shared" si="18"/>
        <v>0</v>
      </c>
      <c r="F52" s="102">
        <f t="shared" si="18"/>
        <v>0</v>
      </c>
      <c r="G52" s="102">
        <f t="shared" si="18"/>
        <v>0</v>
      </c>
      <c r="H52" s="102">
        <f t="shared" si="18"/>
        <v>0</v>
      </c>
      <c r="I52" s="1"/>
    </row>
    <row r="53" spans="1:9" s="102" customFormat="1" ht="12.75">
      <c r="A53" s="106"/>
      <c r="B53" s="102" t="s">
        <v>1256</v>
      </c>
      <c r="C53" s="102">
        <f aca="true" t="shared" si="19" ref="C53:H53">IF(Insured_State="MI",C52-(C52*C32),C52)</f>
        <v>0</v>
      </c>
      <c r="D53" s="102">
        <f t="shared" si="19"/>
        <v>0</v>
      </c>
      <c r="E53" s="102">
        <f t="shared" si="19"/>
        <v>0</v>
      </c>
      <c r="F53" s="102">
        <f t="shared" si="19"/>
        <v>0</v>
      </c>
      <c r="G53" s="102">
        <f t="shared" si="19"/>
        <v>0</v>
      </c>
      <c r="H53" s="102">
        <f t="shared" si="19"/>
        <v>0</v>
      </c>
      <c r="I53" s="1"/>
    </row>
    <row r="54" spans="1:9" s="102" customFormat="1" ht="12.75">
      <c r="A54" s="106"/>
      <c r="B54" s="102" t="s">
        <v>1257</v>
      </c>
      <c r="C54" s="102">
        <f aca="true" t="shared" si="20" ref="C54:H54">C53*Policy_Period_Factor</f>
        <v>0</v>
      </c>
      <c r="D54" s="102">
        <f t="shared" si="20"/>
        <v>0</v>
      </c>
      <c r="E54" s="102">
        <f t="shared" si="20"/>
        <v>0</v>
      </c>
      <c r="F54" s="102">
        <f t="shared" si="20"/>
        <v>0</v>
      </c>
      <c r="G54" s="102">
        <f t="shared" si="20"/>
        <v>0</v>
      </c>
      <c r="H54" s="102">
        <f t="shared" si="20"/>
        <v>0</v>
      </c>
      <c r="I54" s="1"/>
    </row>
    <row r="55" spans="1:9" s="102" customFormat="1" ht="12.75">
      <c r="A55" s="106"/>
      <c r="B55" s="102" t="s">
        <v>1258</v>
      </c>
      <c r="C55" s="102">
        <f aca="true" t="shared" si="21" ref="C55:H55">C54-(C54*Fampak_Discount_Factor)</f>
        <v>0</v>
      </c>
      <c r="D55" s="102">
        <f t="shared" si="21"/>
        <v>0</v>
      </c>
      <c r="E55" s="102">
        <f t="shared" si="21"/>
        <v>0</v>
      </c>
      <c r="F55" s="102">
        <f t="shared" si="21"/>
        <v>0</v>
      </c>
      <c r="G55" s="102">
        <f t="shared" si="21"/>
        <v>0</v>
      </c>
      <c r="H55" s="102">
        <f t="shared" si="21"/>
        <v>0</v>
      </c>
      <c r="I55" s="1"/>
    </row>
    <row r="56" spans="1:9" s="102" customFormat="1" ht="12.75">
      <c r="A56" s="106"/>
      <c r="B56" s="112" t="s">
        <v>1259</v>
      </c>
      <c r="C56" s="102">
        <f aca="true" t="shared" si="22" ref="C56:H56">C55-(C55*Prime_Life_Discount_Factor)</f>
        <v>0</v>
      </c>
      <c r="D56" s="102">
        <f t="shared" si="22"/>
        <v>0</v>
      </c>
      <c r="E56" s="102">
        <f t="shared" si="22"/>
        <v>0</v>
      </c>
      <c r="F56" s="102">
        <f t="shared" si="22"/>
        <v>0</v>
      </c>
      <c r="G56" s="102">
        <f t="shared" si="22"/>
        <v>0</v>
      </c>
      <c r="H56" s="102">
        <f t="shared" si="22"/>
        <v>0</v>
      </c>
      <c r="I56" s="1"/>
    </row>
    <row r="57" spans="1:9" s="102" customFormat="1" ht="12.75">
      <c r="A57" s="106"/>
      <c r="B57" s="102" t="s">
        <v>1260</v>
      </c>
      <c r="C57" s="102">
        <f aca="true" t="shared" si="23" ref="C57:H57">IF(Insured_State="PA",C56-(C56*C32),C56)</f>
        <v>0</v>
      </c>
      <c r="D57" s="102">
        <f t="shared" si="23"/>
        <v>0</v>
      </c>
      <c r="E57" s="102">
        <f t="shared" si="23"/>
        <v>0</v>
      </c>
      <c r="F57" s="102">
        <f t="shared" si="23"/>
        <v>0</v>
      </c>
      <c r="G57" s="102">
        <f t="shared" si="23"/>
        <v>0</v>
      </c>
      <c r="H57" s="102">
        <f t="shared" si="23"/>
        <v>0</v>
      </c>
      <c r="I57" s="1"/>
    </row>
    <row r="58" spans="1:9" s="102" customFormat="1" ht="12.75">
      <c r="A58" s="106"/>
      <c r="B58" s="102" t="s">
        <v>1261</v>
      </c>
      <c r="C58" s="102">
        <f aca="true" t="shared" si="24" ref="C58:H58">IF(Insured_State="PA",IF(CSL,1,Tort_Factor_PD),1)</f>
        <v>1</v>
      </c>
      <c r="D58" s="102">
        <f t="shared" si="24"/>
        <v>1</v>
      </c>
      <c r="E58" s="102">
        <f t="shared" si="24"/>
        <v>1</v>
      </c>
      <c r="F58" s="102">
        <f t="shared" si="24"/>
        <v>1</v>
      </c>
      <c r="G58" s="102">
        <f t="shared" si="24"/>
        <v>1</v>
      </c>
      <c r="H58" s="102">
        <f t="shared" si="24"/>
        <v>1</v>
      </c>
      <c r="I58" s="1"/>
    </row>
    <row r="59" spans="1:9" s="102" customFormat="1" ht="12.75">
      <c r="A59" s="106"/>
      <c r="B59" s="102" t="s">
        <v>1262</v>
      </c>
      <c r="C59" s="102">
        <f aca="true" t="shared" si="25" ref="C59:H59">C57*C58</f>
        <v>0</v>
      </c>
      <c r="D59" s="102">
        <f t="shared" si="25"/>
        <v>0</v>
      </c>
      <c r="E59" s="102">
        <f t="shared" si="25"/>
        <v>0</v>
      </c>
      <c r="F59" s="102">
        <f t="shared" si="25"/>
        <v>0</v>
      </c>
      <c r="G59" s="102">
        <f t="shared" si="25"/>
        <v>0</v>
      </c>
      <c r="H59" s="102">
        <f t="shared" si="25"/>
        <v>0</v>
      </c>
      <c r="I59" s="1"/>
    </row>
    <row r="60" spans="1:9" s="102" customFormat="1" ht="12.75">
      <c r="A60" s="106"/>
      <c r="B60" s="112" t="s">
        <v>1263</v>
      </c>
      <c r="C60" s="102">
        <f aca="true" t="shared" si="26" ref="C60:H60">C59-(C59*INDEX(Mass_Merchandise_Factor,,1))</f>
        <v>0</v>
      </c>
      <c r="D60" s="102">
        <f t="shared" si="26"/>
        <v>0</v>
      </c>
      <c r="E60" s="102">
        <f t="shared" si="26"/>
        <v>0</v>
      </c>
      <c r="F60" s="102">
        <f t="shared" si="26"/>
        <v>0</v>
      </c>
      <c r="G60" s="102">
        <f t="shared" si="26"/>
        <v>0</v>
      </c>
      <c r="H60" s="102">
        <f t="shared" si="26"/>
        <v>0</v>
      </c>
      <c r="I60" s="1"/>
    </row>
    <row r="61" spans="1:9" ht="12.75">
      <c r="A61" s="106"/>
      <c r="B61" s="102" t="s">
        <v>1275</v>
      </c>
      <c r="C61" s="102">
        <f aca="true" t="shared" si="27" ref="C61:H61">C60+IF(Michigan_PD_Liability_Buyback="Y",MI_PD_Buyback_Premium,0)</f>
        <v>0</v>
      </c>
      <c r="D61" s="102">
        <f t="shared" si="27"/>
        <v>0</v>
      </c>
      <c r="E61" s="102">
        <f t="shared" si="27"/>
        <v>0</v>
      </c>
      <c r="F61" s="102">
        <f t="shared" si="27"/>
        <v>0</v>
      </c>
      <c r="G61" s="102">
        <f t="shared" si="27"/>
        <v>0</v>
      </c>
      <c r="H61" s="102">
        <f t="shared" si="27"/>
        <v>0</v>
      </c>
      <c r="I61" s="1"/>
    </row>
    <row r="62" spans="1:9" s="102" customFormat="1" ht="12.75">
      <c r="A62" s="106"/>
      <c r="B62" s="112" t="s">
        <v>1264</v>
      </c>
      <c r="C62" s="102">
        <f aca="true" t="shared" si="28" ref="C62:H62">C61-(C61*IN_Standard_Agent_Commission_Factor)</f>
        <v>0</v>
      </c>
      <c r="D62" s="102">
        <f t="shared" si="28"/>
        <v>0</v>
      </c>
      <c r="E62" s="102">
        <f t="shared" si="28"/>
        <v>0</v>
      </c>
      <c r="F62" s="102">
        <f t="shared" si="28"/>
        <v>0</v>
      </c>
      <c r="G62" s="102">
        <f t="shared" si="28"/>
        <v>0</v>
      </c>
      <c r="H62" s="102">
        <f t="shared" si="28"/>
        <v>0</v>
      </c>
      <c r="I62" s="1"/>
    </row>
    <row r="63" spans="1:9" s="102" customFormat="1" ht="12.75">
      <c r="A63" s="106" t="s">
        <v>1265</v>
      </c>
      <c r="B63" s="112" t="s">
        <v>1266</v>
      </c>
      <c r="C63" s="102">
        <f aca="true" t="shared" si="29" ref="C63:H63">C62</f>
        <v>0</v>
      </c>
      <c r="D63" s="102">
        <f t="shared" si="29"/>
        <v>0</v>
      </c>
      <c r="E63" s="102">
        <f t="shared" si="29"/>
        <v>0</v>
      </c>
      <c r="F63" s="102">
        <f t="shared" si="29"/>
        <v>0</v>
      </c>
      <c r="G63" s="102">
        <f t="shared" si="29"/>
        <v>0</v>
      </c>
      <c r="H63" s="102">
        <f t="shared" si="29"/>
        <v>0</v>
      </c>
      <c r="I63" s="1"/>
    </row>
    <row r="64" spans="1:9" s="102" customFormat="1" ht="12.75">
      <c r="A64" s="106"/>
      <c r="B64" s="112"/>
      <c r="I64" s="1"/>
    </row>
    <row r="65" spans="1:9" ht="12.75">
      <c r="A65" s="106"/>
      <c r="B65" s="102" t="s">
        <v>1267</v>
      </c>
      <c r="C65" s="102">
        <f>INDEX(Is_PD_Applicable_For_Vehicle,,1)</f>
        <v>0</v>
      </c>
      <c r="D65" s="102">
        <f>INDEX(Is_PD_Applicable_For_Vehicle,,2)</f>
        <v>0</v>
      </c>
      <c r="E65" s="102">
        <f>INDEX(Is_PD_Applicable_For_Vehicle,,3)</f>
        <v>0</v>
      </c>
      <c r="F65" s="102">
        <f>INDEX(Is_PD_Applicable_For_Vehicle,,4)</f>
        <v>0</v>
      </c>
      <c r="G65" s="102">
        <f>INDEX(Is_PD_Applicable_For_Vehicle,,5)</f>
        <v>0</v>
      </c>
      <c r="H65" s="102">
        <f>INDEX(Is_PD_Applicable_For_Vehicle,,6)</f>
        <v>0</v>
      </c>
      <c r="I65" s="1"/>
    </row>
    <row r="66" spans="1:9" ht="12.75">
      <c r="A66" s="106"/>
      <c r="B66" s="102"/>
      <c r="C66" s="102"/>
      <c r="D66" s="102"/>
      <c r="E66" s="102"/>
      <c r="F66" s="102"/>
      <c r="G66" s="102"/>
      <c r="H66" s="102"/>
      <c r="I66" s="1"/>
    </row>
    <row r="67" spans="2:9" ht="12.75">
      <c r="B67" s="112" t="s">
        <v>1276</v>
      </c>
      <c r="C67" s="112">
        <f aca="true" t="shared" si="30" ref="C67:H67">IF(OR(CSL,ISERROR(C63),C63&lt;=0,C65=0),0,C63)</f>
        <v>0</v>
      </c>
      <c r="D67" s="112">
        <f t="shared" si="30"/>
        <v>0</v>
      </c>
      <c r="E67" s="112">
        <f t="shared" si="30"/>
        <v>0</v>
      </c>
      <c r="F67" s="112">
        <f t="shared" si="30"/>
        <v>0</v>
      </c>
      <c r="G67" s="112">
        <f t="shared" si="30"/>
        <v>0</v>
      </c>
      <c r="H67" s="112">
        <f t="shared" si="30"/>
        <v>0</v>
      </c>
      <c r="I67" t="s">
        <v>1277</v>
      </c>
    </row>
    <row r="68" spans="2:9" s="112" customFormat="1" ht="12.75">
      <c r="B68" s="112" t="s">
        <v>1269</v>
      </c>
      <c r="C68" s="102">
        <f aca="true" t="shared" si="31" ref="C68:H68">IF(AND(Insured_State="AZ",C65&lt;&gt;0),C43,0)</f>
        <v>0</v>
      </c>
      <c r="D68" s="102">
        <f t="shared" si="31"/>
        <v>0</v>
      </c>
      <c r="E68" s="102">
        <f t="shared" si="31"/>
        <v>0</v>
      </c>
      <c r="F68" s="102">
        <f t="shared" si="31"/>
        <v>0</v>
      </c>
      <c r="G68" s="102">
        <f t="shared" si="31"/>
        <v>0</v>
      </c>
      <c r="H68" s="102">
        <f t="shared" si="31"/>
        <v>0</v>
      </c>
      <c r="I68" s="15"/>
    </row>
    <row r="69" spans="1:9" s="112" customFormat="1" ht="12.75">
      <c r="A69" s="106" t="s">
        <v>1270</v>
      </c>
      <c r="B69" s="106" t="s">
        <v>1276</v>
      </c>
      <c r="C69" s="110">
        <f aca="true" t="shared" si="32" ref="C69:H69">IF(ISERROR(C67+C68),0,ROUND(C67+C68,2))</f>
        <v>0</v>
      </c>
      <c r="D69" s="110">
        <f t="shared" si="32"/>
        <v>0</v>
      </c>
      <c r="E69" s="110">
        <f t="shared" si="32"/>
        <v>0</v>
      </c>
      <c r="F69" s="110">
        <f t="shared" si="32"/>
        <v>0</v>
      </c>
      <c r="G69" s="110">
        <f t="shared" si="32"/>
        <v>0</v>
      </c>
      <c r="H69" s="110">
        <f t="shared" si="32"/>
        <v>0</v>
      </c>
      <c r="I69" s="15"/>
    </row>
    <row r="70" spans="1:9" s="112" customFormat="1" ht="12.75">
      <c r="A70" s="106" t="s">
        <v>1270</v>
      </c>
      <c r="B70" s="106" t="s">
        <v>1278</v>
      </c>
      <c r="C70" s="110">
        <f aca="true" t="shared" si="33" ref="C70:H70">IF(OR(Insured_State&lt;&gt;"NC",ISERROR(C67),C65=0),0,ROUND(C67*7.54/100,2))</f>
        <v>0</v>
      </c>
      <c r="D70" s="110">
        <f t="shared" si="33"/>
        <v>0</v>
      </c>
      <c r="E70" s="110">
        <f t="shared" si="33"/>
        <v>0</v>
      </c>
      <c r="F70" s="110">
        <f t="shared" si="33"/>
        <v>0</v>
      </c>
      <c r="G70" s="110">
        <f t="shared" si="33"/>
        <v>0</v>
      </c>
      <c r="H70" s="110">
        <f t="shared" si="33"/>
        <v>0</v>
      </c>
      <c r="I70" s="15"/>
    </row>
  </sheetData>
  <printOptions/>
  <pageMargins left="0.75" right="0.75" top="1" bottom="1" header="0.5" footer="0.5"/>
  <pageSetup horizontalDpi="600" verticalDpi="6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K37"/>
  <sheetViews>
    <sheetView zoomScale="75" zoomScaleNormal="75" workbookViewId="0" topLeftCell="A1">
      <selection activeCell="C37" sqref="C37:H37"/>
    </sheetView>
  </sheetViews>
  <sheetFormatPr defaultColWidth="9.140625" defaultRowHeight="12.75"/>
  <cols>
    <col min="2" max="2" width="19.421875" style="0" customWidth="1"/>
  </cols>
  <sheetData>
    <row r="1" spans="2:5" ht="20.25" customHeight="1">
      <c r="B1" s="115" t="s">
        <v>1279</v>
      </c>
      <c r="C1" s="116"/>
      <c r="D1" s="116"/>
      <c r="E1" s="116"/>
    </row>
    <row r="2" spans="1:8" ht="20.25" customHeight="1">
      <c r="A2" s="103"/>
      <c r="B2" s="105"/>
      <c r="C2" s="103"/>
      <c r="D2" s="103"/>
      <c r="E2" s="103"/>
      <c r="F2" s="102"/>
      <c r="G2" s="102"/>
      <c r="H2" s="102"/>
    </row>
    <row r="3" spans="1:9" ht="12.75">
      <c r="A3" s="106" t="s">
        <v>1206</v>
      </c>
      <c r="B3" s="106" t="s">
        <v>1207</v>
      </c>
      <c r="C3" s="106" t="s">
        <v>428</v>
      </c>
      <c r="D3" s="106" t="s">
        <v>429</v>
      </c>
      <c r="E3" s="106" t="s">
        <v>430</v>
      </c>
      <c r="F3" s="106" t="s">
        <v>431</v>
      </c>
      <c r="G3" s="106" t="s">
        <v>432</v>
      </c>
      <c r="H3" s="106" t="s">
        <v>433</v>
      </c>
      <c r="I3" s="6" t="s">
        <v>229</v>
      </c>
    </row>
    <row r="4" spans="1:9" ht="12.75">
      <c r="A4" s="106" t="s">
        <v>1208</v>
      </c>
      <c r="B4" s="102" t="s">
        <v>1209</v>
      </c>
      <c r="C4" s="102">
        <f>INDEX(PPI_Base_Rate,1,1)</f>
        <v>0</v>
      </c>
      <c r="D4" s="102">
        <f>INDEX(PPI_Base_Rate,1,2)</f>
        <v>0</v>
      </c>
      <c r="E4" s="102">
        <f>INDEX(PPI_Base_Rate,1,3)</f>
        <v>0</v>
      </c>
      <c r="F4" s="102">
        <f>INDEX(PPI_Base_Rate,1,4)</f>
        <v>0</v>
      </c>
      <c r="G4" s="102">
        <f>INDEX(PPI_Base_Rate,1,5)</f>
        <v>0</v>
      </c>
      <c r="H4" s="102">
        <f>INDEX(PPI_Base_Rate,1,6)</f>
        <v>0</v>
      </c>
      <c r="I4" s="1"/>
    </row>
    <row r="5" spans="1:9" s="102" customFormat="1" ht="12.75">
      <c r="A5" s="106"/>
      <c r="I5" s="1"/>
    </row>
    <row r="6" spans="1:9" ht="12.75">
      <c r="A6" s="106"/>
      <c r="B6" s="102"/>
      <c r="C6" s="102"/>
      <c r="D6" s="102"/>
      <c r="E6" s="102"/>
      <c r="F6" s="102"/>
      <c r="G6" s="102"/>
      <c r="H6" s="102"/>
      <c r="I6" s="1"/>
    </row>
    <row r="7" spans="1:9" s="102" customFormat="1" ht="12.75">
      <c r="A7" s="106" t="s">
        <v>1214</v>
      </c>
      <c r="B7" s="107" t="s">
        <v>1213</v>
      </c>
      <c r="C7" s="102">
        <f aca="true" t="shared" si="0" ref="C7:H7">(C4*(IF(Insured_State="NC",Company_Deviation_Factor_NC,Company_Deviation_Factor_PPI))*Tier_Rating_Factor)</f>
        <v>0</v>
      </c>
      <c r="D7" s="102">
        <f t="shared" si="0"/>
        <v>0</v>
      </c>
      <c r="E7" s="102">
        <f t="shared" si="0"/>
        <v>0</v>
      </c>
      <c r="F7" s="102">
        <f t="shared" si="0"/>
        <v>0</v>
      </c>
      <c r="G7" s="102">
        <f t="shared" si="0"/>
        <v>0</v>
      </c>
      <c r="H7" s="102">
        <f t="shared" si="0"/>
        <v>0</v>
      </c>
      <c r="I7" s="1"/>
    </row>
    <row r="8" spans="1:9" s="102" customFormat="1" ht="12.75">
      <c r="A8" s="106"/>
      <c r="B8" s="107"/>
      <c r="I8" s="1"/>
    </row>
    <row r="9" spans="1:63" s="117" customFormat="1" ht="12.75">
      <c r="A9" s="102"/>
      <c r="B9" s="109"/>
      <c r="C9" s="102"/>
      <c r="D9" s="102"/>
      <c r="E9" s="102"/>
      <c r="F9" s="102"/>
      <c r="G9" s="102"/>
      <c r="H9" s="102"/>
      <c r="I9" s="1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</row>
    <row r="10" spans="1:63" ht="12.75">
      <c r="A10" s="106" t="s">
        <v>1222</v>
      </c>
      <c r="B10" s="102" t="s">
        <v>1223</v>
      </c>
      <c r="C10" s="102">
        <f>INDEX(Primary_class_factor_for_BI_and_PD,1,1)</f>
        <v>0</v>
      </c>
      <c r="D10" s="102">
        <f>INDEX(Primary_class_factor_for_BI_and_PD,1,2)</f>
        <v>0</v>
      </c>
      <c r="E10" s="102">
        <f>INDEX(Primary_class_factor_for_BI_and_PD,1,3)</f>
        <v>0</v>
      </c>
      <c r="F10" s="102">
        <f>INDEX(Primary_class_factor_for_BI_and_PD,1,4)</f>
        <v>0</v>
      </c>
      <c r="G10" s="102">
        <f>INDEX(Primary_class_factor_for_BI_and_PD,1,5)</f>
        <v>0</v>
      </c>
      <c r="H10" s="102">
        <f>INDEX(Primary_class_factor_for_BI_and_PD,1,6)</f>
        <v>0</v>
      </c>
      <c r="I10" s="1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</row>
    <row r="11" spans="1:9" ht="12.75">
      <c r="A11" s="102"/>
      <c r="B11" s="102"/>
      <c r="C11" s="102"/>
      <c r="D11" s="102"/>
      <c r="E11" s="102"/>
      <c r="F11" s="102"/>
      <c r="G11" s="102"/>
      <c r="H11" s="102"/>
      <c r="I11" s="1"/>
    </row>
    <row r="12" spans="1:9" ht="12.75">
      <c r="A12" s="106" t="s">
        <v>1280</v>
      </c>
      <c r="B12" s="102" t="s">
        <v>1226</v>
      </c>
      <c r="C12" s="102">
        <f>INDEX(Secondary_class_factor_for_BI_and_PD,1,1)</f>
        <v>0</v>
      </c>
      <c r="D12" s="102">
        <f>INDEX(Secondary_class_factor_for_BI_and_PD,1,2)</f>
        <v>0</v>
      </c>
      <c r="E12" s="102">
        <f>INDEX(Secondary_class_factor_for_BI_and_PD,1,3)</f>
        <v>0</v>
      </c>
      <c r="F12" s="102">
        <f>INDEX(Secondary_class_factor_for_BI_and_PD,1,4)</f>
        <v>0</v>
      </c>
      <c r="G12" s="102">
        <f>INDEX(Secondary_class_factor_for_BI_and_PD,1,5)</f>
        <v>0</v>
      </c>
      <c r="H12" s="102">
        <f>INDEX(Secondary_class_factor_for_BI_and_PD,1,6)</f>
        <v>0</v>
      </c>
      <c r="I12" s="1"/>
    </row>
    <row r="13" spans="1:9" s="102" customFormat="1" ht="12.75">
      <c r="A13" s="106"/>
      <c r="B13" s="102" t="s">
        <v>1228</v>
      </c>
      <c r="C13" s="102">
        <f>INDEX(MI_Secondary_Class_Factor,,1)</f>
        <v>0</v>
      </c>
      <c r="D13" s="102">
        <f>INDEX(MI_Secondary_Class_Factor,,2)</f>
        <v>0</v>
      </c>
      <c r="E13" s="102">
        <f>INDEX(MI_Secondary_Class_Factor,,3)</f>
        <v>0</v>
      </c>
      <c r="F13" s="102">
        <f>INDEX(MI_Secondary_Class_Factor,,4)</f>
        <v>0</v>
      </c>
      <c r="G13" s="102">
        <f>INDEX(MI_Secondary_Class_Factor,,5)</f>
        <v>0</v>
      </c>
      <c r="H13" s="102">
        <f>INDEX(MI_Secondary_Class_Factor,,6)</f>
        <v>0</v>
      </c>
      <c r="I13" s="1"/>
    </row>
    <row r="14" spans="1:9" ht="12.75">
      <c r="A14" s="102"/>
      <c r="B14" s="109"/>
      <c r="C14" s="102"/>
      <c r="D14" s="102"/>
      <c r="E14" s="102"/>
      <c r="F14" s="102"/>
      <c r="G14" s="102"/>
      <c r="H14" s="102"/>
      <c r="I14" s="1"/>
    </row>
    <row r="15" spans="1:9" ht="12.75">
      <c r="A15" s="106" t="s">
        <v>1281</v>
      </c>
      <c r="B15" s="108" t="s">
        <v>1282</v>
      </c>
      <c r="C15" s="102">
        <f aca="true" t="shared" si="1" ref="C15:H15">C10+SUM(C12:C13)</f>
        <v>0</v>
      </c>
      <c r="D15" s="102">
        <f t="shared" si="1"/>
        <v>0</v>
      </c>
      <c r="E15" s="102">
        <f t="shared" si="1"/>
        <v>0</v>
      </c>
      <c r="F15" s="102">
        <f t="shared" si="1"/>
        <v>0</v>
      </c>
      <c r="G15" s="102">
        <f t="shared" si="1"/>
        <v>0</v>
      </c>
      <c r="H15" s="102">
        <f t="shared" si="1"/>
        <v>0</v>
      </c>
      <c r="I15" s="1"/>
    </row>
    <row r="16" spans="1:9" ht="12.75">
      <c r="A16" s="102"/>
      <c r="B16" s="102"/>
      <c r="C16" s="102"/>
      <c r="D16" s="102"/>
      <c r="E16" s="102"/>
      <c r="F16" s="102"/>
      <c r="G16" s="102"/>
      <c r="H16" s="102"/>
      <c r="I16" s="1"/>
    </row>
    <row r="17" spans="1:12" s="117" customFormat="1" ht="12.75">
      <c r="A17" s="106" t="s">
        <v>1283</v>
      </c>
      <c r="B17" s="102" t="s">
        <v>1284</v>
      </c>
      <c r="C17" s="102">
        <f aca="true" t="shared" si="2" ref="C17:H17">C4*C15</f>
        <v>0</v>
      </c>
      <c r="D17" s="102">
        <f t="shared" si="2"/>
        <v>0</v>
      </c>
      <c r="E17" s="102">
        <f t="shared" si="2"/>
        <v>0</v>
      </c>
      <c r="F17" s="102">
        <f t="shared" si="2"/>
        <v>0</v>
      </c>
      <c r="G17" s="102">
        <f t="shared" si="2"/>
        <v>0</v>
      </c>
      <c r="H17" s="102">
        <f t="shared" si="2"/>
        <v>0</v>
      </c>
      <c r="I17" s="1"/>
      <c r="J17" s="47"/>
      <c r="K17" s="47"/>
      <c r="L17" s="47"/>
    </row>
    <row r="18" spans="1:12" s="117" customFormat="1" ht="12.75">
      <c r="A18" s="102"/>
      <c r="B18" s="109"/>
      <c r="C18" s="102"/>
      <c r="D18" s="102"/>
      <c r="E18" s="102"/>
      <c r="F18" s="102"/>
      <c r="G18" s="102"/>
      <c r="H18" s="102"/>
      <c r="I18" s="1"/>
      <c r="J18" s="47"/>
      <c r="K18" s="47"/>
      <c r="L18" s="47"/>
    </row>
    <row r="19" spans="1:12" ht="12.75">
      <c r="A19" s="106" t="s">
        <v>1231</v>
      </c>
      <c r="B19" s="108" t="s">
        <v>830</v>
      </c>
      <c r="C19" s="102">
        <f>INDEX(ABS_Discount_Factor,1,1)</f>
        <v>0</v>
      </c>
      <c r="D19" s="102">
        <f>INDEX(ABS_Discount_Factor,1,2)</f>
        <v>0</v>
      </c>
      <c r="E19" s="102">
        <f>INDEX(ABS_Discount_Factor,1,3)</f>
        <v>0</v>
      </c>
      <c r="F19" s="102">
        <f>INDEX(ABS_Discount_Factor,1,4)</f>
        <v>0</v>
      </c>
      <c r="G19" s="102">
        <f>INDEX(ABS_Discount_Factor,1,5)</f>
        <v>0</v>
      </c>
      <c r="H19" s="102">
        <f>INDEX(ABS_Discount_Factor,1,6)</f>
        <v>0</v>
      </c>
      <c r="I19" s="1"/>
      <c r="J19" s="47"/>
      <c r="K19" s="47"/>
      <c r="L19" s="47"/>
    </row>
    <row r="20" spans="1:12" ht="12.75">
      <c r="A20" s="102"/>
      <c r="B20" s="108" t="s">
        <v>1234</v>
      </c>
      <c r="C20" s="110">
        <f aca="true" t="shared" si="3" ref="C20:H20">C17*C19</f>
        <v>0</v>
      </c>
      <c r="D20" s="110">
        <f t="shared" si="3"/>
        <v>0</v>
      </c>
      <c r="E20" s="110">
        <f t="shared" si="3"/>
        <v>0</v>
      </c>
      <c r="F20" s="110">
        <f t="shared" si="3"/>
        <v>0</v>
      </c>
      <c r="G20" s="110">
        <f t="shared" si="3"/>
        <v>0</v>
      </c>
      <c r="H20" s="110">
        <f t="shared" si="3"/>
        <v>0</v>
      </c>
      <c r="I20" s="1"/>
      <c r="J20" s="47"/>
      <c r="K20" s="47"/>
      <c r="L20" s="47"/>
    </row>
    <row r="21" spans="1:9" ht="12.75">
      <c r="A21" s="102"/>
      <c r="B21" s="108" t="s">
        <v>1235</v>
      </c>
      <c r="C21" s="110">
        <f aca="true" t="shared" si="4" ref="C21:H21">C17-C20</f>
        <v>0</v>
      </c>
      <c r="D21" s="110">
        <f t="shared" si="4"/>
        <v>0</v>
      </c>
      <c r="E21" s="110">
        <f t="shared" si="4"/>
        <v>0</v>
      </c>
      <c r="F21" s="110">
        <f t="shared" si="4"/>
        <v>0</v>
      </c>
      <c r="G21" s="110">
        <f t="shared" si="4"/>
        <v>0</v>
      </c>
      <c r="H21" s="110">
        <f t="shared" si="4"/>
        <v>0</v>
      </c>
      <c r="I21" s="1"/>
    </row>
    <row r="22" spans="1:9" ht="12.75">
      <c r="A22" s="102"/>
      <c r="B22" s="109"/>
      <c r="C22" s="102"/>
      <c r="D22" s="102"/>
      <c r="E22" s="102"/>
      <c r="F22" s="102"/>
      <c r="G22" s="102"/>
      <c r="H22" s="102"/>
      <c r="I22" s="1"/>
    </row>
    <row r="23" spans="1:9" ht="12.75">
      <c r="A23" s="106" t="s">
        <v>1285</v>
      </c>
      <c r="B23" s="102" t="s">
        <v>1251</v>
      </c>
      <c r="C23" s="110">
        <f aca="true" t="shared" si="5" ref="C23:H23">C21</f>
        <v>0</v>
      </c>
      <c r="D23" s="110">
        <f t="shared" si="5"/>
        <v>0</v>
      </c>
      <c r="E23" s="110">
        <f t="shared" si="5"/>
        <v>0</v>
      </c>
      <c r="F23" s="110">
        <f t="shared" si="5"/>
        <v>0</v>
      </c>
      <c r="G23" s="110">
        <f t="shared" si="5"/>
        <v>0</v>
      </c>
      <c r="H23" s="110">
        <f t="shared" si="5"/>
        <v>0</v>
      </c>
      <c r="I23" s="1"/>
    </row>
    <row r="24" spans="1:9" ht="12.75">
      <c r="A24" s="106"/>
      <c r="B24" s="102"/>
      <c r="C24" s="110"/>
      <c r="D24" s="110"/>
      <c r="E24" s="110"/>
      <c r="F24" s="110"/>
      <c r="G24" s="110"/>
      <c r="H24" s="110"/>
      <c r="I24" s="1"/>
    </row>
    <row r="25" spans="1:9" ht="12.75">
      <c r="A25" s="106"/>
      <c r="B25" s="108" t="s">
        <v>1286</v>
      </c>
      <c r="C25" s="111">
        <f>C23-(C23*INDEX(Minivan_Discount_Factor,,1))</f>
        <v>0</v>
      </c>
      <c r="D25" s="111">
        <f>D23-(D23*INDEX(Minivan_Discount_Factor,,2))</f>
        <v>0</v>
      </c>
      <c r="E25" s="111">
        <f>E23-(E23*INDEX(Minivan_Discount_Factor,,3))</f>
        <v>0</v>
      </c>
      <c r="F25" s="111">
        <f>F23-(F23*INDEX(Minivan_Discount_Factor,,4))</f>
        <v>0</v>
      </c>
      <c r="G25" s="111">
        <f>G23-(G23*INDEX(Minivan_Discount_Factor,,5))</f>
        <v>0</v>
      </c>
      <c r="H25" s="111">
        <f>H23-(H23*INDEX(Minivan_Discount_Factor,,6))</f>
        <v>0</v>
      </c>
      <c r="I25" s="1"/>
    </row>
    <row r="26" spans="1:9" ht="12.75">
      <c r="A26" s="102"/>
      <c r="B26" s="108" t="s">
        <v>1245</v>
      </c>
      <c r="C26" s="110">
        <f>C25*INDEX(MI_High_Performance_Factor,,1)</f>
        <v>0</v>
      </c>
      <c r="D26" s="110">
        <f>D25*INDEX(MI_High_Performance_Factor,,2)</f>
        <v>0</v>
      </c>
      <c r="E26" s="110">
        <f>E25*INDEX(MI_High_Performance_Factor,,3)</f>
        <v>0</v>
      </c>
      <c r="F26" s="110">
        <f>F25*INDEX(MI_High_Performance_Factor,,4)</f>
        <v>0</v>
      </c>
      <c r="G26" s="110">
        <f>G25*INDEX(MI_High_Performance_Factor,,5)</f>
        <v>0</v>
      </c>
      <c r="H26" s="110">
        <f>H25*INDEX(MI_High_Performance_Factor,,6)</f>
        <v>0</v>
      </c>
      <c r="I26" s="1"/>
    </row>
    <row r="27" spans="1:9" ht="12.75">
      <c r="A27" s="106"/>
      <c r="B27" s="108" t="s">
        <v>1256</v>
      </c>
      <c r="C27" s="111">
        <f aca="true" t="shared" si="6" ref="C27:H27">C26-(C26*INDEX(Accident_Prevention_Discount_Factor,,1))</f>
        <v>0</v>
      </c>
      <c r="D27" s="111">
        <f t="shared" si="6"/>
        <v>0</v>
      </c>
      <c r="E27" s="111">
        <f t="shared" si="6"/>
        <v>0</v>
      </c>
      <c r="F27" s="111">
        <f t="shared" si="6"/>
        <v>0</v>
      </c>
      <c r="G27" s="111">
        <f t="shared" si="6"/>
        <v>0</v>
      </c>
      <c r="H27" s="111">
        <f t="shared" si="6"/>
        <v>0</v>
      </c>
      <c r="I27" s="1"/>
    </row>
    <row r="28" spans="1:9" s="102" customFormat="1" ht="12.75">
      <c r="A28" s="106"/>
      <c r="B28" s="102" t="s">
        <v>1257</v>
      </c>
      <c r="C28" s="102">
        <f aca="true" t="shared" si="7" ref="C28:H28">C27*Policy_Period_Factor</f>
        <v>0</v>
      </c>
      <c r="D28" s="102">
        <f t="shared" si="7"/>
        <v>0</v>
      </c>
      <c r="E28" s="102">
        <f t="shared" si="7"/>
        <v>0</v>
      </c>
      <c r="F28" s="102">
        <f t="shared" si="7"/>
        <v>0</v>
      </c>
      <c r="G28" s="102">
        <f t="shared" si="7"/>
        <v>0</v>
      </c>
      <c r="H28" s="102">
        <f t="shared" si="7"/>
        <v>0</v>
      </c>
      <c r="I28" s="1"/>
    </row>
    <row r="29" spans="1:9" ht="12.75">
      <c r="A29" s="106"/>
      <c r="B29" s="102"/>
      <c r="C29" s="102"/>
      <c r="D29" s="102"/>
      <c r="E29" s="102"/>
      <c r="F29" s="102"/>
      <c r="G29" s="102"/>
      <c r="H29" s="102"/>
      <c r="I29" s="1"/>
    </row>
    <row r="30" spans="1:9" s="102" customFormat="1" ht="12.75">
      <c r="A30" s="106" t="s">
        <v>1238</v>
      </c>
      <c r="B30" s="102" t="s">
        <v>1258</v>
      </c>
      <c r="C30" s="102">
        <f aca="true" t="shared" si="8" ref="C30:H30">C28-(C28*Fampak_Discount_Factor)</f>
        <v>0</v>
      </c>
      <c r="D30" s="102">
        <f t="shared" si="8"/>
        <v>0</v>
      </c>
      <c r="E30" s="102">
        <f t="shared" si="8"/>
        <v>0</v>
      </c>
      <c r="F30" s="102">
        <f t="shared" si="8"/>
        <v>0</v>
      </c>
      <c r="G30" s="102">
        <f t="shared" si="8"/>
        <v>0</v>
      </c>
      <c r="H30" s="102">
        <f t="shared" si="8"/>
        <v>0</v>
      </c>
      <c r="I30" s="1"/>
    </row>
    <row r="31" spans="1:9" s="102" customFormat="1" ht="12.75">
      <c r="A31" s="106" t="s">
        <v>1243</v>
      </c>
      <c r="B31" s="112" t="s">
        <v>1259</v>
      </c>
      <c r="C31" s="102">
        <f aca="true" t="shared" si="9" ref="C31:H31">C30-(C30*Prime_Life_Discount_Factor)</f>
        <v>0</v>
      </c>
      <c r="D31" s="102">
        <f t="shared" si="9"/>
        <v>0</v>
      </c>
      <c r="E31" s="102">
        <f t="shared" si="9"/>
        <v>0</v>
      </c>
      <c r="F31" s="102">
        <f t="shared" si="9"/>
        <v>0</v>
      </c>
      <c r="G31" s="102">
        <f t="shared" si="9"/>
        <v>0</v>
      </c>
      <c r="H31" s="102">
        <f t="shared" si="9"/>
        <v>0</v>
      </c>
      <c r="I31" s="1"/>
    </row>
    <row r="32" spans="1:9" s="102" customFormat="1" ht="12.75">
      <c r="A32" s="106"/>
      <c r="B32" s="112" t="s">
        <v>1263</v>
      </c>
      <c r="C32" s="102">
        <f aca="true" t="shared" si="10" ref="C32:H32">C31-(C31*INDEX(Mass_Merchandise_Factor,,1))</f>
        <v>0</v>
      </c>
      <c r="D32" s="102">
        <f t="shared" si="10"/>
        <v>0</v>
      </c>
      <c r="E32" s="102">
        <f t="shared" si="10"/>
        <v>0</v>
      </c>
      <c r="F32" s="102">
        <f t="shared" si="10"/>
        <v>0</v>
      </c>
      <c r="G32" s="102">
        <f t="shared" si="10"/>
        <v>0</v>
      </c>
      <c r="H32" s="102">
        <f t="shared" si="10"/>
        <v>0</v>
      </c>
      <c r="I32" s="1"/>
    </row>
    <row r="33" spans="1:9" s="102" customFormat="1" ht="12.75">
      <c r="A33" s="106" t="s">
        <v>1247</v>
      </c>
      <c r="B33" s="112" t="s">
        <v>1266</v>
      </c>
      <c r="C33" s="110">
        <f aca="true" t="shared" si="11" ref="C33:H33">C31</f>
        <v>0</v>
      </c>
      <c r="D33" s="110">
        <f t="shared" si="11"/>
        <v>0</v>
      </c>
      <c r="E33" s="110">
        <f t="shared" si="11"/>
        <v>0</v>
      </c>
      <c r="F33" s="110">
        <f t="shared" si="11"/>
        <v>0</v>
      </c>
      <c r="G33" s="110">
        <f t="shared" si="11"/>
        <v>0</v>
      </c>
      <c r="H33" s="110">
        <f t="shared" si="11"/>
        <v>0</v>
      </c>
      <c r="I33" s="1"/>
    </row>
    <row r="34" spans="1:9" s="102" customFormat="1" ht="12.75">
      <c r="A34" s="106"/>
      <c r="B34" s="112"/>
      <c r="I34" s="1"/>
    </row>
    <row r="35" spans="1:9" ht="12.75">
      <c r="A35" s="106"/>
      <c r="B35" s="102" t="s">
        <v>1267</v>
      </c>
      <c r="C35" s="102">
        <f aca="true" t="shared" si="12" ref="C35:H35">IF(AND(Insured_State="MI",MI_Property_Protection_Coverage_Indicator),1,0)</f>
        <v>0</v>
      </c>
      <c r="D35" s="102">
        <f t="shared" si="12"/>
        <v>0</v>
      </c>
      <c r="E35" s="102">
        <f t="shared" si="12"/>
        <v>0</v>
      </c>
      <c r="F35" s="102">
        <f t="shared" si="12"/>
        <v>0</v>
      </c>
      <c r="G35" s="102">
        <f t="shared" si="12"/>
        <v>0</v>
      </c>
      <c r="H35" s="102">
        <f t="shared" si="12"/>
        <v>0</v>
      </c>
      <c r="I35" s="1"/>
    </row>
    <row r="36" spans="1:9" ht="12.75">
      <c r="A36" s="106"/>
      <c r="B36" s="102"/>
      <c r="C36" s="102"/>
      <c r="D36" s="102"/>
      <c r="E36" s="102"/>
      <c r="F36" s="102"/>
      <c r="G36" s="102"/>
      <c r="H36" s="102"/>
      <c r="I36" s="1"/>
    </row>
    <row r="37" spans="1:9" s="118" customFormat="1" ht="12.75">
      <c r="A37" s="118" t="s">
        <v>1270</v>
      </c>
      <c r="B37" s="119" t="s">
        <v>1287</v>
      </c>
      <c r="C37" s="119">
        <f aca="true" t="shared" si="13" ref="C37:H37">IF(OR(ISERROR(C33),C33&lt;=0,C35=0),0,ROUND(C33,2))</f>
        <v>0</v>
      </c>
      <c r="D37" s="119">
        <f t="shared" si="13"/>
        <v>0</v>
      </c>
      <c r="E37" s="119">
        <f t="shared" si="13"/>
        <v>0</v>
      </c>
      <c r="F37" s="119">
        <f t="shared" si="13"/>
        <v>0</v>
      </c>
      <c r="G37" s="119">
        <f t="shared" si="13"/>
        <v>0</v>
      </c>
      <c r="H37" s="119">
        <f t="shared" si="13"/>
        <v>0</v>
      </c>
      <c r="I37" s="120"/>
    </row>
  </sheetData>
  <printOptions/>
  <pageMargins left="0.75" right="0.75" top="1" bottom="1" header="0.5" footer="0.5"/>
  <pageSetup horizontalDpi="600" verticalDpi="6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BK128"/>
  <sheetViews>
    <sheetView zoomScale="75" zoomScaleNormal="75" workbookViewId="0" topLeftCell="A16">
      <selection activeCell="C32" sqref="C32:H32"/>
    </sheetView>
  </sheetViews>
  <sheetFormatPr defaultColWidth="9.140625" defaultRowHeight="12.75"/>
  <cols>
    <col min="1" max="1" width="9.28125" style="0" customWidth="1"/>
    <col min="2" max="2" width="35.00390625" style="0" bestFit="1" customWidth="1"/>
    <col min="3" max="8" width="9.421875" style="0" bestFit="1" customWidth="1"/>
    <col min="9" max="9" width="33.00390625" style="0" customWidth="1"/>
  </cols>
  <sheetData>
    <row r="1" spans="2:5" ht="20.25" customHeight="1">
      <c r="B1" s="114" t="s">
        <v>303</v>
      </c>
      <c r="C1" s="116"/>
      <c r="D1" s="116"/>
      <c r="E1" s="116"/>
    </row>
    <row r="2" spans="1:8" ht="20.25" customHeight="1">
      <c r="A2" s="103"/>
      <c r="B2" s="105"/>
      <c r="C2" s="103"/>
      <c r="D2" s="103"/>
      <c r="E2" s="103"/>
      <c r="F2" s="102"/>
      <c r="G2" s="102"/>
      <c r="H2" s="102"/>
    </row>
    <row r="3" spans="1:9" ht="12.75">
      <c r="A3" s="106" t="s">
        <v>1206</v>
      </c>
      <c r="B3" s="106" t="s">
        <v>1207</v>
      </c>
      <c r="C3" s="106" t="s">
        <v>428</v>
      </c>
      <c r="D3" s="106" t="s">
        <v>429</v>
      </c>
      <c r="E3" s="106" t="s">
        <v>430</v>
      </c>
      <c r="F3" s="106" t="s">
        <v>431</v>
      </c>
      <c r="G3" s="106" t="s">
        <v>432</v>
      </c>
      <c r="H3" s="106" t="s">
        <v>433</v>
      </c>
      <c r="I3" s="6" t="s">
        <v>229</v>
      </c>
    </row>
    <row r="4" spans="1:9" ht="12.75">
      <c r="A4" s="106" t="s">
        <v>1208</v>
      </c>
      <c r="B4" s="102" t="s">
        <v>1209</v>
      </c>
      <c r="C4" s="102">
        <f>IF(PIP,INDEX(PIP_Base_Rate,,1),0)</f>
        <v>0</v>
      </c>
      <c r="D4" s="102">
        <f>IF(PIP,INDEX(PIP_Base_Rate,,2),0)</f>
        <v>0</v>
      </c>
      <c r="E4" s="102">
        <f>IF(PIP,INDEX(PIP_Base_Rate,,3),0)</f>
        <v>0</v>
      </c>
      <c r="F4" s="102">
        <f>IF(PIP,INDEX(PIP_Base_Rate,,4),0)</f>
        <v>0</v>
      </c>
      <c r="G4" s="102">
        <f>IF(PIP,INDEX(PIP_Base_Rate,,5),0)</f>
        <v>0</v>
      </c>
      <c r="H4" s="102">
        <f>IF(PIP,INDEX(PIP_Base_Rate,,6),0)</f>
        <v>0</v>
      </c>
      <c r="I4" s="1"/>
    </row>
    <row r="5" spans="1:9" ht="12.75">
      <c r="A5" s="106"/>
      <c r="B5" s="102" t="s">
        <v>1288</v>
      </c>
      <c r="C5" s="102">
        <f>C4*INDEX(Coordination_Benefits_Factor,,1)</f>
        <v>0</v>
      </c>
      <c r="D5" s="102">
        <f>D4*INDEX(Coordination_Benefits_Factor,,2)</f>
        <v>0</v>
      </c>
      <c r="E5" s="102">
        <f>E4*INDEX(Coordination_Benefits_Factor,,3)</f>
        <v>0</v>
      </c>
      <c r="F5" s="102">
        <f>F4*INDEX(Coordination_Benefits_Factor,,4)</f>
        <v>0</v>
      </c>
      <c r="G5" s="102">
        <f>G4*INDEX(Coordination_Benefits_Factor,,5)</f>
        <v>0</v>
      </c>
      <c r="H5" s="102">
        <f>H4*INDEX(Coordination_Benefits_Factor,,6)</f>
        <v>0</v>
      </c>
      <c r="I5" s="1" t="s">
        <v>387</v>
      </c>
    </row>
    <row r="6" spans="1:9" s="102" customFormat="1" ht="12.75">
      <c r="A6" s="106"/>
      <c r="B6" s="102" t="s">
        <v>1289</v>
      </c>
      <c r="C6" s="102">
        <f aca="true" t="shared" si="0" ref="C6:H6">IF(KY_Guest_PIP_Coverage="Y",C4*KY_Guest_PIP_Factor,0)</f>
        <v>0</v>
      </c>
      <c r="D6" s="102">
        <f t="shared" si="0"/>
        <v>0</v>
      </c>
      <c r="E6" s="102">
        <f t="shared" si="0"/>
        <v>0</v>
      </c>
      <c r="F6" s="102">
        <f t="shared" si="0"/>
        <v>0</v>
      </c>
      <c r="G6" s="102">
        <f t="shared" si="0"/>
        <v>0</v>
      </c>
      <c r="H6" s="102">
        <f t="shared" si="0"/>
        <v>0</v>
      </c>
      <c r="I6" s="1" t="s">
        <v>1290</v>
      </c>
    </row>
    <row r="7" spans="1:9" ht="12.75">
      <c r="A7" s="106"/>
      <c r="B7" s="102" t="s">
        <v>1291</v>
      </c>
      <c r="C7" s="102">
        <f>IF(Insured_State="IL",INDEX(Additional_PIP_Factor,,1),0)</f>
        <v>0</v>
      </c>
      <c r="D7" s="102">
        <f>IF(Insured_State="IL",INDEX(Additional_PIP_Factor,,2),0)</f>
        <v>0</v>
      </c>
      <c r="E7" s="102">
        <f>IF(Insured_State="IL",INDEX(Additional_PIP_Factor,,3),0)</f>
        <v>0</v>
      </c>
      <c r="F7" s="102">
        <f>IF(Insured_State="IL",INDEX(Additional_PIP_Factor,,4),0)</f>
        <v>0</v>
      </c>
      <c r="G7" s="102">
        <f>IF(Insured_State="IL",INDEX(Additional_PIP_Factor,,5),0)</f>
        <v>0</v>
      </c>
      <c r="H7" s="102">
        <f>IF(Insured_State="IL",INDEX(Additional_PIP_Factor,,6),0)</f>
        <v>0</v>
      </c>
      <c r="I7" s="1" t="s">
        <v>1292</v>
      </c>
    </row>
    <row r="8" spans="1:9" s="102" customFormat="1" ht="12.75">
      <c r="A8" s="106"/>
      <c r="B8" s="102" t="s">
        <v>1211</v>
      </c>
      <c r="C8" s="102">
        <f aca="true" t="shared" si="1" ref="C8:H8">SUM(C6:C7)+IF(C5,C5,C4)</f>
        <v>0</v>
      </c>
      <c r="D8" s="102">
        <f t="shared" si="1"/>
        <v>0</v>
      </c>
      <c r="E8" s="102">
        <f t="shared" si="1"/>
        <v>0</v>
      </c>
      <c r="F8" s="102">
        <f t="shared" si="1"/>
        <v>0</v>
      </c>
      <c r="G8" s="102">
        <f t="shared" si="1"/>
        <v>0</v>
      </c>
      <c r="H8" s="102">
        <f t="shared" si="1"/>
        <v>0</v>
      </c>
      <c r="I8" s="1"/>
    </row>
    <row r="9" spans="1:9" s="102" customFormat="1" ht="12.75">
      <c r="A9" s="106"/>
      <c r="B9" s="107"/>
      <c r="I9" s="1"/>
    </row>
    <row r="10" spans="1:9" s="102" customFormat="1" ht="12.75">
      <c r="A10" s="106" t="s">
        <v>1212</v>
      </c>
      <c r="B10" s="107" t="s">
        <v>1293</v>
      </c>
      <c r="C10" s="102">
        <f>INDEX(PIP_Deductible_Copay_Factor,,1)</f>
        <v>0</v>
      </c>
      <c r="D10" s="102">
        <f>INDEX(PIP_Deductible_Copay_Factor,,2)</f>
        <v>0</v>
      </c>
      <c r="E10" s="102">
        <f>INDEX(PIP_Deductible_Copay_Factor,,3)</f>
        <v>0</v>
      </c>
      <c r="F10" s="102">
        <f>INDEX(PIP_Deductible_Copay_Factor,,4)</f>
        <v>0</v>
      </c>
      <c r="G10" s="102">
        <f>INDEX(PIP_Deductible_Copay_Factor,,5)</f>
        <v>0</v>
      </c>
      <c r="H10" s="102">
        <f>INDEX(PIP_Deductible_Copay_Factor,,6)</f>
        <v>0</v>
      </c>
      <c r="I10" s="1"/>
    </row>
    <row r="11" spans="1:9" s="102" customFormat="1" ht="12.75">
      <c r="A11" s="106"/>
      <c r="B11" s="107" t="s">
        <v>1294</v>
      </c>
      <c r="C11" s="102">
        <f aca="true" t="shared" si="2" ref="C11:H11">IF(C10&gt;0,C8*C10,C8)</f>
        <v>0</v>
      </c>
      <c r="D11" s="102">
        <f t="shared" si="2"/>
        <v>0</v>
      </c>
      <c r="E11" s="102">
        <f t="shared" si="2"/>
        <v>0</v>
      </c>
      <c r="F11" s="102">
        <f t="shared" si="2"/>
        <v>0</v>
      </c>
      <c r="G11" s="102">
        <f t="shared" si="2"/>
        <v>0</v>
      </c>
      <c r="H11" s="102">
        <f t="shared" si="2"/>
        <v>0</v>
      </c>
      <c r="I11" s="1"/>
    </row>
    <row r="12" spans="1:9" s="102" customFormat="1" ht="12.75">
      <c r="A12" s="106"/>
      <c r="B12" s="107" t="s">
        <v>1295</v>
      </c>
      <c r="C12" s="102">
        <f>IF(AND(PIP,Reject_Income_Loss="Y"),INDEX(Reject_Income_Loss_Factor,,1),0)*IF(Insured_State="MI",PIP_Number_of_Individuals,1)</f>
        <v>0</v>
      </c>
      <c r="D12" s="102">
        <f>IF(AND(PIP,Reject_Income_Loss="Y"),INDEX(Reject_Income_Loss_Factor,,2),0)*IF(Insured_State="MI",PIP_Number_of_Individuals,1)</f>
        <v>0</v>
      </c>
      <c r="E12" s="102">
        <f>IF(AND(PIP,Reject_Income_Loss="Y"),INDEX(Reject_Income_Loss_Factor,,3),0)*IF(Insured_State="MI",PIP_Number_of_Individuals,1)</f>
        <v>0</v>
      </c>
      <c r="F12" s="102">
        <f>IF(AND(PIP,Reject_Income_Loss="Y"),INDEX(Reject_Income_Loss_Factor,,4),0)*IF(Insured_State="MI",PIP_Number_of_Individuals,1)</f>
        <v>0</v>
      </c>
      <c r="G12" s="102">
        <f>IF(AND(PIP,Reject_Income_Loss="Y"),INDEX(Reject_Income_Loss_Factor,,5),0)*IF(Insured_State="MI",PIP_Number_of_Individuals,1)</f>
        <v>0</v>
      </c>
      <c r="H12" s="102">
        <f>IF(AND(PIP,Reject_Income_Loss="Y"),INDEX(Reject_Income_Loss_Factor,,6),0)*IF(Insured_State="MI",PIP_Number_of_Individuals,1)</f>
        <v>0</v>
      </c>
      <c r="I12" s="1"/>
    </row>
    <row r="13" spans="1:9" s="102" customFormat="1" ht="12.75">
      <c r="A13" s="106"/>
      <c r="B13" s="107" t="s">
        <v>1296</v>
      </c>
      <c r="C13" s="102">
        <f aca="true" t="shared" si="3" ref="C13:H13">IF(C12&gt;0,C11*C12,C11)</f>
        <v>0</v>
      </c>
      <c r="D13" s="102">
        <f t="shared" si="3"/>
        <v>0</v>
      </c>
      <c r="E13" s="102">
        <f t="shared" si="3"/>
        <v>0</v>
      </c>
      <c r="F13" s="102">
        <f t="shared" si="3"/>
        <v>0</v>
      </c>
      <c r="G13" s="102">
        <f t="shared" si="3"/>
        <v>0</v>
      </c>
      <c r="H13" s="102">
        <f t="shared" si="3"/>
        <v>0</v>
      </c>
      <c r="I13" s="1"/>
    </row>
    <row r="14" spans="1:9" s="102" customFormat="1" ht="12.75">
      <c r="A14" s="106"/>
      <c r="B14" s="107" t="s">
        <v>1297</v>
      </c>
      <c r="C14" s="102">
        <f>IF(Insured_State="MD",INDEX(Additional_PIP_Factor,,1),0)</f>
        <v>0</v>
      </c>
      <c r="D14" s="102">
        <f>IF(Insured_State="MD",INDEX(Additional_PIP_Factor,,2),0)</f>
        <v>0</v>
      </c>
      <c r="E14" s="102">
        <f>IF(Insured_State="MD",INDEX(Additional_PIP_Factor,,3),0)</f>
        <v>0</v>
      </c>
      <c r="F14" s="102">
        <f>IF(Insured_State="MD",INDEX(Additional_PIP_Factor,,4),0)</f>
        <v>0</v>
      </c>
      <c r="G14" s="102">
        <f>IF(Insured_State="MD",INDEX(Additional_PIP_Factor,,5),0)</f>
        <v>0</v>
      </c>
      <c r="H14" s="102">
        <f>IF(Insured_State="MD",INDEX(Additional_PIP_Factor,,6),0)</f>
        <v>0</v>
      </c>
      <c r="I14" s="1" t="s">
        <v>1298</v>
      </c>
    </row>
    <row r="15" spans="1:9" s="102" customFormat="1" ht="12.75">
      <c r="A15" s="106"/>
      <c r="B15" s="107" t="s">
        <v>1299</v>
      </c>
      <c r="C15" s="102">
        <f aca="true" t="shared" si="4" ref="C15:H15">(C13-C13*C14)</f>
        <v>0</v>
      </c>
      <c r="D15" s="102">
        <f t="shared" si="4"/>
        <v>0</v>
      </c>
      <c r="E15" s="102">
        <f t="shared" si="4"/>
        <v>0</v>
      </c>
      <c r="F15" s="102">
        <f t="shared" si="4"/>
        <v>0</v>
      </c>
      <c r="G15" s="102">
        <f t="shared" si="4"/>
        <v>0</v>
      </c>
      <c r="H15" s="102">
        <f t="shared" si="4"/>
        <v>0</v>
      </c>
      <c r="I15" s="1"/>
    </row>
    <row r="16" spans="1:9" s="102" customFormat="1" ht="12.75">
      <c r="A16" s="106"/>
      <c r="B16" s="107"/>
      <c r="I16" s="1"/>
    </row>
    <row r="17" spans="1:63" s="117" customFormat="1" ht="12.75">
      <c r="A17" s="102"/>
      <c r="B17" s="108" t="s">
        <v>1219</v>
      </c>
      <c r="C17" s="102">
        <f aca="true" t="shared" si="5" ref="C17:H17">C15</f>
        <v>0</v>
      </c>
      <c r="D17" s="102">
        <f t="shared" si="5"/>
        <v>0</v>
      </c>
      <c r="E17" s="102">
        <f t="shared" si="5"/>
        <v>0</v>
      </c>
      <c r="F17" s="102">
        <f t="shared" si="5"/>
        <v>0</v>
      </c>
      <c r="G17" s="102">
        <f t="shared" si="5"/>
        <v>0</v>
      </c>
      <c r="H17" s="102">
        <f t="shared" si="5"/>
        <v>0</v>
      </c>
      <c r="I17" s="1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</row>
    <row r="18" spans="1:63" s="117" customFormat="1" ht="12.75">
      <c r="A18" s="102"/>
      <c r="B18" s="109"/>
      <c r="C18" s="102"/>
      <c r="D18" s="102"/>
      <c r="E18" s="102"/>
      <c r="F18" s="102"/>
      <c r="G18" s="102"/>
      <c r="H18" s="102"/>
      <c r="I18" s="1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</row>
    <row r="19" spans="1:9" s="102" customFormat="1" ht="12.75">
      <c r="A19" s="106" t="s">
        <v>1300</v>
      </c>
      <c r="B19" s="107" t="s">
        <v>1213</v>
      </c>
      <c r="C19" s="102">
        <f aca="true" t="shared" si="6" ref="C19:H19">(C17*Company_Deviation_Factor_PIP*Tier_Rating_Factor)</f>
        <v>0</v>
      </c>
      <c r="D19" s="102">
        <f t="shared" si="6"/>
        <v>0</v>
      </c>
      <c r="E19" s="102">
        <f t="shared" si="6"/>
        <v>0</v>
      </c>
      <c r="F19" s="102">
        <f t="shared" si="6"/>
        <v>0</v>
      </c>
      <c r="G19" s="102">
        <f t="shared" si="6"/>
        <v>0</v>
      </c>
      <c r="H19" s="102">
        <f t="shared" si="6"/>
        <v>0</v>
      </c>
      <c r="I19" s="1"/>
    </row>
    <row r="20" spans="1:9" s="102" customFormat="1" ht="12.75">
      <c r="A20" s="106"/>
      <c r="B20" s="107"/>
      <c r="I20" s="1"/>
    </row>
    <row r="21" spans="1:63" ht="12.75">
      <c r="A21" s="106" t="s">
        <v>1222</v>
      </c>
      <c r="B21" s="102" t="s">
        <v>1223</v>
      </c>
      <c r="C21" s="102">
        <f>INDEX(Primary_class_factor_for_BI_and_PD,1,1)</f>
        <v>0</v>
      </c>
      <c r="D21" s="102">
        <f>INDEX(Primary_class_factor_for_BI_and_PD,1,2)</f>
        <v>0</v>
      </c>
      <c r="E21" s="102">
        <f>INDEX(Primary_class_factor_for_BI_and_PD,1,3)</f>
        <v>0</v>
      </c>
      <c r="F21" s="102">
        <f>INDEX(Primary_class_factor_for_BI_and_PD,1,4)</f>
        <v>0</v>
      </c>
      <c r="G21" s="102">
        <f>INDEX(Primary_class_factor_for_BI_and_PD,1,5)</f>
        <v>0</v>
      </c>
      <c r="H21" s="102">
        <f>INDEX(Primary_class_factor_for_BI_and_PD,1,6)</f>
        <v>0</v>
      </c>
      <c r="I21" s="1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</row>
    <row r="22" spans="1:9" s="102" customFormat="1" ht="12.75">
      <c r="A22" s="106"/>
      <c r="B22" s="102" t="s">
        <v>1301</v>
      </c>
      <c r="C22" s="102">
        <f>IF(PIP,INDEX(MI_PIP_Special_Factor,,1),0)</f>
        <v>0</v>
      </c>
      <c r="D22" s="102">
        <f>IF(PIP,INDEX(MI_PIP_Special_Factor,,2),0)</f>
        <v>0</v>
      </c>
      <c r="E22" s="102">
        <f>IF(PIP,INDEX(MI_PIP_Special_Factor,,3),0)</f>
        <v>0</v>
      </c>
      <c r="F22" s="102">
        <f>IF(PIP,INDEX(MI_PIP_Special_Factor,,4),0)</f>
        <v>0</v>
      </c>
      <c r="G22" s="102">
        <f>IF(PIP,INDEX(MI_PIP_Special_Factor,,5),0)</f>
        <v>0</v>
      </c>
      <c r="H22" s="102">
        <f>IF(PIP,INDEX(MI_PIP_Special_Factor,,6),0)</f>
        <v>0</v>
      </c>
      <c r="I22" s="1"/>
    </row>
    <row r="23" spans="1:9" ht="12.75">
      <c r="A23" s="102"/>
      <c r="B23" s="102"/>
      <c r="C23" s="102"/>
      <c r="D23" s="102"/>
      <c r="E23" s="102"/>
      <c r="F23" s="102"/>
      <c r="G23" s="102"/>
      <c r="H23" s="102"/>
      <c r="I23" s="1"/>
    </row>
    <row r="24" spans="1:9" ht="12.75">
      <c r="A24" s="106" t="s">
        <v>1225</v>
      </c>
      <c r="B24" s="102" t="s">
        <v>1226</v>
      </c>
      <c r="C24" s="102">
        <f>INDEX(Secondary_class_factor_for_BI_and_PD,1,1)</f>
        <v>0</v>
      </c>
      <c r="D24" s="102">
        <f>INDEX(Secondary_class_factor_for_BI_and_PD,1,2)</f>
        <v>0</v>
      </c>
      <c r="E24" s="102">
        <f>INDEX(Secondary_class_factor_for_BI_and_PD,1,3)</f>
        <v>0</v>
      </c>
      <c r="F24" s="102">
        <f>INDEX(Secondary_class_factor_for_BI_and_PD,1,4)</f>
        <v>0</v>
      </c>
      <c r="G24" s="102">
        <f>INDEX(Secondary_class_factor_for_BI_and_PD,1,5)</f>
        <v>0</v>
      </c>
      <c r="H24" s="102">
        <f>INDEX(Secondary_class_factor_for_BI_and_PD,1,6)</f>
        <v>0</v>
      </c>
      <c r="I24" s="1"/>
    </row>
    <row r="25" spans="1:9" s="102" customFormat="1" ht="12.75">
      <c r="A25" s="106"/>
      <c r="B25" s="102" t="s">
        <v>1228</v>
      </c>
      <c r="C25" s="102">
        <f>INDEX(MI_Secondary_Class_Factor,,1)</f>
        <v>0</v>
      </c>
      <c r="D25" s="102">
        <f>INDEX(MI_Secondary_Class_Factor,,2)</f>
        <v>0</v>
      </c>
      <c r="E25" s="102">
        <f>INDEX(MI_Secondary_Class_Factor,,3)</f>
        <v>0</v>
      </c>
      <c r="F25" s="102">
        <f>INDEX(MI_Secondary_Class_Factor,,4)</f>
        <v>0</v>
      </c>
      <c r="G25" s="102">
        <f>INDEX(MI_Secondary_Class_Factor,,5)</f>
        <v>0</v>
      </c>
      <c r="H25" s="102">
        <f>INDEX(MI_Secondary_Class_Factor,,6)</f>
        <v>0</v>
      </c>
      <c r="I25" s="1"/>
    </row>
    <row r="26" spans="1:9" ht="12.75">
      <c r="A26" s="102"/>
      <c r="B26" s="109"/>
      <c r="C26" s="102"/>
      <c r="D26" s="102"/>
      <c r="E26" s="102"/>
      <c r="F26" s="102"/>
      <c r="G26" s="102"/>
      <c r="H26" s="102"/>
      <c r="I26" s="1"/>
    </row>
    <row r="27" spans="1:9" ht="12.75">
      <c r="A27" s="106" t="s">
        <v>1229</v>
      </c>
      <c r="B27" s="108" t="s">
        <v>1230</v>
      </c>
      <c r="C27" s="102">
        <f aca="true" t="shared" si="7" ref="C27:H27">SUM(C21:C22)+SUM(C24:C25)</f>
        <v>0</v>
      </c>
      <c r="D27" s="102">
        <f t="shared" si="7"/>
        <v>0</v>
      </c>
      <c r="E27" s="102">
        <f t="shared" si="7"/>
        <v>0</v>
      </c>
      <c r="F27" s="102">
        <f t="shared" si="7"/>
        <v>0</v>
      </c>
      <c r="G27" s="102">
        <f t="shared" si="7"/>
        <v>0</v>
      </c>
      <c r="H27" s="102">
        <f t="shared" si="7"/>
        <v>0</v>
      </c>
      <c r="I27" s="1"/>
    </row>
    <row r="28" spans="1:9" ht="12.75">
      <c r="A28" s="102"/>
      <c r="B28" s="102"/>
      <c r="C28" s="102"/>
      <c r="D28" s="102"/>
      <c r="E28" s="102"/>
      <c r="F28" s="102"/>
      <c r="G28" s="102"/>
      <c r="H28" s="102"/>
      <c r="I28" s="1"/>
    </row>
    <row r="29" spans="1:12" s="117" customFormat="1" ht="12.75">
      <c r="A29" s="106" t="s">
        <v>1231</v>
      </c>
      <c r="B29" s="102" t="s">
        <v>1232</v>
      </c>
      <c r="C29" s="102">
        <f aca="true" t="shared" si="8" ref="C29:H29">C19*C27</f>
        <v>0</v>
      </c>
      <c r="D29" s="102">
        <f t="shared" si="8"/>
        <v>0</v>
      </c>
      <c r="E29" s="102">
        <f t="shared" si="8"/>
        <v>0</v>
      </c>
      <c r="F29" s="102">
        <f t="shared" si="8"/>
        <v>0</v>
      </c>
      <c r="G29" s="102">
        <f t="shared" si="8"/>
        <v>0</v>
      </c>
      <c r="H29" s="102">
        <f t="shared" si="8"/>
        <v>0</v>
      </c>
      <c r="I29" s="1"/>
      <c r="J29" s="47"/>
      <c r="K29" s="47"/>
      <c r="L29" s="47"/>
    </row>
    <row r="30" spans="1:12" s="117" customFormat="1" ht="12.75">
      <c r="A30" s="102"/>
      <c r="B30" s="109"/>
      <c r="C30" s="102"/>
      <c r="D30" s="102"/>
      <c r="E30" s="102"/>
      <c r="F30" s="102"/>
      <c r="G30" s="102"/>
      <c r="H30" s="102"/>
      <c r="I30" s="1"/>
      <c r="J30" s="47"/>
      <c r="K30" s="47"/>
      <c r="L30" s="47"/>
    </row>
    <row r="31" spans="1:12" ht="12.75">
      <c r="A31" s="106" t="s">
        <v>1233</v>
      </c>
      <c r="B31" s="108" t="s">
        <v>1302</v>
      </c>
      <c r="C31" s="102">
        <f>INDEX(Air_bag_Discount_Factor,1,1)</f>
        <v>0</v>
      </c>
      <c r="D31" s="102">
        <f>INDEX(Air_bag_Discount_Factor,1,2)</f>
        <v>0</v>
      </c>
      <c r="E31" s="102">
        <f>INDEX(Air_bag_Discount_Factor,1,3)</f>
        <v>0</v>
      </c>
      <c r="F31" s="102">
        <f>INDEX(Air_bag_Discount_Factor,1,4)</f>
        <v>0</v>
      </c>
      <c r="G31" s="102">
        <f>INDEX(Air_bag_Discount_Factor,1,5)</f>
        <v>0</v>
      </c>
      <c r="H31" s="102">
        <f>INDEX(Air_bag_Discount_Factor,1,6)</f>
        <v>0</v>
      </c>
      <c r="I31" s="1"/>
      <c r="J31" s="47"/>
      <c r="K31" s="47"/>
      <c r="L31" s="47"/>
    </row>
    <row r="32" spans="1:12" ht="12.75">
      <c r="A32" s="102"/>
      <c r="B32" s="108" t="s">
        <v>1303</v>
      </c>
      <c r="C32" s="110">
        <f aca="true" t="shared" si="9" ref="C32:H32">C29*C31</f>
        <v>0</v>
      </c>
      <c r="D32" s="110">
        <f t="shared" si="9"/>
        <v>0</v>
      </c>
      <c r="E32" s="110">
        <f t="shared" si="9"/>
        <v>0</v>
      </c>
      <c r="F32" s="110">
        <f t="shared" si="9"/>
        <v>0</v>
      </c>
      <c r="G32" s="110">
        <f t="shared" si="9"/>
        <v>0</v>
      </c>
      <c r="H32" s="110">
        <f t="shared" si="9"/>
        <v>0</v>
      </c>
      <c r="I32" s="1"/>
      <c r="J32" s="47"/>
      <c r="K32" s="47"/>
      <c r="L32" s="47"/>
    </row>
    <row r="33" spans="1:9" ht="12.75">
      <c r="A33" s="102"/>
      <c r="B33" s="108" t="s">
        <v>1304</v>
      </c>
      <c r="C33" s="110">
        <f aca="true" t="shared" si="10" ref="C33:H33">C29-C32</f>
        <v>0</v>
      </c>
      <c r="D33" s="110">
        <f t="shared" si="10"/>
        <v>0</v>
      </c>
      <c r="E33" s="110">
        <f t="shared" si="10"/>
        <v>0</v>
      </c>
      <c r="F33" s="110">
        <f t="shared" si="10"/>
        <v>0</v>
      </c>
      <c r="G33" s="110">
        <f t="shared" si="10"/>
        <v>0</v>
      </c>
      <c r="H33" s="110">
        <f t="shared" si="10"/>
        <v>0</v>
      </c>
      <c r="I33" s="1"/>
    </row>
    <row r="34" spans="1:9" ht="12.75">
      <c r="A34" s="102"/>
      <c r="B34" s="108" t="s">
        <v>1245</v>
      </c>
      <c r="C34" s="110">
        <f>C33*INDEX(MI_High_Performance_Factor,,1)</f>
        <v>0</v>
      </c>
      <c r="D34" s="110">
        <f>D33*INDEX(MI_High_Performance_Factor,,2)</f>
        <v>0</v>
      </c>
      <c r="E34" s="110">
        <f>E33*INDEX(MI_High_Performance_Factor,,3)</f>
        <v>0</v>
      </c>
      <c r="F34" s="110">
        <f>F33*INDEX(MI_High_Performance_Factor,,4)</f>
        <v>0</v>
      </c>
      <c r="G34" s="110">
        <f>G33*INDEX(MI_High_Performance_Factor,,5)</f>
        <v>0</v>
      </c>
      <c r="H34" s="110">
        <f>H33*INDEX(MI_High_Performance_Factor,,6)</f>
        <v>0</v>
      </c>
      <c r="I34" s="1"/>
    </row>
    <row r="35" spans="1:9" ht="12.75">
      <c r="A35" s="102"/>
      <c r="B35" s="108"/>
      <c r="C35" s="111"/>
      <c r="D35" s="111"/>
      <c r="E35" s="111"/>
      <c r="F35" s="111"/>
      <c r="G35" s="111"/>
      <c r="H35" s="111"/>
      <c r="I35" s="1"/>
    </row>
    <row r="36" spans="1:12" s="117" customFormat="1" ht="12.75" customHeight="1">
      <c r="A36" s="106" t="s">
        <v>1236</v>
      </c>
      <c r="B36" s="108" t="s">
        <v>816</v>
      </c>
      <c r="C36" s="102">
        <f>INDEX(SDIP_Factor,,1)</f>
        <v>0</v>
      </c>
      <c r="D36" s="102">
        <f>INDEX(SDIP_Factor,,2)</f>
        <v>0</v>
      </c>
      <c r="E36" s="102">
        <f>INDEX(SDIP_Factor,,3)</f>
        <v>0</v>
      </c>
      <c r="F36" s="102">
        <f>INDEX(SDIP_Factor,,4)</f>
        <v>0</v>
      </c>
      <c r="G36" s="102">
        <f>INDEX(SDIP_Factor,,5)</f>
        <v>0</v>
      </c>
      <c r="H36" s="102">
        <f>INDEX(SDIP_Factor,,6)</f>
        <v>0</v>
      </c>
      <c r="I36" s="1"/>
      <c r="J36" s="47"/>
      <c r="K36" s="47"/>
      <c r="L36" s="47"/>
    </row>
    <row r="37" spans="1:9" ht="12.75">
      <c r="A37" s="106"/>
      <c r="B37" s="108" t="s">
        <v>1237</v>
      </c>
      <c r="C37" s="111">
        <f>INDEX(Accident_Prevention_Discount_Factor,,1)</f>
        <v>0</v>
      </c>
      <c r="D37" s="111">
        <f>INDEX(Accident_Prevention_Discount_Factor,,2)</f>
        <v>0</v>
      </c>
      <c r="E37" s="111">
        <f>INDEX(Accident_Prevention_Discount_Factor,,3)</f>
        <v>0</v>
      </c>
      <c r="F37" s="111">
        <f>INDEX(Accident_Prevention_Discount_Factor,,4)</f>
        <v>0</v>
      </c>
      <c r="G37" s="111">
        <f>INDEX(Accident_Prevention_Discount_Factor,,5)</f>
        <v>0</v>
      </c>
      <c r="H37" s="111">
        <f>INDEX(Accident_Prevention_Discount_Factor,,6)</f>
        <v>0</v>
      </c>
      <c r="I37" s="1"/>
    </row>
    <row r="38" spans="1:9" ht="12.75">
      <c r="A38" s="106"/>
      <c r="B38" s="108" t="s">
        <v>837</v>
      </c>
      <c r="C38" s="111">
        <f>INDEX(Minivan_Discount_Factor,,1)</f>
        <v>0</v>
      </c>
      <c r="D38" s="111">
        <f>INDEX(Minivan_Discount_Factor,,2)</f>
        <v>0</v>
      </c>
      <c r="E38" s="111">
        <f>INDEX(Minivan_Discount_Factor,,3)</f>
        <v>0</v>
      </c>
      <c r="F38" s="111">
        <f>INDEX(Minivan_Discount_Factor,,4)</f>
        <v>0</v>
      </c>
      <c r="G38" s="111">
        <f>INDEX(Minivan_Discount_Factor,,5)</f>
        <v>0</v>
      </c>
      <c r="H38" s="111">
        <f>INDEX(Minivan_Discount_Factor,,6)</f>
        <v>0</v>
      </c>
      <c r="I38" s="1"/>
    </row>
    <row r="39" spans="1:12" s="117" customFormat="1" ht="12.75">
      <c r="A39" s="102"/>
      <c r="B39" s="108"/>
      <c r="C39" s="102"/>
      <c r="D39" s="102"/>
      <c r="E39" s="102"/>
      <c r="F39" s="102"/>
      <c r="G39" s="102"/>
      <c r="H39" s="102"/>
      <c r="I39" s="1"/>
      <c r="J39" s="47"/>
      <c r="K39" s="47"/>
      <c r="L39" s="47"/>
    </row>
    <row r="40" spans="1:12" ht="12.75">
      <c r="A40" s="106" t="s">
        <v>1238</v>
      </c>
      <c r="B40" s="108" t="s">
        <v>1239</v>
      </c>
      <c r="C40" s="102">
        <f aca="true" t="shared" si="11" ref="C40:H40">C36*C4</f>
        <v>0</v>
      </c>
      <c r="D40" s="102">
        <f t="shared" si="11"/>
        <v>0</v>
      </c>
      <c r="E40" s="102">
        <f t="shared" si="11"/>
        <v>0</v>
      </c>
      <c r="F40" s="102">
        <f t="shared" si="11"/>
        <v>0</v>
      </c>
      <c r="G40" s="102">
        <f t="shared" si="11"/>
        <v>0</v>
      </c>
      <c r="H40" s="102">
        <f t="shared" si="11"/>
        <v>0</v>
      </c>
      <c r="I40" s="1"/>
      <c r="J40" s="47"/>
      <c r="K40" s="47"/>
      <c r="L40" s="47"/>
    </row>
    <row r="41" spans="1:9" ht="12.75">
      <c r="A41" s="102"/>
      <c r="B41" s="108" t="s">
        <v>1240</v>
      </c>
      <c r="C41" s="110">
        <f aca="true" t="shared" si="12" ref="C41:H41">IF(AND(Insured_State&lt;&gt;"MI",Insured_State&lt;&gt;"PA"),C34*C37,0)</f>
        <v>0</v>
      </c>
      <c r="D41" s="110">
        <f t="shared" si="12"/>
        <v>0</v>
      </c>
      <c r="E41" s="110">
        <f t="shared" si="12"/>
        <v>0</v>
      </c>
      <c r="F41" s="110">
        <f t="shared" si="12"/>
        <v>0</v>
      </c>
      <c r="G41" s="110">
        <f t="shared" si="12"/>
        <v>0</v>
      </c>
      <c r="H41" s="110">
        <f t="shared" si="12"/>
        <v>0</v>
      </c>
      <c r="I41" s="1"/>
    </row>
    <row r="42" spans="1:9" ht="12.75">
      <c r="A42" s="102"/>
      <c r="B42" s="108" t="s">
        <v>1242</v>
      </c>
      <c r="C42" s="110">
        <f aca="true" t="shared" si="13" ref="C42:H42">(C34-C41)*C38</f>
        <v>0</v>
      </c>
      <c r="D42" s="110">
        <f t="shared" si="13"/>
        <v>0</v>
      </c>
      <c r="E42" s="110">
        <f t="shared" si="13"/>
        <v>0</v>
      </c>
      <c r="F42" s="110">
        <f t="shared" si="13"/>
        <v>0</v>
      </c>
      <c r="G42" s="110">
        <f t="shared" si="13"/>
        <v>0</v>
      </c>
      <c r="H42" s="110">
        <f t="shared" si="13"/>
        <v>0</v>
      </c>
      <c r="I42" s="1"/>
    </row>
    <row r="43" spans="1:9" ht="12.75">
      <c r="A43" s="106"/>
      <c r="B43" s="108"/>
      <c r="C43" s="102"/>
      <c r="D43" s="102"/>
      <c r="E43" s="102"/>
      <c r="F43" s="102"/>
      <c r="G43" s="102"/>
      <c r="H43" s="102"/>
      <c r="I43" s="1"/>
    </row>
    <row r="44" spans="1:9" ht="12.75">
      <c r="A44" s="106" t="s">
        <v>1243</v>
      </c>
      <c r="B44" s="102" t="s">
        <v>1244</v>
      </c>
      <c r="C44" s="110">
        <f aca="true" t="shared" si="14" ref="C44:H44">(C34+C40-C41-C42)</f>
        <v>0</v>
      </c>
      <c r="D44" s="110">
        <f t="shared" si="14"/>
        <v>0</v>
      </c>
      <c r="E44" s="110">
        <f t="shared" si="14"/>
        <v>0</v>
      </c>
      <c r="F44" s="110">
        <f t="shared" si="14"/>
        <v>0</v>
      </c>
      <c r="G44" s="110">
        <f t="shared" si="14"/>
        <v>0</v>
      </c>
      <c r="H44" s="110">
        <f t="shared" si="14"/>
        <v>0</v>
      </c>
      <c r="I44" s="1"/>
    </row>
    <row r="45" spans="2:9" s="112" customFormat="1" ht="12.75">
      <c r="B45" s="112" t="s">
        <v>939</v>
      </c>
      <c r="C45" s="102">
        <f aca="true" t="shared" si="15" ref="C45:H45">IF(OR(ISERROR(C44),C44&lt;=0),0,Expense_Fees_PIP)</f>
        <v>0</v>
      </c>
      <c r="D45" s="102">
        <f t="shared" si="15"/>
        <v>0</v>
      </c>
      <c r="E45" s="102">
        <f t="shared" si="15"/>
        <v>0</v>
      </c>
      <c r="F45" s="102">
        <f t="shared" si="15"/>
        <v>0</v>
      </c>
      <c r="G45" s="102">
        <f t="shared" si="15"/>
        <v>0</v>
      </c>
      <c r="H45" s="102">
        <f t="shared" si="15"/>
        <v>0</v>
      </c>
      <c r="I45" s="15"/>
    </row>
    <row r="46" spans="2:9" s="112" customFormat="1" ht="12.75">
      <c r="B46" s="112" t="s">
        <v>1305</v>
      </c>
      <c r="C46" s="110">
        <f aca="true" t="shared" si="16" ref="C46:H46">C44+C45</f>
        <v>0</v>
      </c>
      <c r="D46" s="110">
        <f t="shared" si="16"/>
        <v>0</v>
      </c>
      <c r="E46" s="110">
        <f t="shared" si="16"/>
        <v>0</v>
      </c>
      <c r="F46" s="110">
        <f t="shared" si="16"/>
        <v>0</v>
      </c>
      <c r="G46" s="110">
        <f t="shared" si="16"/>
        <v>0</v>
      </c>
      <c r="H46" s="110">
        <f t="shared" si="16"/>
        <v>0</v>
      </c>
      <c r="I46" s="15"/>
    </row>
    <row r="47" spans="1:9" ht="12.75">
      <c r="A47" s="102"/>
      <c r="B47" s="102"/>
      <c r="C47" s="102"/>
      <c r="D47" s="102"/>
      <c r="E47" s="102"/>
      <c r="F47" s="102"/>
      <c r="G47" s="102"/>
      <c r="H47" s="102"/>
      <c r="I47" s="1"/>
    </row>
    <row r="48" spans="1:9" ht="12.75">
      <c r="A48" s="106" t="s">
        <v>1247</v>
      </c>
      <c r="B48" s="102" t="s">
        <v>1248</v>
      </c>
      <c r="C48" s="102">
        <f>INDEX(Medical_Minium_Premium,1,1)</f>
        <v>0</v>
      </c>
      <c r="D48" s="102">
        <f>INDEX(Medical_Minium_Premium,1,2)</f>
        <v>0</v>
      </c>
      <c r="E48" s="102">
        <f>INDEX(Medical_Minium_Premium,1,3)</f>
        <v>0</v>
      </c>
      <c r="F48" s="102">
        <f>INDEX(Medical_Minium_Premium,1,4)</f>
        <v>0</v>
      </c>
      <c r="G48" s="102">
        <f>INDEX(Medical_Minium_Premium,1,5)</f>
        <v>0</v>
      </c>
      <c r="H48" s="102">
        <f>INDEX(Medical_Minium_Premium,1,6)</f>
        <v>0</v>
      </c>
      <c r="I48" s="1"/>
    </row>
    <row r="49" spans="1:9" ht="12.75">
      <c r="A49" s="106"/>
      <c r="B49" s="102" t="s">
        <v>1249</v>
      </c>
      <c r="C49" s="102">
        <f aca="true" t="shared" si="17" ref="C49:H49">IF(C46&lt;C48,C48,C46)</f>
        <v>0</v>
      </c>
      <c r="D49" s="102">
        <f t="shared" si="17"/>
        <v>0</v>
      </c>
      <c r="E49" s="102">
        <f t="shared" si="17"/>
        <v>0</v>
      </c>
      <c r="F49" s="102">
        <f t="shared" si="17"/>
        <v>0</v>
      </c>
      <c r="G49" s="102">
        <f t="shared" si="17"/>
        <v>0</v>
      </c>
      <c r="H49" s="102">
        <f t="shared" si="17"/>
        <v>0</v>
      </c>
      <c r="I49" s="1"/>
    </row>
    <row r="50" spans="1:9" ht="12.75">
      <c r="A50" s="102"/>
      <c r="B50" s="109"/>
      <c r="C50" s="102"/>
      <c r="D50" s="102"/>
      <c r="E50" s="102"/>
      <c r="F50" s="102"/>
      <c r="G50" s="102"/>
      <c r="H50" s="102"/>
      <c r="I50" s="1"/>
    </row>
    <row r="51" spans="1:9" ht="12.75">
      <c r="A51" s="106" t="s">
        <v>1250</v>
      </c>
      <c r="B51" s="102" t="s">
        <v>1251</v>
      </c>
      <c r="C51" s="102">
        <f aca="true" t="shared" si="18" ref="C51:H51">C49</f>
        <v>0</v>
      </c>
      <c r="D51" s="102">
        <f t="shared" si="18"/>
        <v>0</v>
      </c>
      <c r="E51" s="102">
        <f t="shared" si="18"/>
        <v>0</v>
      </c>
      <c r="F51" s="102">
        <f t="shared" si="18"/>
        <v>0</v>
      </c>
      <c r="G51" s="102">
        <f t="shared" si="18"/>
        <v>0</v>
      </c>
      <c r="H51" s="102">
        <f t="shared" si="18"/>
        <v>0</v>
      </c>
      <c r="I51" s="1"/>
    </row>
    <row r="52" spans="1:9" s="102" customFormat="1" ht="12.75">
      <c r="A52" s="106" t="s">
        <v>1252</v>
      </c>
      <c r="B52" s="102" t="s">
        <v>1253</v>
      </c>
      <c r="C52" s="102">
        <f>C51*IF(AND(PIP,Insured_State="MI",INDEX(Named_Non_owner_liability_indicator_for_Vehicle,,1)="Y"),Named_Non_owner_BI_factor,1)</f>
        <v>0</v>
      </c>
      <c r="D52" s="102">
        <f>D51*IF(AND(PIP,Insured_State="MI",INDEX(Named_Non_owner_liability_indicator_for_Vehicle,,2)="Y"),Named_Non_owner_BI_factor,1)</f>
        <v>0</v>
      </c>
      <c r="E52" s="102">
        <f>E51*IF(AND(PIP,Insured_State="MI",INDEX(Named_Non_owner_liability_indicator_for_Vehicle,,3)="Y"),Named_Non_owner_BI_factor,1)</f>
        <v>0</v>
      </c>
      <c r="F52" s="102">
        <f>F51*IF(AND(PIP,Insured_State="MI",INDEX(Named_Non_owner_liability_indicator_for_Vehicle,,4)="Y"),Named_Non_owner_BI_factor,1)</f>
        <v>0</v>
      </c>
      <c r="G52" s="102">
        <f>G51*IF(AND(PIP,Insured_State="MI",INDEX(Named_Non_owner_liability_indicator_for_Vehicle,,5)="Y"),Named_Non_owner_BI_factor,1)</f>
        <v>0</v>
      </c>
      <c r="H52" s="102">
        <f>H51*IF(AND(PIP,Insured_State="MI",INDEX(Named_Non_owner_liability_indicator_for_Vehicle,,6)="Y"),Named_Non_owner_BI_factor,1)</f>
        <v>0</v>
      </c>
      <c r="I52" s="1"/>
    </row>
    <row r="53" spans="1:9" s="102" customFormat="1" ht="12.75">
      <c r="A53" s="106"/>
      <c r="I53" s="1"/>
    </row>
    <row r="54" spans="1:9" ht="12.75">
      <c r="A54" s="106" t="s">
        <v>1306</v>
      </c>
      <c r="B54" s="102" t="s">
        <v>1307</v>
      </c>
      <c r="C54" s="102">
        <f>IF(PIP,INDEX(Additional_PIP_Factor,,1),0)</f>
        <v>0</v>
      </c>
      <c r="D54" s="102">
        <f>IF(PIP,INDEX(Additional_PIP_Factor,,2),0)</f>
        <v>0</v>
      </c>
      <c r="E54" s="102">
        <f>IF(PIP,INDEX(Additional_PIP_Factor,,3),0)</f>
        <v>0</v>
      </c>
      <c r="F54" s="102">
        <f>IF(PIP,INDEX(Additional_PIP_Factor,,4),0)</f>
        <v>0</v>
      </c>
      <c r="G54" s="102">
        <f>IF(PIP,INDEX(Additional_PIP_Factor,,5),0)</f>
        <v>0</v>
      </c>
      <c r="H54" s="102">
        <f>IF(PIP,INDEX(Additional_PIP_Factor,,6),0)</f>
        <v>0</v>
      </c>
      <c r="I54" s="1"/>
    </row>
    <row r="55" spans="1:9" ht="12.75">
      <c r="A55" s="106"/>
      <c r="B55" s="102" t="s">
        <v>1308</v>
      </c>
      <c r="C55" s="102">
        <f aca="true" t="shared" si="19" ref="C55:H55">IF(OR(Insured_State="MD",Insured_State="MI",Insured_State="IL"),0,1)</f>
        <v>1</v>
      </c>
      <c r="D55" s="102">
        <f t="shared" si="19"/>
        <v>1</v>
      </c>
      <c r="E55" s="102">
        <f t="shared" si="19"/>
        <v>1</v>
      </c>
      <c r="F55" s="102">
        <f t="shared" si="19"/>
        <v>1</v>
      </c>
      <c r="G55" s="102">
        <f t="shared" si="19"/>
        <v>1</v>
      </c>
      <c r="H55" s="102">
        <f t="shared" si="19"/>
        <v>1</v>
      </c>
      <c r="I55" t="s">
        <v>1309</v>
      </c>
    </row>
    <row r="56" spans="1:9" ht="12.75">
      <c r="A56" s="106"/>
      <c r="B56" s="102" t="s">
        <v>1310</v>
      </c>
      <c r="C56" s="102">
        <f aca="true" t="shared" si="20" ref="C56:H56">(C54*C55)</f>
        <v>0</v>
      </c>
      <c r="D56" s="102">
        <f t="shared" si="20"/>
        <v>0</v>
      </c>
      <c r="E56" s="102">
        <f t="shared" si="20"/>
        <v>0</v>
      </c>
      <c r="F56" s="102">
        <f t="shared" si="20"/>
        <v>0</v>
      </c>
      <c r="G56" s="102">
        <f t="shared" si="20"/>
        <v>0</v>
      </c>
      <c r="H56" s="102">
        <f t="shared" si="20"/>
        <v>0</v>
      </c>
      <c r="I56" s="1"/>
    </row>
    <row r="57" spans="1:9" ht="12.75">
      <c r="A57" s="106"/>
      <c r="B57" s="102" t="s">
        <v>1311</v>
      </c>
      <c r="C57" s="102">
        <f aca="true" t="shared" si="21" ref="C57:H57">(C52+C56)</f>
        <v>0</v>
      </c>
      <c r="D57" s="102">
        <f t="shared" si="21"/>
        <v>0</v>
      </c>
      <c r="E57" s="102">
        <f t="shared" si="21"/>
        <v>0</v>
      </c>
      <c r="F57" s="102">
        <f t="shared" si="21"/>
        <v>0</v>
      </c>
      <c r="G57" s="102">
        <f t="shared" si="21"/>
        <v>0</v>
      </c>
      <c r="H57" s="102">
        <f t="shared" si="21"/>
        <v>0</v>
      </c>
      <c r="I57" s="1"/>
    </row>
    <row r="58" spans="1:9" ht="12.75">
      <c r="A58" s="106"/>
      <c r="B58" s="102"/>
      <c r="C58" s="102"/>
      <c r="D58" s="102"/>
      <c r="E58" s="102"/>
      <c r="F58" s="102"/>
      <c r="G58" s="102"/>
      <c r="H58" s="102"/>
      <c r="I58" s="1"/>
    </row>
    <row r="59" spans="1:9" ht="12.75">
      <c r="A59" s="106" t="s">
        <v>1312</v>
      </c>
      <c r="B59" s="102" t="s">
        <v>1313</v>
      </c>
      <c r="C59" s="102">
        <f>INDEX(Accidental_Death_Benefit_Factor,,1)</f>
        <v>0</v>
      </c>
      <c r="D59" s="102">
        <f>INDEX(Accidental_Death_Benefit_Factor,,2)</f>
        <v>0</v>
      </c>
      <c r="E59" s="102">
        <f>INDEX(Accidental_Death_Benefit_Factor,,3)</f>
        <v>0</v>
      </c>
      <c r="F59" s="102">
        <f>INDEX(Accidental_Death_Benefit_Factor,,4)</f>
        <v>0</v>
      </c>
      <c r="G59" s="102">
        <f>INDEX(Accidental_Death_Benefit_Factor,,5)</f>
        <v>0</v>
      </c>
      <c r="H59" s="102">
        <f>INDEX(Accidental_Death_Benefit_Factor,,6)</f>
        <v>0</v>
      </c>
      <c r="I59" s="1"/>
    </row>
    <row r="60" spans="1:9" ht="12.75" customHeight="1">
      <c r="A60" s="106"/>
      <c r="B60" s="102" t="s">
        <v>1314</v>
      </c>
      <c r="C60" s="102">
        <f aca="true" t="shared" si="22" ref="C60:H60">IF(Insured_State="PA",0,1)</f>
        <v>1</v>
      </c>
      <c r="D60" s="102">
        <f t="shared" si="22"/>
        <v>1</v>
      </c>
      <c r="E60" s="102">
        <f t="shared" si="22"/>
        <v>1</v>
      </c>
      <c r="F60" s="102">
        <f t="shared" si="22"/>
        <v>1</v>
      </c>
      <c r="G60" s="102">
        <f t="shared" si="22"/>
        <v>1</v>
      </c>
      <c r="H60" s="102">
        <f t="shared" si="22"/>
        <v>1</v>
      </c>
      <c r="I60" s="1" t="s">
        <v>1315</v>
      </c>
    </row>
    <row r="61" spans="1:9" ht="12.75" customHeight="1">
      <c r="A61" s="106"/>
      <c r="B61" s="102" t="s">
        <v>1316</v>
      </c>
      <c r="C61" s="102">
        <f>IF(Insured_State="PA",(C59+INDEX(Medical_Increased_Limits_Factor,,1)),0)</f>
        <v>0</v>
      </c>
      <c r="D61" s="102">
        <f>IF(Insured_State="PA",(D59+INDEX(Medical_Increased_Limits_Factor,,2)),0)</f>
        <v>0</v>
      </c>
      <c r="E61" s="102">
        <f>IF(Insured_State="PA",(E59+INDEX(Medical_Increased_Limits_Factor,,3)),0)</f>
        <v>0</v>
      </c>
      <c r="F61" s="102">
        <f>IF(Insured_State="PA",(F59+INDEX(Medical_Increased_Limits_Factor,,4)),0)</f>
        <v>0</v>
      </c>
      <c r="G61" s="102">
        <f>IF(Insured_State="PA",(G59+INDEX(Medical_Increased_Limits_Factor,,5)),0)</f>
        <v>0</v>
      </c>
      <c r="H61" s="102">
        <f>IF(Insured_State="PA",(H59+INDEX(Medical_Increased_Limits_Factor,,6)),0)</f>
        <v>0</v>
      </c>
      <c r="I61" s="1" t="s">
        <v>1317</v>
      </c>
    </row>
    <row r="62" spans="1:9" ht="12.75" customHeight="1">
      <c r="A62" s="106"/>
      <c r="B62" s="102" t="s">
        <v>1318</v>
      </c>
      <c r="C62" s="102">
        <f aca="true" t="shared" si="23" ref="C62:H62">(C59*C60+C57*C61)</f>
        <v>0</v>
      </c>
      <c r="D62" s="102">
        <f t="shared" si="23"/>
        <v>0</v>
      </c>
      <c r="E62" s="102">
        <f t="shared" si="23"/>
        <v>0</v>
      </c>
      <c r="F62" s="102">
        <f t="shared" si="23"/>
        <v>0</v>
      </c>
      <c r="G62" s="102">
        <f t="shared" si="23"/>
        <v>0</v>
      </c>
      <c r="H62" s="102">
        <f t="shared" si="23"/>
        <v>0</v>
      </c>
      <c r="I62" s="1"/>
    </row>
    <row r="63" spans="1:9" ht="12.75">
      <c r="A63" s="106"/>
      <c r="B63" s="102" t="s">
        <v>1319</v>
      </c>
      <c r="C63" s="102">
        <f>INDEX(Disability_Weekly_Income_Limit_Factor,,1)</f>
        <v>0</v>
      </c>
      <c r="D63" s="102">
        <f>INDEX(Disability_Weekly_Income_Limit_Factor,,2)</f>
        <v>0</v>
      </c>
      <c r="E63" s="102">
        <f>INDEX(Disability_Weekly_Income_Limit_Factor,,3)</f>
        <v>0</v>
      </c>
      <c r="F63" s="102">
        <f>INDEX(Disability_Weekly_Income_Limit_Factor,,4)</f>
        <v>0</v>
      </c>
      <c r="G63" s="102">
        <f>INDEX(Disability_Weekly_Income_Limit_Factor,,5)</f>
        <v>0</v>
      </c>
      <c r="H63" s="102">
        <f>INDEX(Disability_Weekly_Income_Limit_Factor,,6)</f>
        <v>0</v>
      </c>
      <c r="I63" s="1"/>
    </row>
    <row r="64" spans="1:9" ht="12.75">
      <c r="A64" s="106"/>
      <c r="B64" s="102" t="s">
        <v>1320</v>
      </c>
      <c r="C64" s="102">
        <f aca="true" t="shared" si="24" ref="C64:H64">(C57*INDEX(Income_Loss_Limit_Factor,,1))</f>
        <v>0</v>
      </c>
      <c r="D64" s="102">
        <f t="shared" si="24"/>
        <v>0</v>
      </c>
      <c r="E64" s="102">
        <f t="shared" si="24"/>
        <v>0</v>
      </c>
      <c r="F64" s="102">
        <f t="shared" si="24"/>
        <v>0</v>
      </c>
      <c r="G64" s="102">
        <f t="shared" si="24"/>
        <v>0</v>
      </c>
      <c r="H64" s="102">
        <f t="shared" si="24"/>
        <v>0</v>
      </c>
      <c r="I64" s="1"/>
    </row>
    <row r="65" spans="1:9" ht="12.75">
      <c r="A65" s="106"/>
      <c r="B65" s="102" t="s">
        <v>1321</v>
      </c>
      <c r="C65" s="102">
        <f aca="true" t="shared" si="25" ref="C65:H65">(C57*INDEX(Funeral_Expense_Factor,,1))</f>
        <v>0</v>
      </c>
      <c r="D65" s="102">
        <f t="shared" si="25"/>
        <v>0</v>
      </c>
      <c r="E65" s="102">
        <f t="shared" si="25"/>
        <v>0</v>
      </c>
      <c r="F65" s="102">
        <f t="shared" si="25"/>
        <v>0</v>
      </c>
      <c r="G65" s="102">
        <f t="shared" si="25"/>
        <v>0</v>
      </c>
      <c r="H65" s="102">
        <f t="shared" si="25"/>
        <v>0</v>
      </c>
      <c r="I65" s="1"/>
    </row>
    <row r="66" spans="1:9" ht="12.75">
      <c r="A66" s="106"/>
      <c r="B66" s="102" t="s">
        <v>1322</v>
      </c>
      <c r="C66" s="102">
        <f aca="true" t="shared" si="26" ref="C66:H66">(C57*INDEX(Combined_First_Party_Benefits_Factor,,1))</f>
        <v>0</v>
      </c>
      <c r="D66" s="102">
        <f t="shared" si="26"/>
        <v>0</v>
      </c>
      <c r="E66" s="102">
        <f t="shared" si="26"/>
        <v>0</v>
      </c>
      <c r="F66" s="102">
        <f t="shared" si="26"/>
        <v>0</v>
      </c>
      <c r="G66" s="102">
        <f t="shared" si="26"/>
        <v>0</v>
      </c>
      <c r="H66" s="102">
        <f t="shared" si="26"/>
        <v>0</v>
      </c>
      <c r="I66" s="1"/>
    </row>
    <row r="67" spans="1:9" ht="12.75">
      <c r="A67" s="106"/>
      <c r="B67" s="102" t="s">
        <v>1323</v>
      </c>
      <c r="C67" s="102">
        <f>INDEX(Extraordinary_Benefits_Factor,,1)</f>
        <v>0</v>
      </c>
      <c r="D67" s="102">
        <f>INDEX(Extraordinary_Benefits_Factor,,2)</f>
        <v>0</v>
      </c>
      <c r="E67" s="102">
        <f>INDEX(Extraordinary_Benefits_Factor,,3)</f>
        <v>0</v>
      </c>
      <c r="F67" s="102">
        <f>INDEX(Extraordinary_Benefits_Factor,,4)</f>
        <v>0</v>
      </c>
      <c r="G67" s="102">
        <f>INDEX(Extraordinary_Benefits_Factor,,5)</f>
        <v>0</v>
      </c>
      <c r="H67" s="102">
        <f>INDEX(Extraordinary_Benefits_Factor,,6)</f>
        <v>0</v>
      </c>
      <c r="I67" s="1"/>
    </row>
    <row r="68" spans="1:9" ht="12.75">
      <c r="A68" s="106"/>
      <c r="B68" s="102" t="s">
        <v>1324</v>
      </c>
      <c r="C68" s="102">
        <f aca="true" t="shared" si="27" ref="C68:H68">C57+SUM(C62:C67)</f>
        <v>0</v>
      </c>
      <c r="D68" s="102">
        <f t="shared" si="27"/>
        <v>0</v>
      </c>
      <c r="E68" s="102">
        <f t="shared" si="27"/>
        <v>0</v>
      </c>
      <c r="F68" s="102">
        <f t="shared" si="27"/>
        <v>0</v>
      </c>
      <c r="G68" s="102">
        <f t="shared" si="27"/>
        <v>0</v>
      </c>
      <c r="H68" s="102">
        <f t="shared" si="27"/>
        <v>0</v>
      </c>
      <c r="I68" s="1"/>
    </row>
    <row r="69" spans="1:9" ht="12.75">
      <c r="A69" s="106"/>
      <c r="B69" s="102"/>
      <c r="C69" s="102"/>
      <c r="D69" s="102"/>
      <c r="E69" s="102"/>
      <c r="F69" s="102"/>
      <c r="G69" s="102"/>
      <c r="H69" s="102"/>
      <c r="I69" s="1"/>
    </row>
    <row r="70" spans="1:9" s="102" customFormat="1" ht="12.75">
      <c r="A70" s="106" t="s">
        <v>1254</v>
      </c>
      <c r="B70" s="102" t="s">
        <v>1255</v>
      </c>
      <c r="C70" s="102">
        <f aca="true" t="shared" si="28" ref="C70:H70">C68-(C68*Valued_Customer_Discount_Factor)</f>
        <v>0</v>
      </c>
      <c r="D70" s="102">
        <f t="shared" si="28"/>
        <v>0</v>
      </c>
      <c r="E70" s="102">
        <f t="shared" si="28"/>
        <v>0</v>
      </c>
      <c r="F70" s="102">
        <f t="shared" si="28"/>
        <v>0</v>
      </c>
      <c r="G70" s="102">
        <f t="shared" si="28"/>
        <v>0</v>
      </c>
      <c r="H70" s="102">
        <f t="shared" si="28"/>
        <v>0</v>
      </c>
      <c r="I70" s="1"/>
    </row>
    <row r="71" spans="1:9" s="102" customFormat="1" ht="12.75">
      <c r="A71" s="106"/>
      <c r="B71" s="102" t="s">
        <v>1256</v>
      </c>
      <c r="C71" s="102">
        <f aca="true" t="shared" si="29" ref="C71:H71">IF(Insured_State="MI",C70-(C70*C37),C70)</f>
        <v>0</v>
      </c>
      <c r="D71" s="102">
        <f t="shared" si="29"/>
        <v>0</v>
      </c>
      <c r="E71" s="102">
        <f t="shared" si="29"/>
        <v>0</v>
      </c>
      <c r="F71" s="102">
        <f t="shared" si="29"/>
        <v>0</v>
      </c>
      <c r="G71" s="102">
        <f t="shared" si="29"/>
        <v>0</v>
      </c>
      <c r="H71" s="102">
        <f t="shared" si="29"/>
        <v>0</v>
      </c>
      <c r="I71" s="1"/>
    </row>
    <row r="72" spans="1:9" s="102" customFormat="1" ht="12.75">
      <c r="A72" s="106"/>
      <c r="B72" s="102" t="s">
        <v>1257</v>
      </c>
      <c r="C72" s="102">
        <f aca="true" t="shared" si="30" ref="C72:H72">C71*Policy_Period_Factor</f>
        <v>0</v>
      </c>
      <c r="D72" s="102">
        <f t="shared" si="30"/>
        <v>0</v>
      </c>
      <c r="E72" s="102">
        <f t="shared" si="30"/>
        <v>0</v>
      </c>
      <c r="F72" s="102">
        <f t="shared" si="30"/>
        <v>0</v>
      </c>
      <c r="G72" s="102">
        <f t="shared" si="30"/>
        <v>0</v>
      </c>
      <c r="H72" s="102">
        <f t="shared" si="30"/>
        <v>0</v>
      </c>
      <c r="I72" s="1"/>
    </row>
    <row r="73" spans="1:9" s="102" customFormat="1" ht="12.75">
      <c r="A73" s="106"/>
      <c r="B73" s="102" t="s">
        <v>1258</v>
      </c>
      <c r="C73" s="102">
        <f aca="true" t="shared" si="31" ref="C73:H73">C72-(C72*Fampak_Discount_Factor)</f>
        <v>0</v>
      </c>
      <c r="D73" s="102">
        <f t="shared" si="31"/>
        <v>0</v>
      </c>
      <c r="E73" s="102">
        <f t="shared" si="31"/>
        <v>0</v>
      </c>
      <c r="F73" s="102">
        <f t="shared" si="31"/>
        <v>0</v>
      </c>
      <c r="G73" s="102">
        <f t="shared" si="31"/>
        <v>0</v>
      </c>
      <c r="H73" s="102">
        <f t="shared" si="31"/>
        <v>0</v>
      </c>
      <c r="I73" s="1"/>
    </row>
    <row r="74" spans="1:9" s="102" customFormat="1" ht="12.75">
      <c r="A74" s="106"/>
      <c r="B74" s="112" t="s">
        <v>1259</v>
      </c>
      <c r="C74" s="102">
        <f aca="true" t="shared" si="32" ref="C74:H74">C73-(C73*Prime_Life_Discount_Factor)</f>
        <v>0</v>
      </c>
      <c r="D74" s="102">
        <f t="shared" si="32"/>
        <v>0</v>
      </c>
      <c r="E74" s="102">
        <f t="shared" si="32"/>
        <v>0</v>
      </c>
      <c r="F74" s="102">
        <f t="shared" si="32"/>
        <v>0</v>
      </c>
      <c r="G74" s="102">
        <f t="shared" si="32"/>
        <v>0</v>
      </c>
      <c r="H74" s="102">
        <f t="shared" si="32"/>
        <v>0</v>
      </c>
      <c r="I74" s="1"/>
    </row>
    <row r="75" spans="1:9" s="102" customFormat="1" ht="12.75">
      <c r="A75" s="106"/>
      <c r="B75" s="102" t="s">
        <v>1260</v>
      </c>
      <c r="C75" s="102">
        <f aca="true" t="shared" si="33" ref="C75:H75">IF(Insured_State="PA",C74-(C74*C37),C74)</f>
        <v>0</v>
      </c>
      <c r="D75" s="102">
        <f t="shared" si="33"/>
        <v>0</v>
      </c>
      <c r="E75" s="102">
        <f t="shared" si="33"/>
        <v>0</v>
      </c>
      <c r="F75" s="102">
        <f t="shared" si="33"/>
        <v>0</v>
      </c>
      <c r="G75" s="102">
        <f t="shared" si="33"/>
        <v>0</v>
      </c>
      <c r="H75" s="102">
        <f t="shared" si="33"/>
        <v>0</v>
      </c>
      <c r="I75" s="1"/>
    </row>
    <row r="76" spans="1:9" s="102" customFormat="1" ht="12.75">
      <c r="A76" s="106"/>
      <c r="B76" s="102" t="s">
        <v>1261</v>
      </c>
      <c r="C76" s="102">
        <f aca="true" t="shared" si="34" ref="C76:H76">IF(Insured_State="PA",Tort_Factor_Medical,1)</f>
        <v>1</v>
      </c>
      <c r="D76" s="102">
        <f t="shared" si="34"/>
        <v>1</v>
      </c>
      <c r="E76" s="102">
        <f t="shared" si="34"/>
        <v>1</v>
      </c>
      <c r="F76" s="102">
        <f t="shared" si="34"/>
        <v>1</v>
      </c>
      <c r="G76" s="102">
        <f t="shared" si="34"/>
        <v>1</v>
      </c>
      <c r="H76" s="102">
        <f t="shared" si="34"/>
        <v>1</v>
      </c>
      <c r="I76" s="1"/>
    </row>
    <row r="77" spans="1:9" s="102" customFormat="1" ht="12.75">
      <c r="A77" s="106"/>
      <c r="B77" s="102" t="s">
        <v>1262</v>
      </c>
      <c r="C77" s="102">
        <f aca="true" t="shared" si="35" ref="C77:H77">C75*C76</f>
        <v>0</v>
      </c>
      <c r="D77" s="102">
        <f t="shared" si="35"/>
        <v>0</v>
      </c>
      <c r="E77" s="102">
        <f t="shared" si="35"/>
        <v>0</v>
      </c>
      <c r="F77" s="102">
        <f t="shared" si="35"/>
        <v>0</v>
      </c>
      <c r="G77" s="102">
        <f t="shared" si="35"/>
        <v>0</v>
      </c>
      <c r="H77" s="102">
        <f t="shared" si="35"/>
        <v>0</v>
      </c>
      <c r="I77" s="1"/>
    </row>
    <row r="78" spans="1:9" s="102" customFormat="1" ht="12.75">
      <c r="A78" s="106"/>
      <c r="B78" s="112" t="s">
        <v>1263</v>
      </c>
      <c r="C78" s="102">
        <f>C77-(C77*INDEX(Mass_Merchandise_Factor,,1))</f>
        <v>0</v>
      </c>
      <c r="D78" s="102">
        <f>D77-(D77*INDEX(Mass_Merchandise_Factor,,2))</f>
        <v>0</v>
      </c>
      <c r="E78" s="102">
        <f>E77-(E77*INDEX(Mass_Merchandise_Factor,,3))</f>
        <v>0</v>
      </c>
      <c r="F78" s="102">
        <f>F77-(F77*INDEX(Mass_Merchandise_Factor,,4))</f>
        <v>0</v>
      </c>
      <c r="G78" s="102">
        <f>G77-(G77*INDEX(Mass_Merchandise_Factor,,5))</f>
        <v>0</v>
      </c>
      <c r="H78" s="102">
        <f>H77-(H77*INDEX(Mass_Merchandise_Factor,,6))</f>
        <v>0</v>
      </c>
      <c r="I78" s="1"/>
    </row>
    <row r="79" spans="1:9" s="102" customFormat="1" ht="12.75">
      <c r="A79" s="106"/>
      <c r="B79" s="112" t="s">
        <v>1264</v>
      </c>
      <c r="C79" s="102">
        <f aca="true" t="shared" si="36" ref="C79:H79">C78-(C78*IN_Standard_Agent_Commission_Factor)</f>
        <v>0</v>
      </c>
      <c r="D79" s="102">
        <f t="shared" si="36"/>
        <v>0</v>
      </c>
      <c r="E79" s="102">
        <f t="shared" si="36"/>
        <v>0</v>
      </c>
      <c r="F79" s="102">
        <f t="shared" si="36"/>
        <v>0</v>
      </c>
      <c r="G79" s="102">
        <f t="shared" si="36"/>
        <v>0</v>
      </c>
      <c r="H79" s="102">
        <f t="shared" si="36"/>
        <v>0</v>
      </c>
      <c r="I79" s="1"/>
    </row>
    <row r="80" spans="1:9" s="102" customFormat="1" ht="12.75">
      <c r="A80" s="106" t="s">
        <v>1265</v>
      </c>
      <c r="B80" s="112" t="s">
        <v>1266</v>
      </c>
      <c r="C80" s="102">
        <f aca="true" t="shared" si="37" ref="C80:H80">C79</f>
        <v>0</v>
      </c>
      <c r="D80" s="102">
        <f t="shared" si="37"/>
        <v>0</v>
      </c>
      <c r="E80" s="102">
        <f t="shared" si="37"/>
        <v>0</v>
      </c>
      <c r="F80" s="102">
        <f t="shared" si="37"/>
        <v>0</v>
      </c>
      <c r="G80" s="102">
        <f t="shared" si="37"/>
        <v>0</v>
      </c>
      <c r="H80" s="102">
        <f t="shared" si="37"/>
        <v>0</v>
      </c>
      <c r="I80" s="1"/>
    </row>
    <row r="81" spans="1:9" s="102" customFormat="1" ht="12.75">
      <c r="A81" s="106"/>
      <c r="B81" s="112"/>
      <c r="I81" s="1"/>
    </row>
    <row r="82" spans="1:9" ht="12.75">
      <c r="A82" s="106"/>
      <c r="B82" s="102" t="s">
        <v>1267</v>
      </c>
      <c r="C82" s="102">
        <f>INDEX(Is_PIP_Applicable_For_Vehicle,,1)</f>
        <v>0</v>
      </c>
      <c r="D82" s="102">
        <f>INDEX(Is_PIP_Applicable_For_Vehicle,,2)</f>
        <v>0</v>
      </c>
      <c r="E82" s="102">
        <f>INDEX(Is_PIP_Applicable_For_Vehicle,,3)</f>
        <v>0</v>
      </c>
      <c r="F82" s="102">
        <f>INDEX(Is_PIP_Applicable_For_Vehicle,,4)</f>
        <v>0</v>
      </c>
      <c r="G82" s="102">
        <f>INDEX(Is_PIP_Applicable_For_Vehicle,,5)</f>
        <v>0</v>
      </c>
      <c r="H82" s="102">
        <f>INDEX(Is_PIP_Applicable_For_Vehicle,,6)</f>
        <v>0</v>
      </c>
      <c r="I82" s="1"/>
    </row>
    <row r="83" spans="3:9" s="112" customFormat="1" ht="12.75">
      <c r="C83" s="110"/>
      <c r="D83" s="110"/>
      <c r="E83" s="110"/>
      <c r="F83" s="110"/>
      <c r="G83" s="110"/>
      <c r="H83" s="110"/>
      <c r="I83" s="15"/>
    </row>
    <row r="84" spans="1:9" s="112" customFormat="1" ht="12.75">
      <c r="A84" s="106" t="s">
        <v>1270</v>
      </c>
      <c r="B84" s="106" t="s">
        <v>1325</v>
      </c>
      <c r="C84" s="110">
        <f aca="true" t="shared" si="38" ref="C84:H84">IF(OR(ISERROR(C80),C80&lt;=0,C82=0),0,ROUND(C80,2))</f>
        <v>0</v>
      </c>
      <c r="D84" s="110">
        <f t="shared" si="38"/>
        <v>0</v>
      </c>
      <c r="E84" s="110">
        <f t="shared" si="38"/>
        <v>0</v>
      </c>
      <c r="F84" s="110">
        <f t="shared" si="38"/>
        <v>0</v>
      </c>
      <c r="G84" s="110">
        <f t="shared" si="38"/>
        <v>0</v>
      </c>
      <c r="H84" s="110">
        <f t="shared" si="38"/>
        <v>0</v>
      </c>
      <c r="I84" s="15"/>
    </row>
    <row r="85" ht="12.75">
      <c r="A85" s="31"/>
    </row>
    <row r="87" spans="1:9" ht="12.75">
      <c r="A87" s="117"/>
      <c r="B87" s="121"/>
      <c r="C87" s="122"/>
      <c r="D87" s="122"/>
      <c r="E87" s="122"/>
      <c r="F87" s="47"/>
      <c r="G87" s="47"/>
      <c r="H87" s="47"/>
      <c r="I87" s="47"/>
    </row>
    <row r="88" spans="2:9" ht="12.75">
      <c r="B88" s="123"/>
      <c r="F88" s="47"/>
      <c r="G88" s="47"/>
      <c r="H88" s="47"/>
      <c r="I88" s="47"/>
    </row>
    <row r="90" ht="12.75">
      <c r="A90" s="31"/>
    </row>
    <row r="91" ht="12.75">
      <c r="B91" s="123"/>
    </row>
    <row r="92" ht="12.75">
      <c r="B92" s="123"/>
    </row>
    <row r="93" ht="12.75">
      <c r="A93" s="31"/>
    </row>
    <row r="94" spans="1:9" ht="12.75">
      <c r="A94" s="117"/>
      <c r="B94" s="121"/>
      <c r="C94" s="117"/>
      <c r="D94" s="117"/>
      <c r="E94" s="117"/>
      <c r="F94" s="47"/>
      <c r="G94" s="47"/>
      <c r="H94" s="47"/>
      <c r="I94" s="47"/>
    </row>
    <row r="95" spans="1:9" ht="12.75">
      <c r="A95" s="117"/>
      <c r="B95" s="121"/>
      <c r="C95" s="117"/>
      <c r="D95" s="117"/>
      <c r="E95" s="117"/>
      <c r="F95" s="47"/>
      <c r="G95" s="47"/>
      <c r="H95" s="47"/>
      <c r="I95" s="47"/>
    </row>
    <row r="96" spans="2:9" ht="12.75">
      <c r="B96" s="123"/>
      <c r="F96" s="47"/>
      <c r="G96" s="47"/>
      <c r="H96" s="47"/>
      <c r="I96" s="47"/>
    </row>
    <row r="97" spans="2:9" ht="12.75">
      <c r="B97" s="123"/>
      <c r="F97" s="47"/>
      <c r="G97" s="47"/>
      <c r="H97" s="47"/>
      <c r="I97" s="47"/>
    </row>
    <row r="99" ht="12.75">
      <c r="A99" s="31"/>
    </row>
    <row r="100" spans="1:9" ht="12.75">
      <c r="A100" s="117"/>
      <c r="B100" s="121"/>
      <c r="C100" s="117"/>
      <c r="D100" s="117"/>
      <c r="E100" s="117"/>
      <c r="F100" s="47"/>
      <c r="G100" s="47"/>
      <c r="H100" s="47"/>
      <c r="I100" s="47"/>
    </row>
    <row r="101" spans="1:9" ht="12.75">
      <c r="A101" s="117"/>
      <c r="B101" s="121"/>
      <c r="C101" s="117"/>
      <c r="D101" s="117"/>
      <c r="E101" s="117"/>
      <c r="F101" s="47"/>
      <c r="G101" s="47"/>
      <c r="H101" s="47"/>
      <c r="I101" s="47"/>
    </row>
    <row r="102" spans="2:9" ht="12.75">
      <c r="B102" s="123"/>
      <c r="F102" s="47"/>
      <c r="G102" s="47"/>
      <c r="H102" s="47"/>
      <c r="I102" s="47"/>
    </row>
    <row r="103" ht="12.75">
      <c r="B103" s="123"/>
    </row>
    <row r="104" spans="1:2" ht="12.75">
      <c r="A104" s="31"/>
      <c r="B104" s="123"/>
    </row>
    <row r="105" spans="1:2" ht="12.75">
      <c r="A105" s="31"/>
      <c r="B105" s="123"/>
    </row>
    <row r="106" spans="1:2" ht="12.75">
      <c r="A106" s="31"/>
      <c r="B106" s="123"/>
    </row>
    <row r="107" spans="1:2" ht="12.75">
      <c r="A107" s="31"/>
      <c r="B107" s="123"/>
    </row>
    <row r="109" ht="12.75">
      <c r="A109" s="31"/>
    </row>
    <row r="110" ht="12.75">
      <c r="B110" s="123"/>
    </row>
    <row r="112" ht="12.75">
      <c r="A112" s="31"/>
    </row>
    <row r="113" ht="12.75">
      <c r="B113" s="123"/>
    </row>
    <row r="115" ht="12.75">
      <c r="A115" s="31"/>
    </row>
    <row r="116" ht="12.75">
      <c r="B116" s="123"/>
    </row>
    <row r="118" ht="12.75">
      <c r="A118" s="31"/>
    </row>
    <row r="119" ht="12.75">
      <c r="B119" s="123"/>
    </row>
    <row r="121" ht="12.75">
      <c r="A121" s="31"/>
    </row>
    <row r="122" ht="12.75">
      <c r="B122" s="123"/>
    </row>
    <row r="124" ht="12.75">
      <c r="A124" s="31"/>
    </row>
    <row r="125" ht="12.75">
      <c r="B125" s="123"/>
    </row>
    <row r="127" ht="12.75">
      <c r="A127" s="31"/>
    </row>
    <row r="128" spans="2:5" ht="12.75">
      <c r="B128" s="123"/>
      <c r="C128" s="31"/>
      <c r="D128" s="31"/>
      <c r="E128" s="31"/>
    </row>
  </sheetData>
  <printOptions/>
  <pageMargins left="0.75" right="0.75" top="1" bottom="1" header="0.5" footer="0.5"/>
  <pageSetup horizontalDpi="600" verticalDpi="6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BK57"/>
  <sheetViews>
    <sheetView zoomScale="75" zoomScaleNormal="75" workbookViewId="0" topLeftCell="A18">
      <selection activeCell="C24" sqref="C24:H24"/>
    </sheetView>
  </sheetViews>
  <sheetFormatPr defaultColWidth="9.140625" defaultRowHeight="12.75"/>
  <cols>
    <col min="2" max="2" width="30.8515625" style="0" customWidth="1"/>
    <col min="9" max="9" width="38.7109375" style="0" customWidth="1"/>
  </cols>
  <sheetData>
    <row r="1" spans="2:5" ht="20.25" customHeight="1">
      <c r="B1" s="114" t="s">
        <v>1326</v>
      </c>
      <c r="C1" s="116"/>
      <c r="D1" s="116"/>
      <c r="E1" s="116"/>
    </row>
    <row r="2" spans="1:8" ht="20.25" customHeight="1">
      <c r="A2" s="103"/>
      <c r="B2" s="105"/>
      <c r="C2" s="103"/>
      <c r="D2" s="103"/>
      <c r="E2" s="103"/>
      <c r="F2" s="102"/>
      <c r="G2" s="102"/>
      <c r="H2" s="102"/>
    </row>
    <row r="3" spans="1:9" ht="12.75">
      <c r="A3" s="106" t="s">
        <v>1206</v>
      </c>
      <c r="B3" s="106" t="s">
        <v>1207</v>
      </c>
      <c r="C3" s="106" t="s">
        <v>428</v>
      </c>
      <c r="D3" s="106" t="s">
        <v>429</v>
      </c>
      <c r="E3" s="106" t="s">
        <v>430</v>
      </c>
      <c r="F3" s="106" t="s">
        <v>431</v>
      </c>
      <c r="G3" s="106" t="s">
        <v>432</v>
      </c>
      <c r="H3" s="106" t="s">
        <v>433</v>
      </c>
      <c r="I3" s="6" t="s">
        <v>229</v>
      </c>
    </row>
    <row r="4" spans="1:9" ht="12.75">
      <c r="A4" s="106" t="s">
        <v>1208</v>
      </c>
      <c r="B4" s="102" t="s">
        <v>1209</v>
      </c>
      <c r="C4" s="102">
        <f>INDEX(Medical_Base_Rate,1,1)</f>
        <v>0</v>
      </c>
      <c r="D4" s="102">
        <f>INDEX(Medical_Base_Rate,1,2)</f>
        <v>0</v>
      </c>
      <c r="E4" s="102">
        <f>INDEX(Medical_Base_Rate,1,3)</f>
        <v>0</v>
      </c>
      <c r="F4" s="102">
        <f>INDEX(Medical_Base_Rate,1,4)</f>
        <v>0</v>
      </c>
      <c r="G4" s="102">
        <f>INDEX(Medical_Base_Rate,1,5)</f>
        <v>0</v>
      </c>
      <c r="H4" s="102">
        <f>INDEX(Medical_Base_Rate,1,6)</f>
        <v>0</v>
      </c>
      <c r="I4" s="1"/>
    </row>
    <row r="5" spans="1:9" s="102" customFormat="1" ht="12.75">
      <c r="A5" s="106"/>
      <c r="B5" s="102" t="s">
        <v>1210</v>
      </c>
      <c r="C5" s="102">
        <f>INDEX(NC_Adjusted_Medical_Rate,,1)</f>
        <v>0</v>
      </c>
      <c r="D5" s="102">
        <f>INDEX(NC_Adjusted_Medical_Rate,,2)</f>
        <v>0</v>
      </c>
      <c r="E5" s="102">
        <f>INDEX(NC_Adjusted_Medical_Rate,,3)</f>
        <v>0</v>
      </c>
      <c r="F5" s="102">
        <f>INDEX(NC_Adjusted_Medical_Rate,,4)</f>
        <v>0</v>
      </c>
      <c r="G5" s="102">
        <f>INDEX(NC_Adjusted_Medical_Rate,,5)</f>
        <v>0</v>
      </c>
      <c r="H5" s="102">
        <f>INDEX(NC_Adjusted_Medical_Rate,,6)</f>
        <v>0</v>
      </c>
      <c r="I5" s="1"/>
    </row>
    <row r="6" spans="1:9" s="102" customFormat="1" ht="12.75">
      <c r="A6" s="106"/>
      <c r="B6" s="102" t="s">
        <v>1211</v>
      </c>
      <c r="C6" s="102">
        <f aca="true" t="shared" si="0" ref="C6:H6">SUM(C2:C5)</f>
        <v>0</v>
      </c>
      <c r="D6" s="102">
        <f t="shared" si="0"/>
        <v>0</v>
      </c>
      <c r="E6" s="102">
        <f t="shared" si="0"/>
        <v>0</v>
      </c>
      <c r="F6" s="102">
        <f t="shared" si="0"/>
        <v>0</v>
      </c>
      <c r="G6" s="102">
        <f t="shared" si="0"/>
        <v>0</v>
      </c>
      <c r="H6" s="102">
        <f t="shared" si="0"/>
        <v>0</v>
      </c>
      <c r="I6" s="1"/>
    </row>
    <row r="7" spans="1:9" s="102" customFormat="1" ht="12.75">
      <c r="A7" s="106"/>
      <c r="I7" s="1"/>
    </row>
    <row r="8" spans="1:9" s="102" customFormat="1" ht="12.75">
      <c r="A8" s="106" t="s">
        <v>1212</v>
      </c>
      <c r="B8" s="107" t="s">
        <v>1213</v>
      </c>
      <c r="C8" s="102">
        <f aca="true" t="shared" si="1" ref="C8:H8">(C6*IF(Insured_State="NC",Company_Deviation_Factor_NC,Company_Deviation_Factor_Medical)*Tier_Rating_Factor)</f>
        <v>0</v>
      </c>
      <c r="D8" s="102">
        <f t="shared" si="1"/>
        <v>0</v>
      </c>
      <c r="E8" s="102">
        <f t="shared" si="1"/>
        <v>0</v>
      </c>
      <c r="F8" s="102">
        <f t="shared" si="1"/>
        <v>0</v>
      </c>
      <c r="G8" s="102">
        <f t="shared" si="1"/>
        <v>0</v>
      </c>
      <c r="H8" s="102">
        <f t="shared" si="1"/>
        <v>0</v>
      </c>
      <c r="I8" s="1"/>
    </row>
    <row r="9" spans="1:9" s="102" customFormat="1" ht="12.75">
      <c r="A9" s="106"/>
      <c r="B9" s="107"/>
      <c r="I9" s="1"/>
    </row>
    <row r="10" spans="1:63" s="117" customFormat="1" ht="12.75">
      <c r="A10" s="106" t="s">
        <v>1214</v>
      </c>
      <c r="B10" s="102" t="s">
        <v>1215</v>
      </c>
      <c r="C10" s="102">
        <f>IF(Insured_State="NC",1,INDEX(Medical_Increased_Limits_Factor,,1))</f>
        <v>0</v>
      </c>
      <c r="D10" s="102">
        <f>IF(Insured_State="NC",1,INDEX(Medical_Increased_Limits_Factor,,2))</f>
        <v>0</v>
      </c>
      <c r="E10" s="102">
        <f>IF(Insured_State="NC",1,INDEX(Medical_Increased_Limits_Factor,,3))</f>
        <v>0</v>
      </c>
      <c r="F10" s="102">
        <f>IF(Insured_State="NC",1,INDEX(Medical_Increased_Limits_Factor,,4))</f>
        <v>0</v>
      </c>
      <c r="G10" s="102">
        <f>IF(Insured_State="NC",1,INDEX(Medical_Increased_Limits_Factor,,5))</f>
        <v>0</v>
      </c>
      <c r="H10" s="102">
        <f>IF(Insured_State="NC",1,INDEX(Medical_Increased_Limits_Factor,,6))</f>
        <v>0</v>
      </c>
      <c r="I10" s="1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</row>
    <row r="11" spans="1:63" s="117" customFormat="1" ht="12.75">
      <c r="A11" s="102"/>
      <c r="B11" s="108" t="s">
        <v>1219</v>
      </c>
      <c r="C11" s="102">
        <f aca="true" t="shared" si="2" ref="C11:H11">(C8*C10)</f>
        <v>0</v>
      </c>
      <c r="D11" s="102">
        <f t="shared" si="2"/>
        <v>0</v>
      </c>
      <c r="E11" s="102">
        <f t="shared" si="2"/>
        <v>0</v>
      </c>
      <c r="F11" s="102">
        <f t="shared" si="2"/>
        <v>0</v>
      </c>
      <c r="G11" s="102">
        <f t="shared" si="2"/>
        <v>0</v>
      </c>
      <c r="H11" s="102">
        <f t="shared" si="2"/>
        <v>0</v>
      </c>
      <c r="I11" s="1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</row>
    <row r="12" spans="1:63" s="117" customFormat="1" ht="12.75">
      <c r="A12" s="102"/>
      <c r="B12" s="109"/>
      <c r="C12" s="102"/>
      <c r="D12" s="102"/>
      <c r="E12" s="102"/>
      <c r="F12" s="102"/>
      <c r="G12" s="102"/>
      <c r="H12" s="102"/>
      <c r="I12" s="1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</row>
    <row r="13" spans="1:63" ht="12.75">
      <c r="A13" s="106" t="s">
        <v>1222</v>
      </c>
      <c r="B13" s="102" t="s">
        <v>1223</v>
      </c>
      <c r="C13" s="102">
        <f>INDEX(Primary_class_factor_for_BI_and_PD,1,1)</f>
        <v>0</v>
      </c>
      <c r="D13" s="102">
        <f>INDEX(Primary_class_factor_for_BI_and_PD,1,2)</f>
        <v>0</v>
      </c>
      <c r="E13" s="102">
        <f>INDEX(Primary_class_factor_for_BI_and_PD,1,3)</f>
        <v>0</v>
      </c>
      <c r="F13" s="102">
        <f>INDEX(Primary_class_factor_for_BI_and_PD,1,4)</f>
        <v>0</v>
      </c>
      <c r="G13" s="102">
        <f>INDEX(Primary_class_factor_for_BI_and_PD,1,5)</f>
        <v>0</v>
      </c>
      <c r="H13" s="102">
        <f>INDEX(Primary_class_factor_for_BI_and_PD,1,6)</f>
        <v>0</v>
      </c>
      <c r="I13" s="1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</row>
    <row r="14" spans="1:9" s="102" customFormat="1" ht="12.75">
      <c r="A14" s="106"/>
      <c r="B14" s="102" t="s">
        <v>1224</v>
      </c>
      <c r="C14" s="102">
        <f>INDEX(NC_Primary_Factor_Liability,,1)</f>
        <v>0</v>
      </c>
      <c r="D14" s="102">
        <f>INDEX(NC_Primary_Factor_Liability,,2)</f>
        <v>0</v>
      </c>
      <c r="E14" s="102">
        <f>INDEX(NC_Primary_Factor_Liability,,3)</f>
        <v>0</v>
      </c>
      <c r="F14" s="102">
        <f>INDEX(NC_Primary_Factor_Liability,,4)</f>
        <v>0</v>
      </c>
      <c r="G14" s="102">
        <f>INDEX(NC_Primary_Factor_Liability,,5)</f>
        <v>0</v>
      </c>
      <c r="H14" s="102">
        <f>INDEX(NC_Primary_Factor_Liability,,6)</f>
        <v>0</v>
      </c>
      <c r="I14" s="1"/>
    </row>
    <row r="15" spans="1:9" ht="12.75">
      <c r="A15" s="102"/>
      <c r="B15" s="102"/>
      <c r="C15" s="102"/>
      <c r="D15" s="102"/>
      <c r="E15" s="102"/>
      <c r="F15" s="102"/>
      <c r="G15" s="102"/>
      <c r="H15" s="102"/>
      <c r="I15" s="1"/>
    </row>
    <row r="16" spans="1:9" ht="12.75">
      <c r="A16" s="106" t="s">
        <v>1225</v>
      </c>
      <c r="B16" s="102" t="s">
        <v>1226</v>
      </c>
      <c r="C16" s="102">
        <f>INDEX(Secondary_class_factor_for_BI_and_PD,1,1)</f>
        <v>0</v>
      </c>
      <c r="D16" s="102">
        <f>INDEX(Secondary_class_factor_for_BI_and_PD,1,2)</f>
        <v>0</v>
      </c>
      <c r="E16" s="102">
        <f>INDEX(Secondary_class_factor_for_BI_and_PD,1,3)</f>
        <v>0</v>
      </c>
      <c r="F16" s="102">
        <f>INDEX(Secondary_class_factor_for_BI_and_PD,1,4)</f>
        <v>0</v>
      </c>
      <c r="G16" s="102">
        <f>INDEX(Secondary_class_factor_for_BI_and_PD,1,5)</f>
        <v>0</v>
      </c>
      <c r="H16" s="102">
        <f>INDEX(Secondary_class_factor_for_BI_and_PD,1,6)</f>
        <v>0</v>
      </c>
      <c r="I16" s="1"/>
    </row>
    <row r="17" spans="1:9" s="102" customFormat="1" ht="12.75">
      <c r="A17" s="106"/>
      <c r="B17" s="102" t="s">
        <v>1227</v>
      </c>
      <c r="C17" s="102">
        <f>INDEX(NC_No_Inexperience_Liability,,1)+INDEX(NC_Inexperience_Liability,,1)</f>
        <v>0</v>
      </c>
      <c r="D17" s="102">
        <f>INDEX(NC_No_Inexperience_Liability,,2)+INDEX(NC_Inexperience_Liability,,2)</f>
        <v>0</v>
      </c>
      <c r="E17" s="102">
        <f>INDEX(NC_No_Inexperience_Liability,,3)+INDEX(NC_Inexperience_Liability,,3)</f>
        <v>0</v>
      </c>
      <c r="F17" s="102">
        <f>INDEX(NC_No_Inexperience_Liability,,4)+INDEX(NC_Inexperience_Liability,,4)</f>
        <v>0</v>
      </c>
      <c r="G17" s="102">
        <f>INDEX(NC_No_Inexperience_Liability,,5)+INDEX(NC_Inexperience_Liability,,5)</f>
        <v>0</v>
      </c>
      <c r="H17" s="102">
        <f>INDEX(NC_No_Inexperience_Liability,,6)+INDEX(NC_Inexperience_Liability,,6)</f>
        <v>0</v>
      </c>
      <c r="I17" s="1"/>
    </row>
    <row r="18" spans="1:9" ht="12.75">
      <c r="A18" s="102"/>
      <c r="B18" s="109"/>
      <c r="C18" s="102"/>
      <c r="D18" s="102"/>
      <c r="E18" s="102"/>
      <c r="F18" s="102"/>
      <c r="G18" s="102"/>
      <c r="H18" s="102"/>
      <c r="I18" s="1"/>
    </row>
    <row r="19" spans="1:9" ht="12.75">
      <c r="A19" s="106" t="s">
        <v>1229</v>
      </c>
      <c r="B19" s="108" t="s">
        <v>1230</v>
      </c>
      <c r="C19" s="102">
        <f aca="true" t="shared" si="3" ref="C19:H19">SUM(C13:C14)+SUM(C16:C17)</f>
        <v>0</v>
      </c>
      <c r="D19" s="102">
        <f t="shared" si="3"/>
        <v>0</v>
      </c>
      <c r="E19" s="102">
        <f t="shared" si="3"/>
        <v>0</v>
      </c>
      <c r="F19" s="102">
        <f t="shared" si="3"/>
        <v>0</v>
      </c>
      <c r="G19" s="102">
        <f t="shared" si="3"/>
        <v>0</v>
      </c>
      <c r="H19" s="102">
        <f t="shared" si="3"/>
        <v>0</v>
      </c>
      <c r="I19" s="1"/>
    </row>
    <row r="20" spans="1:9" ht="12.75">
      <c r="A20" s="102"/>
      <c r="B20" s="102"/>
      <c r="C20" s="102"/>
      <c r="D20" s="102"/>
      <c r="E20" s="102"/>
      <c r="F20" s="102"/>
      <c r="G20" s="102"/>
      <c r="H20" s="102"/>
      <c r="I20" s="1"/>
    </row>
    <row r="21" spans="1:12" s="117" customFormat="1" ht="12.75">
      <c r="A21" s="106" t="s">
        <v>1231</v>
      </c>
      <c r="B21" s="102" t="s">
        <v>1232</v>
      </c>
      <c r="C21" s="102">
        <f aca="true" t="shared" si="4" ref="C21:H21">C11*C19</f>
        <v>0</v>
      </c>
      <c r="D21" s="102">
        <f t="shared" si="4"/>
        <v>0</v>
      </c>
      <c r="E21" s="102">
        <f t="shared" si="4"/>
        <v>0</v>
      </c>
      <c r="F21" s="102">
        <f t="shared" si="4"/>
        <v>0</v>
      </c>
      <c r="G21" s="102">
        <f t="shared" si="4"/>
        <v>0</v>
      </c>
      <c r="H21" s="102">
        <f t="shared" si="4"/>
        <v>0</v>
      </c>
      <c r="I21" s="1"/>
      <c r="J21" s="47"/>
      <c r="K21" s="47"/>
      <c r="L21" s="47"/>
    </row>
    <row r="22" spans="1:12" s="117" customFormat="1" ht="12.75">
      <c r="A22" s="102"/>
      <c r="B22" s="109"/>
      <c r="C22" s="102"/>
      <c r="D22" s="102"/>
      <c r="E22" s="102"/>
      <c r="F22" s="102"/>
      <c r="G22" s="102"/>
      <c r="H22" s="102"/>
      <c r="I22" s="1"/>
      <c r="J22" s="47"/>
      <c r="K22" s="47"/>
      <c r="L22" s="47"/>
    </row>
    <row r="23" spans="1:12" ht="12.75">
      <c r="A23" s="106" t="s">
        <v>1233</v>
      </c>
      <c r="B23" s="108" t="s">
        <v>1302</v>
      </c>
      <c r="C23" s="102">
        <f>INDEX(Air_bag_Discount_Factor,1,1)</f>
        <v>0</v>
      </c>
      <c r="D23" s="102">
        <f>INDEX(Air_bag_Discount_Factor,1,2)</f>
        <v>0</v>
      </c>
      <c r="E23" s="102">
        <f>INDEX(Air_bag_Discount_Factor,1,3)</f>
        <v>0</v>
      </c>
      <c r="F23" s="102">
        <f>INDEX(Air_bag_Discount_Factor,1,4)</f>
        <v>0</v>
      </c>
      <c r="G23" s="102">
        <f>INDEX(Air_bag_Discount_Factor,1,5)</f>
        <v>0</v>
      </c>
      <c r="H23" s="102">
        <f>INDEX(Air_bag_Discount_Factor,1,6)</f>
        <v>0</v>
      </c>
      <c r="I23" s="1"/>
      <c r="J23" s="47"/>
      <c r="K23" s="47"/>
      <c r="L23" s="47"/>
    </row>
    <row r="24" spans="1:12" ht="12.75">
      <c r="A24" s="102"/>
      <c r="B24" s="108" t="s">
        <v>1303</v>
      </c>
      <c r="C24" s="110">
        <f aca="true" t="shared" si="5" ref="C24:H24">C21*C23</f>
        <v>0</v>
      </c>
      <c r="D24" s="110">
        <f t="shared" si="5"/>
        <v>0</v>
      </c>
      <c r="E24" s="110">
        <f t="shared" si="5"/>
        <v>0</v>
      </c>
      <c r="F24" s="110">
        <f t="shared" si="5"/>
        <v>0</v>
      </c>
      <c r="G24" s="110">
        <f t="shared" si="5"/>
        <v>0</v>
      </c>
      <c r="H24" s="110">
        <f t="shared" si="5"/>
        <v>0</v>
      </c>
      <c r="I24" s="1"/>
      <c r="J24" s="47"/>
      <c r="K24" s="47"/>
      <c r="L24" s="47"/>
    </row>
    <row r="25" spans="1:9" ht="12.75">
      <c r="A25" s="102"/>
      <c r="B25" s="108" t="s">
        <v>1304</v>
      </c>
      <c r="C25" s="110">
        <f aca="true" t="shared" si="6" ref="C25:H25">C21-C24</f>
        <v>0</v>
      </c>
      <c r="D25" s="110">
        <f t="shared" si="6"/>
        <v>0</v>
      </c>
      <c r="E25" s="110">
        <f t="shared" si="6"/>
        <v>0</v>
      </c>
      <c r="F25" s="110">
        <f t="shared" si="6"/>
        <v>0</v>
      </c>
      <c r="G25" s="110">
        <f t="shared" si="6"/>
        <v>0</v>
      </c>
      <c r="H25" s="110">
        <f t="shared" si="6"/>
        <v>0</v>
      </c>
      <c r="I25" s="1"/>
    </row>
    <row r="26" spans="1:9" ht="12.75">
      <c r="A26" s="102"/>
      <c r="B26" s="108"/>
      <c r="C26" s="111"/>
      <c r="D26" s="111"/>
      <c r="E26" s="111"/>
      <c r="F26" s="111"/>
      <c r="G26" s="111"/>
      <c r="H26" s="111"/>
      <c r="I26" s="1"/>
    </row>
    <row r="27" spans="1:12" s="117" customFormat="1" ht="12.75" customHeight="1">
      <c r="A27" s="106" t="s">
        <v>1236</v>
      </c>
      <c r="B27" s="108" t="s">
        <v>816</v>
      </c>
      <c r="C27" s="102">
        <f>INDEX(SDIP_Factor,,1)</f>
        <v>0</v>
      </c>
      <c r="D27" s="102">
        <f>INDEX(SDIP_Factor,,2)</f>
        <v>0</v>
      </c>
      <c r="E27" s="102">
        <f>INDEX(SDIP_Factor,,3)</f>
        <v>0</v>
      </c>
      <c r="F27" s="102">
        <f>INDEX(SDIP_Factor,,4)</f>
        <v>0</v>
      </c>
      <c r="G27" s="102">
        <f>INDEX(SDIP_Factor,,5)</f>
        <v>0</v>
      </c>
      <c r="H27" s="102">
        <f>INDEX(SDIP_Factor,,6)</f>
        <v>0</v>
      </c>
      <c r="I27" s="1"/>
      <c r="J27" s="47"/>
      <c r="K27" s="47"/>
      <c r="L27" s="47"/>
    </row>
    <row r="28" spans="1:9" ht="12.75">
      <c r="A28" s="106"/>
      <c r="B28" s="108" t="s">
        <v>1237</v>
      </c>
      <c r="C28" s="111">
        <f>INDEX(Accident_Prevention_Discount_Factor,,1)</f>
        <v>0</v>
      </c>
      <c r="D28" s="111">
        <f>INDEX(Accident_Prevention_Discount_Factor,,2)</f>
        <v>0</v>
      </c>
      <c r="E28" s="111">
        <f>INDEX(Accident_Prevention_Discount_Factor,,3)</f>
        <v>0</v>
      </c>
      <c r="F28" s="111">
        <f>INDEX(Accident_Prevention_Discount_Factor,,4)</f>
        <v>0</v>
      </c>
      <c r="G28" s="111">
        <f>INDEX(Accident_Prevention_Discount_Factor,,5)</f>
        <v>0</v>
      </c>
      <c r="H28" s="111">
        <f>INDEX(Accident_Prevention_Discount_Factor,,6)</f>
        <v>0</v>
      </c>
      <c r="I28" s="1"/>
    </row>
    <row r="29" spans="1:9" ht="12.75">
      <c r="A29" s="106"/>
      <c r="B29" s="108" t="s">
        <v>837</v>
      </c>
      <c r="C29" s="111">
        <f>INDEX(Minivan_Discount_Factor,,1)</f>
        <v>0</v>
      </c>
      <c r="D29" s="111">
        <f>INDEX(Minivan_Discount_Factor,,2)</f>
        <v>0</v>
      </c>
      <c r="E29" s="111">
        <f>INDEX(Minivan_Discount_Factor,,3)</f>
        <v>0</v>
      </c>
      <c r="F29" s="111">
        <f>INDEX(Minivan_Discount_Factor,,4)</f>
        <v>0</v>
      </c>
      <c r="G29" s="111">
        <f>INDEX(Minivan_Discount_Factor,,5)</f>
        <v>0</v>
      </c>
      <c r="H29" s="111">
        <f>INDEX(Minivan_Discount_Factor,,6)</f>
        <v>0</v>
      </c>
      <c r="I29" s="1"/>
    </row>
    <row r="30" spans="1:12" s="117" customFormat="1" ht="12.75">
      <c r="A30" s="102"/>
      <c r="B30" s="108"/>
      <c r="C30" s="102"/>
      <c r="D30" s="102"/>
      <c r="E30" s="102"/>
      <c r="F30" s="102"/>
      <c r="G30" s="102"/>
      <c r="H30" s="102"/>
      <c r="I30" s="1"/>
      <c r="J30" s="47"/>
      <c r="K30" s="47"/>
      <c r="L30" s="47"/>
    </row>
    <row r="31" spans="1:12" ht="12.75">
      <c r="A31" s="106" t="s">
        <v>1238</v>
      </c>
      <c r="B31" s="108" t="s">
        <v>1239</v>
      </c>
      <c r="C31" s="102">
        <f aca="true" t="shared" si="7" ref="C31:H31">C27*C2</f>
        <v>0</v>
      </c>
      <c r="D31" s="102">
        <f t="shared" si="7"/>
        <v>0</v>
      </c>
      <c r="E31" s="102">
        <f t="shared" si="7"/>
        <v>0</v>
      </c>
      <c r="F31" s="102">
        <f t="shared" si="7"/>
        <v>0</v>
      </c>
      <c r="G31" s="102">
        <f t="shared" si="7"/>
        <v>0</v>
      </c>
      <c r="H31" s="102">
        <f t="shared" si="7"/>
        <v>0</v>
      </c>
      <c r="I31" s="1"/>
      <c r="J31" s="47"/>
      <c r="K31" s="47"/>
      <c r="L31" s="47"/>
    </row>
    <row r="32" spans="1:9" ht="12.75">
      <c r="A32" s="102"/>
      <c r="B32" s="108" t="s">
        <v>1240</v>
      </c>
      <c r="C32" s="110">
        <f aca="true" t="shared" si="8" ref="C32:H32">IF(OR(Insured_State="AR",Insured_State="ID",Insured_State="NM",Insured_State="OH",Insured_State="TN"),C25*C28,0)</f>
        <v>0</v>
      </c>
      <c r="D32" s="110">
        <f t="shared" si="8"/>
        <v>0</v>
      </c>
      <c r="E32" s="110">
        <f t="shared" si="8"/>
        <v>0</v>
      </c>
      <c r="F32" s="110">
        <f t="shared" si="8"/>
        <v>0</v>
      </c>
      <c r="G32" s="110">
        <f t="shared" si="8"/>
        <v>0</v>
      </c>
      <c r="H32" s="110">
        <f t="shared" si="8"/>
        <v>0</v>
      </c>
      <c r="I32" s="1"/>
    </row>
    <row r="33" spans="1:9" ht="12.75">
      <c r="A33" s="102"/>
      <c r="B33" s="108" t="s">
        <v>1242</v>
      </c>
      <c r="C33" s="110">
        <f aca="true" t="shared" si="9" ref="C33:H33">(C25-C32)*C29</f>
        <v>0</v>
      </c>
      <c r="D33" s="110">
        <f t="shared" si="9"/>
        <v>0</v>
      </c>
      <c r="E33" s="110">
        <f t="shared" si="9"/>
        <v>0</v>
      </c>
      <c r="F33" s="110">
        <f t="shared" si="9"/>
        <v>0</v>
      </c>
      <c r="G33" s="110">
        <f t="shared" si="9"/>
        <v>0</v>
      </c>
      <c r="H33" s="110">
        <f t="shared" si="9"/>
        <v>0</v>
      </c>
      <c r="I33" s="1"/>
    </row>
    <row r="34" spans="1:9" ht="12.75">
      <c r="A34" s="106"/>
      <c r="B34" s="108"/>
      <c r="C34" s="102"/>
      <c r="D34" s="102"/>
      <c r="E34" s="102"/>
      <c r="F34" s="102"/>
      <c r="G34" s="102"/>
      <c r="H34" s="102"/>
      <c r="I34" s="1"/>
    </row>
    <row r="35" spans="1:9" ht="12.75">
      <c r="A35" s="106" t="s">
        <v>1243</v>
      </c>
      <c r="B35" s="102" t="s">
        <v>1244</v>
      </c>
      <c r="C35" s="110">
        <f aca="true" t="shared" si="10" ref="C35:H35">(C25+C31-C32-C33)</f>
        <v>0</v>
      </c>
      <c r="D35" s="110">
        <f t="shared" si="10"/>
        <v>0</v>
      </c>
      <c r="E35" s="110">
        <f t="shared" si="10"/>
        <v>0</v>
      </c>
      <c r="F35" s="110">
        <f t="shared" si="10"/>
        <v>0</v>
      </c>
      <c r="G35" s="110">
        <f t="shared" si="10"/>
        <v>0</v>
      </c>
      <c r="H35" s="110">
        <f t="shared" si="10"/>
        <v>0</v>
      </c>
      <c r="I35" s="1"/>
    </row>
    <row r="36" spans="1:9" ht="12.75">
      <c r="A36" s="102"/>
      <c r="B36" s="102"/>
      <c r="C36" s="102"/>
      <c r="D36" s="102"/>
      <c r="E36" s="102"/>
      <c r="F36" s="102"/>
      <c r="G36" s="102"/>
      <c r="H36" s="102"/>
      <c r="I36" s="1"/>
    </row>
    <row r="37" spans="1:9" ht="12.75">
      <c r="A37" s="106" t="s">
        <v>1247</v>
      </c>
      <c r="B37" s="102" t="s">
        <v>1248</v>
      </c>
      <c r="C37" s="102">
        <f>INDEX(Medical_Minium_Premium,1,1)</f>
        <v>0</v>
      </c>
      <c r="D37" s="102">
        <f>INDEX(Medical_Minium_Premium,1,2)</f>
        <v>0</v>
      </c>
      <c r="E37" s="102">
        <f>INDEX(Medical_Minium_Premium,1,3)</f>
        <v>0</v>
      </c>
      <c r="F37" s="102">
        <f>INDEX(Medical_Minium_Premium,1,4)</f>
        <v>0</v>
      </c>
      <c r="G37" s="102">
        <f>INDEX(Medical_Minium_Premium,1,5)</f>
        <v>0</v>
      </c>
      <c r="H37" s="102">
        <f>INDEX(Medical_Minium_Premium,1,6)</f>
        <v>0</v>
      </c>
      <c r="I37" s="1"/>
    </row>
    <row r="38" spans="1:9" ht="12.75">
      <c r="A38" s="106"/>
      <c r="B38" s="102" t="s">
        <v>1249</v>
      </c>
      <c r="C38" s="102">
        <f aca="true" t="shared" si="11" ref="C38:H38">IF(C35&lt;C37,C37,C35)</f>
        <v>0</v>
      </c>
      <c r="D38" s="102">
        <f t="shared" si="11"/>
        <v>0</v>
      </c>
      <c r="E38" s="102">
        <f t="shared" si="11"/>
        <v>0</v>
      </c>
      <c r="F38" s="102">
        <f t="shared" si="11"/>
        <v>0</v>
      </c>
      <c r="G38" s="102">
        <f t="shared" si="11"/>
        <v>0</v>
      </c>
      <c r="H38" s="102">
        <f t="shared" si="11"/>
        <v>0</v>
      </c>
      <c r="I38" s="1"/>
    </row>
    <row r="39" spans="1:9" ht="12.75">
      <c r="A39" s="102"/>
      <c r="B39" s="109"/>
      <c r="C39" s="102"/>
      <c r="D39" s="102"/>
      <c r="E39" s="102"/>
      <c r="F39" s="102"/>
      <c r="G39" s="102"/>
      <c r="H39" s="102"/>
      <c r="I39" s="1"/>
    </row>
    <row r="40" spans="1:9" ht="12.75">
      <c r="A40" s="106" t="s">
        <v>1250</v>
      </c>
      <c r="B40" s="102" t="s">
        <v>1251</v>
      </c>
      <c r="C40" s="102">
        <f aca="true" t="shared" si="12" ref="C40:H40">C38</f>
        <v>0</v>
      </c>
      <c r="D40" s="102">
        <f t="shared" si="12"/>
        <v>0</v>
      </c>
      <c r="E40" s="102">
        <f t="shared" si="12"/>
        <v>0</v>
      </c>
      <c r="F40" s="102">
        <f t="shared" si="12"/>
        <v>0</v>
      </c>
      <c r="G40" s="102">
        <f t="shared" si="12"/>
        <v>0</v>
      </c>
      <c r="H40" s="102">
        <f t="shared" si="12"/>
        <v>0</v>
      </c>
      <c r="I40" s="1"/>
    </row>
    <row r="41" spans="1:9" s="102" customFormat="1" ht="12.75">
      <c r="A41" s="106"/>
      <c r="I41" s="1"/>
    </row>
    <row r="42" spans="1:9" s="102" customFormat="1" ht="12.75">
      <c r="A42" s="106" t="s">
        <v>1254</v>
      </c>
      <c r="B42" s="102" t="s">
        <v>1327</v>
      </c>
      <c r="C42" s="102">
        <f aca="true" t="shared" si="13" ref="C42:H42">C40-(C40*Loss_Free_Credit_Factor)</f>
        <v>0</v>
      </c>
      <c r="D42" s="102">
        <f t="shared" si="13"/>
        <v>0</v>
      </c>
      <c r="E42" s="102">
        <f t="shared" si="13"/>
        <v>0</v>
      </c>
      <c r="F42" s="102">
        <f t="shared" si="13"/>
        <v>0</v>
      </c>
      <c r="G42" s="102">
        <f t="shared" si="13"/>
        <v>0</v>
      </c>
      <c r="H42" s="102">
        <f t="shared" si="13"/>
        <v>0</v>
      </c>
      <c r="I42" s="1"/>
    </row>
    <row r="43" spans="1:9" s="102" customFormat="1" ht="12.75">
      <c r="A43" s="106"/>
      <c r="B43" s="102" t="s">
        <v>1255</v>
      </c>
      <c r="C43" s="102">
        <f aca="true" t="shared" si="14" ref="C43:H43">C42-(C42*Valued_Customer_Discount_Factor)</f>
        <v>0</v>
      </c>
      <c r="D43" s="102">
        <f t="shared" si="14"/>
        <v>0</v>
      </c>
      <c r="E43" s="102">
        <f t="shared" si="14"/>
        <v>0</v>
      </c>
      <c r="F43" s="102">
        <f t="shared" si="14"/>
        <v>0</v>
      </c>
      <c r="G43" s="102">
        <f t="shared" si="14"/>
        <v>0</v>
      </c>
      <c r="H43" s="102">
        <f t="shared" si="14"/>
        <v>0</v>
      </c>
      <c r="I43" s="1"/>
    </row>
    <row r="44" spans="1:9" s="102" customFormat="1" ht="12.75">
      <c r="A44" s="106"/>
      <c r="B44" s="102" t="s">
        <v>1257</v>
      </c>
      <c r="C44" s="102">
        <f aca="true" t="shared" si="15" ref="C44:H44">C43*Policy_Period_Factor</f>
        <v>0</v>
      </c>
      <c r="D44" s="102">
        <f t="shared" si="15"/>
        <v>0</v>
      </c>
      <c r="E44" s="102">
        <f t="shared" si="15"/>
        <v>0</v>
      </c>
      <c r="F44" s="102">
        <f t="shared" si="15"/>
        <v>0</v>
      </c>
      <c r="G44" s="102">
        <f t="shared" si="15"/>
        <v>0</v>
      </c>
      <c r="H44" s="102">
        <f t="shared" si="15"/>
        <v>0</v>
      </c>
      <c r="I44" s="1"/>
    </row>
    <row r="45" spans="1:9" s="102" customFormat="1" ht="12.75">
      <c r="A45" s="106"/>
      <c r="B45" s="102" t="s">
        <v>1258</v>
      </c>
      <c r="C45" s="102">
        <f aca="true" t="shared" si="16" ref="C45:H45">C44-(C44*Fampak_Discount_Factor)</f>
        <v>0</v>
      </c>
      <c r="D45" s="102">
        <f t="shared" si="16"/>
        <v>0</v>
      </c>
      <c r="E45" s="102">
        <f t="shared" si="16"/>
        <v>0</v>
      </c>
      <c r="F45" s="102">
        <f t="shared" si="16"/>
        <v>0</v>
      </c>
      <c r="G45" s="102">
        <f t="shared" si="16"/>
        <v>0</v>
      </c>
      <c r="H45" s="102">
        <f t="shared" si="16"/>
        <v>0</v>
      </c>
      <c r="I45" s="1"/>
    </row>
    <row r="46" spans="1:9" s="102" customFormat="1" ht="12.75">
      <c r="A46" s="106"/>
      <c r="B46" s="112" t="s">
        <v>1259</v>
      </c>
      <c r="C46" s="102">
        <f aca="true" t="shared" si="17" ref="C46:H46">C45-(C45*Prime_Life_Discount_Factor)</f>
        <v>0</v>
      </c>
      <c r="D46" s="102">
        <f t="shared" si="17"/>
        <v>0</v>
      </c>
      <c r="E46" s="102">
        <f t="shared" si="17"/>
        <v>0</v>
      </c>
      <c r="F46" s="102">
        <f t="shared" si="17"/>
        <v>0</v>
      </c>
      <c r="G46" s="102">
        <f t="shared" si="17"/>
        <v>0</v>
      </c>
      <c r="H46" s="102">
        <f t="shared" si="17"/>
        <v>0</v>
      </c>
      <c r="I46" s="1"/>
    </row>
    <row r="47" spans="1:9" s="102" customFormat="1" ht="12.75">
      <c r="A47" s="106"/>
      <c r="B47" s="102" t="s">
        <v>1260</v>
      </c>
      <c r="C47" s="102">
        <f aca="true" t="shared" si="18" ref="C47:H47">IF(Insured_State="PA",C46-(C46*C28),C46)</f>
        <v>0</v>
      </c>
      <c r="D47" s="102">
        <f t="shared" si="18"/>
        <v>0</v>
      </c>
      <c r="E47" s="102">
        <f t="shared" si="18"/>
        <v>0</v>
      </c>
      <c r="F47" s="102">
        <f t="shared" si="18"/>
        <v>0</v>
      </c>
      <c r="G47" s="102">
        <f t="shared" si="18"/>
        <v>0</v>
      </c>
      <c r="H47" s="102">
        <f t="shared" si="18"/>
        <v>0</v>
      </c>
      <c r="I47" s="1"/>
    </row>
    <row r="48" spans="1:9" s="102" customFormat="1" ht="12.75">
      <c r="A48" s="106"/>
      <c r="B48" s="112" t="s">
        <v>1263</v>
      </c>
      <c r="C48" s="102">
        <f>C46-(C46*INDEX(Mass_Merchandise_Factor,,1))</f>
        <v>0</v>
      </c>
      <c r="D48" s="102">
        <f>D46-(D46*INDEX(Mass_Merchandise_Factor,,2))</f>
        <v>0</v>
      </c>
      <c r="E48" s="102">
        <f>E46-(E46*INDEX(Mass_Merchandise_Factor,,3))</f>
        <v>0</v>
      </c>
      <c r="F48" s="102">
        <f>F46-(F46*INDEX(Mass_Merchandise_Factor,,4))</f>
        <v>0</v>
      </c>
      <c r="G48" s="102">
        <f>G46-(G46*INDEX(Mass_Merchandise_Factor,,5))</f>
        <v>0</v>
      </c>
      <c r="H48" s="102">
        <f>H46-(H46*INDEX(Mass_Merchandise_Factor,,6))</f>
        <v>0</v>
      </c>
      <c r="I48" s="1"/>
    </row>
    <row r="49" spans="1:9" s="102" customFormat="1" ht="12.75">
      <c r="A49" s="106"/>
      <c r="B49" s="112" t="s">
        <v>1264</v>
      </c>
      <c r="C49" s="102">
        <f aca="true" t="shared" si="19" ref="C49:H49">C48-(C48*IN_Standard_Agent_Commission_Factor)</f>
        <v>0</v>
      </c>
      <c r="D49" s="102">
        <f t="shared" si="19"/>
        <v>0</v>
      </c>
      <c r="E49" s="102">
        <f t="shared" si="19"/>
        <v>0</v>
      </c>
      <c r="F49" s="102">
        <f t="shared" si="19"/>
        <v>0</v>
      </c>
      <c r="G49" s="102">
        <f t="shared" si="19"/>
        <v>0</v>
      </c>
      <c r="H49" s="102">
        <f t="shared" si="19"/>
        <v>0</v>
      </c>
      <c r="I49" s="1"/>
    </row>
    <row r="50" spans="1:9" s="102" customFormat="1" ht="12.75">
      <c r="A50" s="106" t="s">
        <v>1265</v>
      </c>
      <c r="B50" s="112" t="s">
        <v>1266</v>
      </c>
      <c r="C50" s="102">
        <f aca="true" t="shared" si="20" ref="C50:H50">C49</f>
        <v>0</v>
      </c>
      <c r="D50" s="102">
        <f t="shared" si="20"/>
        <v>0</v>
      </c>
      <c r="E50" s="102">
        <f t="shared" si="20"/>
        <v>0</v>
      </c>
      <c r="F50" s="102">
        <f t="shared" si="20"/>
        <v>0</v>
      </c>
      <c r="G50" s="102">
        <f t="shared" si="20"/>
        <v>0</v>
      </c>
      <c r="H50" s="102">
        <f t="shared" si="20"/>
        <v>0</v>
      </c>
      <c r="I50" s="1"/>
    </row>
    <row r="51" spans="1:9" s="102" customFormat="1" ht="12.75">
      <c r="A51" s="106"/>
      <c r="B51" s="112"/>
      <c r="I51" s="1"/>
    </row>
    <row r="52" spans="1:9" ht="12.75">
      <c r="A52" s="106"/>
      <c r="B52" s="102" t="s">
        <v>1267</v>
      </c>
      <c r="C52" s="102">
        <f>INDEX(Is_Medical_Applicable_For_Vehicle,,1)</f>
        <v>0</v>
      </c>
      <c r="D52" s="102">
        <f>INDEX(Is_Medical_Applicable_For_Vehicle,,2)</f>
        <v>0</v>
      </c>
      <c r="E52" s="102">
        <f>INDEX(Is_Medical_Applicable_For_Vehicle,,3)</f>
        <v>0</v>
      </c>
      <c r="F52" s="102">
        <f>INDEX(Is_Medical_Applicable_For_Vehicle,,4)</f>
        <v>0</v>
      </c>
      <c r="G52" s="102">
        <f>INDEX(Is_Medical_Applicable_For_Vehicle,,5)</f>
        <v>0</v>
      </c>
      <c r="H52" s="102">
        <f>INDEX(Is_Medical_Applicable_For_Vehicle,,6)</f>
        <v>0</v>
      </c>
      <c r="I52" s="1"/>
    </row>
    <row r="53" spans="1:9" ht="12.75">
      <c r="A53" s="106"/>
      <c r="B53" s="102"/>
      <c r="C53" s="102"/>
      <c r="D53" s="102"/>
      <c r="E53" s="102"/>
      <c r="F53" s="102"/>
      <c r="G53" s="102"/>
      <c r="H53" s="102"/>
      <c r="I53" s="1"/>
    </row>
    <row r="54" spans="2:9" ht="12.75">
      <c r="B54" s="112" t="s">
        <v>1328</v>
      </c>
      <c r="C54" s="112">
        <f aca="true" t="shared" si="21" ref="C54:H54">IF(OR(ISERROR(C50),C50&lt;=0,C52=0),0,ROUND(C50,2))</f>
        <v>0</v>
      </c>
      <c r="D54" s="112">
        <f t="shared" si="21"/>
        <v>0</v>
      </c>
      <c r="E54" s="112">
        <f t="shared" si="21"/>
        <v>0</v>
      </c>
      <c r="F54" s="112">
        <f t="shared" si="21"/>
        <v>0</v>
      </c>
      <c r="G54" s="112">
        <f t="shared" si="21"/>
        <v>0</v>
      </c>
      <c r="H54" s="112">
        <f t="shared" si="21"/>
        <v>0</v>
      </c>
      <c r="I54" s="6"/>
    </row>
    <row r="56" spans="1:9" s="112" customFormat="1" ht="12.75">
      <c r="A56" s="106" t="s">
        <v>1270</v>
      </c>
      <c r="B56" s="106" t="s">
        <v>1328</v>
      </c>
      <c r="C56" s="110">
        <f aca="true" t="shared" si="22" ref="C56:H56">C54</f>
        <v>0</v>
      </c>
      <c r="D56" s="110">
        <f t="shared" si="22"/>
        <v>0</v>
      </c>
      <c r="E56" s="110">
        <f t="shared" si="22"/>
        <v>0</v>
      </c>
      <c r="F56" s="110">
        <f t="shared" si="22"/>
        <v>0</v>
      </c>
      <c r="G56" s="110">
        <f t="shared" si="22"/>
        <v>0</v>
      </c>
      <c r="H56" s="110">
        <f t="shared" si="22"/>
        <v>0</v>
      </c>
      <c r="I56" s="15"/>
    </row>
    <row r="57" spans="1:9" s="112" customFormat="1" ht="12.75">
      <c r="A57" s="106" t="s">
        <v>1270</v>
      </c>
      <c r="B57" s="106" t="s">
        <v>1329</v>
      </c>
      <c r="C57" s="110">
        <f aca="true" t="shared" si="23" ref="C57:H57">IF(OR(Insured_State&lt;&gt;"NC",ISERROR(C54),C52=0),0,ROUND(C54*7.54/100,2))</f>
        <v>0</v>
      </c>
      <c r="D57" s="110">
        <f t="shared" si="23"/>
        <v>0</v>
      </c>
      <c r="E57" s="110">
        <f t="shared" si="23"/>
        <v>0</v>
      </c>
      <c r="F57" s="110">
        <f t="shared" si="23"/>
        <v>0</v>
      </c>
      <c r="G57" s="110">
        <f t="shared" si="23"/>
        <v>0</v>
      </c>
      <c r="H57" s="110">
        <f t="shared" si="23"/>
        <v>0</v>
      </c>
      <c r="I57" s="15"/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61"/>
  <sheetViews>
    <sheetView zoomScale="75" zoomScaleNormal="75" workbookViewId="0" topLeftCell="A25">
      <selection activeCell="C6" sqref="C6"/>
    </sheetView>
  </sheetViews>
  <sheetFormatPr defaultColWidth="9.140625" defaultRowHeight="12.75"/>
  <cols>
    <col min="2" max="2" width="39.7109375" style="0" bestFit="1" customWidth="1"/>
    <col min="9" max="9" width="25.28125" style="0" customWidth="1"/>
  </cols>
  <sheetData>
    <row r="1" spans="1:8" ht="20.25" customHeight="1">
      <c r="A1" s="103"/>
      <c r="B1" s="104" t="s">
        <v>1330</v>
      </c>
      <c r="C1" s="103"/>
      <c r="D1" s="103"/>
      <c r="E1" s="103"/>
      <c r="F1" s="102"/>
      <c r="G1" s="102"/>
      <c r="H1" s="102"/>
    </row>
    <row r="2" spans="1:8" ht="20.25" customHeight="1">
      <c r="A2" s="103"/>
      <c r="B2" s="105"/>
      <c r="C2" s="103"/>
      <c r="D2" s="103"/>
      <c r="E2" s="103"/>
      <c r="F2" s="102"/>
      <c r="G2" s="102"/>
      <c r="H2" s="102"/>
    </row>
    <row r="3" spans="1:9" ht="12.75">
      <c r="A3" s="106" t="s">
        <v>1206</v>
      </c>
      <c r="B3" s="106" t="s">
        <v>1207</v>
      </c>
      <c r="C3" s="106" t="s">
        <v>428</v>
      </c>
      <c r="D3" s="106" t="s">
        <v>429</v>
      </c>
      <c r="E3" s="106" t="s">
        <v>430</v>
      </c>
      <c r="F3" s="106" t="s">
        <v>431</v>
      </c>
      <c r="G3" s="106" t="s">
        <v>432</v>
      </c>
      <c r="H3" s="106" t="s">
        <v>433</v>
      </c>
      <c r="I3" s="31" t="s">
        <v>229</v>
      </c>
    </row>
    <row r="4" spans="1:8" ht="12.75">
      <c r="A4" s="106" t="s">
        <v>1208</v>
      </c>
      <c r="B4" s="102" t="s">
        <v>1209</v>
      </c>
      <c r="C4" s="102">
        <f>INDEX(IF(CSL,UM_CSL_Base_Rate,UM_BI_Base_rate),1,1)</f>
        <v>0</v>
      </c>
      <c r="D4" s="102">
        <f>INDEX(IF(CSL,UM_CSL_Base_Rate,UM_BI_Base_rate),1,2)</f>
        <v>0</v>
      </c>
      <c r="E4" s="102">
        <f>INDEX(IF(CSL,UM_CSL_Base_Rate,UM_BI_Base_rate),1,3)</f>
        <v>0</v>
      </c>
      <c r="F4" s="102">
        <f>INDEX(IF(CSL,UM_CSL_Base_Rate,UM_BI_Base_rate),1,4)</f>
        <v>0</v>
      </c>
      <c r="G4" s="102">
        <f>INDEX(IF(CSL,UM_CSL_Base_Rate,UM_BI_Base_rate),1,5)</f>
        <v>0</v>
      </c>
      <c r="H4" s="102">
        <f>INDEX(IF(CSL,UM_CSL_Base_Rate,UM_BI_Base_rate),1,6)</f>
        <v>0</v>
      </c>
    </row>
    <row r="5" spans="1:9" s="102" customFormat="1" ht="12.75">
      <c r="A5" s="106"/>
      <c r="B5" s="102" t="s">
        <v>1210</v>
      </c>
      <c r="C5" s="102">
        <f>IF(CSL,0,INDEX(NC_Adjusted_UM_BI_Rate,,1))</f>
        <v>0</v>
      </c>
      <c r="D5" s="102">
        <f>IF(CSL,0,INDEX(NC_Adjusted_UM_BI_Rate,,2))</f>
        <v>0</v>
      </c>
      <c r="E5" s="102">
        <f>IF(CSL,0,INDEX(NC_Adjusted_UM_BI_Rate,,3))</f>
        <v>0</v>
      </c>
      <c r="F5" s="102">
        <f>IF(CSL,0,INDEX(NC_Adjusted_UM_BI_Rate,,4))</f>
        <v>0</v>
      </c>
      <c r="G5" s="102">
        <f>IF(CSL,0,INDEX(NC_Adjusted_UM_BI_Rate,,5))</f>
        <v>0</v>
      </c>
      <c r="H5" s="102">
        <f>IF(CSL,0,INDEX(NC_Adjusted_UM_BI_Rate,,6))</f>
        <v>0</v>
      </c>
      <c r="I5" s="1"/>
    </row>
    <row r="6" spans="1:9" s="102" customFormat="1" ht="12.75" customHeight="1">
      <c r="A6" s="106"/>
      <c r="B6" s="102" t="s">
        <v>1331</v>
      </c>
      <c r="C6" s="102">
        <f>IF(AND(Insured_State="NC",CSL=FALSE,C5=0),INDEX(NC_Alternative_Economic_Loss_Rate,,1),0)</f>
        <v>0</v>
      </c>
      <c r="D6" s="102">
        <f>IF(AND(Insured_State="NC",CSL=FALSE,D5=0),INDEX(NC_Alternative_Economic_Loss_Rate,,2),0)</f>
        <v>0</v>
      </c>
      <c r="E6" s="102">
        <f>IF(AND(Insured_State="NC",CSL=FALSE,E5=0),INDEX(NC_Alternative_Economic_Loss_Rate,,3),0)</f>
        <v>0</v>
      </c>
      <c r="F6" s="102">
        <f>IF(AND(Insured_State="NC",CSL=FALSE,F5=0),INDEX(NC_Alternative_Economic_Loss_Rate,,4),0)</f>
        <v>0</v>
      </c>
      <c r="G6" s="102">
        <f>IF(AND(Insured_State="NC",CSL=FALSE,G5=0),INDEX(NC_Alternative_Economic_Loss_Rate,,5),0)</f>
        <v>0</v>
      </c>
      <c r="H6" s="102">
        <f>IF(AND(Insured_State="NC",CSL=FALSE,H5=0),INDEX(NC_Alternative_Economic_Loss_Rate,,6),0)</f>
        <v>0</v>
      </c>
      <c r="I6" s="1" t="s">
        <v>1332</v>
      </c>
    </row>
    <row r="7" spans="1:9" s="102" customFormat="1" ht="12.75">
      <c r="A7" s="106"/>
      <c r="B7" s="102" t="s">
        <v>1211</v>
      </c>
      <c r="C7" s="102">
        <f aca="true" t="shared" si="0" ref="C7:H7">SUM(C4:C6)</f>
        <v>0</v>
      </c>
      <c r="D7" s="102">
        <f t="shared" si="0"/>
        <v>0</v>
      </c>
      <c r="E7" s="102">
        <f t="shared" si="0"/>
        <v>0</v>
      </c>
      <c r="F7" s="102">
        <f t="shared" si="0"/>
        <v>0</v>
      </c>
      <c r="G7" s="102">
        <f t="shared" si="0"/>
        <v>0</v>
      </c>
      <c r="H7" s="102">
        <f t="shared" si="0"/>
        <v>0</v>
      </c>
      <c r="I7" s="1"/>
    </row>
    <row r="8" spans="1:8" ht="12.75">
      <c r="A8" s="106"/>
      <c r="B8" s="102"/>
      <c r="C8" s="102"/>
      <c r="D8" s="102"/>
      <c r="E8" s="102"/>
      <c r="F8" s="102"/>
      <c r="G8" s="102"/>
      <c r="H8" s="102"/>
    </row>
    <row r="9" spans="1:9" s="102" customFormat="1" ht="12.75">
      <c r="A9" s="106" t="s">
        <v>1212</v>
      </c>
      <c r="B9" s="107" t="s">
        <v>1333</v>
      </c>
      <c r="C9" s="102">
        <f aca="true" t="shared" si="1" ref="C9:H9">(C7*(IF(Insured_State="NC",Company_Deviation_Factor_NC,IF(CSL,Company_Deviation_Factor_UMUIM_CSL,Company_Deviation_Factor_UMUIM_Split_BI))))</f>
        <v>0</v>
      </c>
      <c r="D9" s="102">
        <f t="shared" si="1"/>
        <v>0</v>
      </c>
      <c r="E9" s="102">
        <f t="shared" si="1"/>
        <v>0</v>
      </c>
      <c r="F9" s="102">
        <f t="shared" si="1"/>
        <v>0</v>
      </c>
      <c r="G9" s="102">
        <f t="shared" si="1"/>
        <v>0</v>
      </c>
      <c r="H9" s="102">
        <f t="shared" si="1"/>
        <v>0</v>
      </c>
      <c r="I9" s="1"/>
    </row>
    <row r="10" spans="1:9" s="102" customFormat="1" ht="12.75">
      <c r="A10" s="106"/>
      <c r="B10" s="107"/>
      <c r="I10" s="1"/>
    </row>
    <row r="11" spans="1:8" ht="12.75">
      <c r="A11" s="106" t="s">
        <v>1214</v>
      </c>
      <c r="B11" s="102" t="s">
        <v>1215</v>
      </c>
      <c r="C11" s="102">
        <f>INDEX(IF(CSL,UM_CSL_Increased_Limits_Factor,UM_BI_Increased_Limits_Factor),1,1)</f>
        <v>0</v>
      </c>
      <c r="D11" s="102">
        <f>INDEX(IF(CSL,UM_CSL_Increased_Limits_Factor,UM_BI_Increased_Limits_Factor),1,2)</f>
        <v>0</v>
      </c>
      <c r="E11" s="102">
        <f>INDEX(IF(CSL,UM_CSL_Increased_Limits_Factor,UM_BI_Increased_Limits_Factor),1,3)</f>
        <v>0</v>
      </c>
      <c r="F11" s="102">
        <f>INDEX(IF(CSL,UM_CSL_Increased_Limits_Factor,UM_BI_Increased_Limits_Factor),1,4)</f>
        <v>0</v>
      </c>
      <c r="G11" s="102">
        <f>INDEX(IF(CSL,UM_CSL_Increased_Limits_Factor,UM_BI_Increased_Limits_Factor),1,5)</f>
        <v>0</v>
      </c>
      <c r="H11" s="102">
        <f>INDEX(IF(CSL,UM_CSL_Increased_Limits_Factor,UM_BI_Increased_Limits_Factor),1,6)</f>
        <v>0</v>
      </c>
    </row>
    <row r="12" spans="1:9" s="102" customFormat="1" ht="12.75">
      <c r="A12" s="106"/>
      <c r="B12" s="102" t="s">
        <v>1217</v>
      </c>
      <c r="C12" s="102">
        <f aca="true" t="shared" si="2" ref="C12:H12">IF(Insured_State="NC",1,C11)</f>
        <v>0</v>
      </c>
      <c r="D12" s="102">
        <f t="shared" si="2"/>
        <v>0</v>
      </c>
      <c r="E12" s="102">
        <f t="shared" si="2"/>
        <v>0</v>
      </c>
      <c r="F12" s="102">
        <f t="shared" si="2"/>
        <v>0</v>
      </c>
      <c r="G12" s="102">
        <f t="shared" si="2"/>
        <v>0</v>
      </c>
      <c r="H12" s="102">
        <f t="shared" si="2"/>
        <v>0</v>
      </c>
      <c r="I12" s="1"/>
    </row>
    <row r="13" spans="1:9" s="102" customFormat="1" ht="12.75">
      <c r="A13" s="106" t="s">
        <v>1218</v>
      </c>
      <c r="B13" s="108" t="s">
        <v>1219</v>
      </c>
      <c r="C13" s="102">
        <f aca="true" t="shared" si="3" ref="C13:H13">C12</f>
        <v>0</v>
      </c>
      <c r="D13" s="102">
        <f t="shared" si="3"/>
        <v>0</v>
      </c>
      <c r="E13" s="102">
        <f t="shared" si="3"/>
        <v>0</v>
      </c>
      <c r="F13" s="102">
        <f t="shared" si="3"/>
        <v>0</v>
      </c>
      <c r="G13" s="102">
        <f t="shared" si="3"/>
        <v>0</v>
      </c>
      <c r="H13" s="102">
        <f t="shared" si="3"/>
        <v>0</v>
      </c>
      <c r="I13" s="1"/>
    </row>
    <row r="14" spans="1:8" ht="12.75">
      <c r="A14" s="106"/>
      <c r="B14" s="102"/>
      <c r="C14" s="102"/>
      <c r="D14" s="102"/>
      <c r="E14" s="102"/>
      <c r="F14" s="102"/>
      <c r="G14" s="102"/>
      <c r="H14" s="102"/>
    </row>
    <row r="15" spans="1:9" ht="12.75">
      <c r="A15" s="106"/>
      <c r="B15" s="108" t="s">
        <v>1237</v>
      </c>
      <c r="C15" s="111">
        <f>INDEX(Accident_Prevention_Discount_Factor,,1)</f>
        <v>0</v>
      </c>
      <c r="D15" s="111">
        <f>INDEX(Accident_Prevention_Discount_Factor,,2)</f>
        <v>0</v>
      </c>
      <c r="E15" s="111">
        <f>INDEX(Accident_Prevention_Discount_Factor,,3)</f>
        <v>0</v>
      </c>
      <c r="F15" s="111">
        <f>INDEX(Accident_Prevention_Discount_Factor,,4)</f>
        <v>0</v>
      </c>
      <c r="G15" s="111">
        <f>INDEX(Accident_Prevention_Discount_Factor,,5)</f>
        <v>0</v>
      </c>
      <c r="H15" s="111">
        <f>INDEX(Accident_Prevention_Discount_Factor,,6)</f>
        <v>0</v>
      </c>
      <c r="I15" s="1"/>
    </row>
    <row r="16" spans="1:9" ht="12.75">
      <c r="A16" s="106"/>
      <c r="B16" s="108"/>
      <c r="C16" s="111"/>
      <c r="D16" s="111"/>
      <c r="E16" s="111"/>
      <c r="F16" s="111"/>
      <c r="G16" s="111"/>
      <c r="H16" s="111"/>
      <c r="I16" s="1"/>
    </row>
    <row r="17" spans="1:8" ht="12.75">
      <c r="A17" s="106" t="s">
        <v>1334</v>
      </c>
      <c r="B17" s="108" t="s">
        <v>1335</v>
      </c>
      <c r="C17" s="102">
        <f aca="true" t="shared" si="4" ref="C17:H17">C9*C13*IF(AND(Insured_State="NC",Number_of_Additional_Persons&gt;0),Number_of_Additional_Persons,1)</f>
        <v>0</v>
      </c>
      <c r="D17" s="102">
        <f t="shared" si="4"/>
        <v>0</v>
      </c>
      <c r="E17" s="102">
        <f t="shared" si="4"/>
        <v>0</v>
      </c>
      <c r="F17" s="102">
        <f t="shared" si="4"/>
        <v>0</v>
      </c>
      <c r="G17" s="102">
        <f t="shared" si="4"/>
        <v>0</v>
      </c>
      <c r="H17" s="102">
        <f t="shared" si="4"/>
        <v>0</v>
      </c>
    </row>
    <row r="18" spans="1:8" ht="12.75">
      <c r="A18" s="102"/>
      <c r="B18" s="109"/>
      <c r="C18" s="102"/>
      <c r="D18" s="102"/>
      <c r="E18" s="102"/>
      <c r="F18" s="102"/>
      <c r="G18" s="102"/>
      <c r="H18" s="102"/>
    </row>
    <row r="19" spans="1:9" s="102" customFormat="1" ht="12.75">
      <c r="A19" s="106" t="s">
        <v>1222</v>
      </c>
      <c r="B19" s="102" t="s">
        <v>1255</v>
      </c>
      <c r="C19" s="102">
        <f aca="true" t="shared" si="5" ref="C19:H19">C17-(C17*Valued_Customer_Discount_Factor)</f>
        <v>0</v>
      </c>
      <c r="D19" s="102">
        <f t="shared" si="5"/>
        <v>0</v>
      </c>
      <c r="E19" s="102">
        <f t="shared" si="5"/>
        <v>0</v>
      </c>
      <c r="F19" s="102">
        <f t="shared" si="5"/>
        <v>0</v>
      </c>
      <c r="G19" s="102">
        <f t="shared" si="5"/>
        <v>0</v>
      </c>
      <c r="H19" s="102">
        <f t="shared" si="5"/>
        <v>0</v>
      </c>
      <c r="I19" s="1"/>
    </row>
    <row r="20" spans="1:9" s="102" customFormat="1" ht="12.75">
      <c r="A20" s="106"/>
      <c r="B20" s="102" t="s">
        <v>1256</v>
      </c>
      <c r="C20" s="102">
        <f aca="true" t="shared" si="6" ref="C20:H20">IF(Insured_State="MI",C19-(C19*C15),C19)</f>
        <v>0</v>
      </c>
      <c r="D20" s="102">
        <f t="shared" si="6"/>
        <v>0</v>
      </c>
      <c r="E20" s="102">
        <f t="shared" si="6"/>
        <v>0</v>
      </c>
      <c r="F20" s="102">
        <f t="shared" si="6"/>
        <v>0</v>
      </c>
      <c r="G20" s="102">
        <f t="shared" si="6"/>
        <v>0</v>
      </c>
      <c r="H20" s="102">
        <f t="shared" si="6"/>
        <v>0</v>
      </c>
      <c r="I20" s="1"/>
    </row>
    <row r="21" spans="1:9" s="102" customFormat="1" ht="12.75">
      <c r="A21" s="106"/>
      <c r="B21" s="102" t="s">
        <v>1257</v>
      </c>
      <c r="C21" s="102">
        <f aca="true" t="shared" si="7" ref="C21:H21">C20*Policy_Period_Factor</f>
        <v>0</v>
      </c>
      <c r="D21" s="102">
        <f t="shared" si="7"/>
        <v>0</v>
      </c>
      <c r="E21" s="102">
        <f t="shared" si="7"/>
        <v>0</v>
      </c>
      <c r="F21" s="102">
        <f t="shared" si="7"/>
        <v>0</v>
      </c>
      <c r="G21" s="102">
        <f t="shared" si="7"/>
        <v>0</v>
      </c>
      <c r="H21" s="102">
        <f t="shared" si="7"/>
        <v>0</v>
      </c>
      <c r="I21" s="1"/>
    </row>
    <row r="22" spans="1:9" s="102" customFormat="1" ht="12.75">
      <c r="A22" s="106"/>
      <c r="B22" s="102" t="s">
        <v>1258</v>
      </c>
      <c r="C22" s="102">
        <f aca="true" t="shared" si="8" ref="C22:H22">C21-(C21*Fampak_Discount_Factor)</f>
        <v>0</v>
      </c>
      <c r="D22" s="102">
        <f t="shared" si="8"/>
        <v>0</v>
      </c>
      <c r="E22" s="102">
        <f t="shared" si="8"/>
        <v>0</v>
      </c>
      <c r="F22" s="102">
        <f t="shared" si="8"/>
        <v>0</v>
      </c>
      <c r="G22" s="102">
        <f t="shared" si="8"/>
        <v>0</v>
      </c>
      <c r="H22" s="102">
        <f t="shared" si="8"/>
        <v>0</v>
      </c>
      <c r="I22" s="1"/>
    </row>
    <row r="23" spans="1:9" s="102" customFormat="1" ht="12.75">
      <c r="A23" s="106"/>
      <c r="B23" s="112" t="s">
        <v>1259</v>
      </c>
      <c r="C23" s="102">
        <f aca="true" t="shared" si="9" ref="C23:H23">C22-(C22*Prime_Life_Discount_Factor)</f>
        <v>0</v>
      </c>
      <c r="D23" s="102">
        <f t="shared" si="9"/>
        <v>0</v>
      </c>
      <c r="E23" s="102">
        <f t="shared" si="9"/>
        <v>0</v>
      </c>
      <c r="F23" s="102">
        <f t="shared" si="9"/>
        <v>0</v>
      </c>
      <c r="G23" s="102">
        <f t="shared" si="9"/>
        <v>0</v>
      </c>
      <c r="H23" s="102">
        <f t="shared" si="9"/>
        <v>0</v>
      </c>
      <c r="I23" s="1"/>
    </row>
    <row r="24" spans="1:9" s="102" customFormat="1" ht="12.75">
      <c r="A24" s="106"/>
      <c r="B24" s="102" t="s">
        <v>1260</v>
      </c>
      <c r="C24" s="102">
        <f aca="true" t="shared" si="10" ref="C24:H24">IF(Insured_State="PA",C23-(C23*C15),C23)</f>
        <v>0</v>
      </c>
      <c r="D24" s="102">
        <f t="shared" si="10"/>
        <v>0</v>
      </c>
      <c r="E24" s="102">
        <f t="shared" si="10"/>
        <v>0</v>
      </c>
      <c r="F24" s="102">
        <f t="shared" si="10"/>
        <v>0</v>
      </c>
      <c r="G24" s="102">
        <f t="shared" si="10"/>
        <v>0</v>
      </c>
      <c r="H24" s="102">
        <f t="shared" si="10"/>
        <v>0</v>
      </c>
      <c r="I24" s="1"/>
    </row>
    <row r="25" spans="1:9" s="102" customFormat="1" ht="12.75">
      <c r="A25" s="106"/>
      <c r="B25" s="102" t="s">
        <v>1261</v>
      </c>
      <c r="C25" s="102">
        <f aca="true" t="shared" si="11" ref="C25:H25">IF(Insured_State="PA",Tort_Factor_UMUIM,1)</f>
        <v>1</v>
      </c>
      <c r="D25" s="102">
        <f t="shared" si="11"/>
        <v>1</v>
      </c>
      <c r="E25" s="102">
        <f t="shared" si="11"/>
        <v>1</v>
      </c>
      <c r="F25" s="102">
        <f t="shared" si="11"/>
        <v>1</v>
      </c>
      <c r="G25" s="102">
        <f t="shared" si="11"/>
        <v>1</v>
      </c>
      <c r="H25" s="102">
        <f t="shared" si="11"/>
        <v>1</v>
      </c>
      <c r="I25" s="1"/>
    </row>
    <row r="26" spans="1:9" s="102" customFormat="1" ht="12.75">
      <c r="A26" s="106"/>
      <c r="B26" s="102" t="s">
        <v>1262</v>
      </c>
      <c r="C26" s="102">
        <f aca="true" t="shared" si="12" ref="C26:H26">C24*C25</f>
        <v>0</v>
      </c>
      <c r="D26" s="102">
        <f t="shared" si="12"/>
        <v>0</v>
      </c>
      <c r="E26" s="102">
        <f t="shared" si="12"/>
        <v>0</v>
      </c>
      <c r="F26" s="102">
        <f t="shared" si="12"/>
        <v>0</v>
      </c>
      <c r="G26" s="102">
        <f t="shared" si="12"/>
        <v>0</v>
      </c>
      <c r="H26" s="102">
        <f t="shared" si="12"/>
        <v>0</v>
      </c>
      <c r="I26" s="1"/>
    </row>
    <row r="27" spans="1:9" s="102" customFormat="1" ht="12.75">
      <c r="A27" s="106"/>
      <c r="B27" s="112" t="s">
        <v>1263</v>
      </c>
      <c r="C27" s="102">
        <f>C26-(C26*INDEX(Mass_Merchandise_Factor,,1))</f>
        <v>0</v>
      </c>
      <c r="D27" s="102">
        <f>D26-(D26*INDEX(Mass_Merchandise_Factor,,2))</f>
        <v>0</v>
      </c>
      <c r="E27" s="102">
        <f>E26-(E26*INDEX(Mass_Merchandise_Factor,,3))</f>
        <v>0</v>
      </c>
      <c r="F27" s="102">
        <f>F26-(F26*INDEX(Mass_Merchandise_Factor,,4))</f>
        <v>0</v>
      </c>
      <c r="G27" s="102">
        <f>G26-(G26*INDEX(Mass_Merchandise_Factor,,5))</f>
        <v>0</v>
      </c>
      <c r="H27" s="102">
        <f>H26-(H26*INDEX(Mass_Merchandise_Factor,,6))</f>
        <v>0</v>
      </c>
      <c r="I27" s="1"/>
    </row>
    <row r="28" spans="1:9" s="102" customFormat="1" ht="12.75">
      <c r="A28" s="106"/>
      <c r="B28" s="112" t="s">
        <v>1264</v>
      </c>
      <c r="C28" s="102">
        <f aca="true" t="shared" si="13" ref="C28:H28">C27-(C27*IN_Standard_Agent_Commission_Factor)</f>
        <v>0</v>
      </c>
      <c r="D28" s="102">
        <f t="shared" si="13"/>
        <v>0</v>
      </c>
      <c r="E28" s="102">
        <f t="shared" si="13"/>
        <v>0</v>
      </c>
      <c r="F28" s="102">
        <f t="shared" si="13"/>
        <v>0</v>
      </c>
      <c r="G28" s="102">
        <f t="shared" si="13"/>
        <v>0</v>
      </c>
      <c r="H28" s="102">
        <f t="shared" si="13"/>
        <v>0</v>
      </c>
      <c r="I28" s="1"/>
    </row>
    <row r="29" spans="1:9" s="102" customFormat="1" ht="12.75">
      <c r="A29" s="106"/>
      <c r="B29" s="112" t="s">
        <v>1266</v>
      </c>
      <c r="C29" s="102">
        <f aca="true" t="shared" si="14" ref="C29:H29">C28</f>
        <v>0</v>
      </c>
      <c r="D29" s="102">
        <f t="shared" si="14"/>
        <v>0</v>
      </c>
      <c r="E29" s="102">
        <f t="shared" si="14"/>
        <v>0</v>
      </c>
      <c r="F29" s="102">
        <f t="shared" si="14"/>
        <v>0</v>
      </c>
      <c r="G29" s="102">
        <f t="shared" si="14"/>
        <v>0</v>
      </c>
      <c r="H29" s="102">
        <f t="shared" si="14"/>
        <v>0</v>
      </c>
      <c r="I29" s="1"/>
    </row>
    <row r="30" spans="1:8" ht="12.75">
      <c r="A30" s="102"/>
      <c r="B30" s="109"/>
      <c r="C30" s="102"/>
      <c r="D30" s="102"/>
      <c r="E30" s="102"/>
      <c r="F30" s="102"/>
      <c r="G30" s="102"/>
      <c r="H30" s="102"/>
    </row>
    <row r="31" spans="1:8" ht="12.75">
      <c r="A31" s="106" t="s">
        <v>1229</v>
      </c>
      <c r="B31" s="102" t="s">
        <v>1336</v>
      </c>
      <c r="C31" s="102">
        <f>IF(CSL,0,INDEX(UM_PD_Base_rate,1,1))</f>
        <v>0</v>
      </c>
      <c r="D31" s="102">
        <f>IF(CSL,0,INDEX(UM_PD_Base_rate,1,2))</f>
        <v>0</v>
      </c>
      <c r="E31" s="102">
        <f>IF(CSL,0,INDEX(UM_PD_Base_rate,1,3))</f>
        <v>0</v>
      </c>
      <c r="F31" s="102">
        <f>IF(CSL,0,INDEX(UM_PD_Base_rate,1,4))</f>
        <v>0</v>
      </c>
      <c r="G31" s="102">
        <f>IF(CSL,0,INDEX(UM_PD_Base_rate,1,5))</f>
        <v>0</v>
      </c>
      <c r="H31" s="102">
        <f>IF(CSL,0,INDEX(UM_PD_Base_rate,1,6))</f>
        <v>0</v>
      </c>
    </row>
    <row r="32" spans="1:9" s="102" customFormat="1" ht="12.75">
      <c r="A32" s="106"/>
      <c r="B32" s="102" t="s">
        <v>1210</v>
      </c>
      <c r="C32" s="102">
        <f>IF(CSL,0,INDEX(NC_Adjusted_UM_PD_Rate,,1))</f>
        <v>0</v>
      </c>
      <c r="D32" s="102">
        <f>IF(CSL,0,INDEX(NC_Adjusted_UM_PD_Rate,,2))</f>
        <v>0</v>
      </c>
      <c r="E32" s="102">
        <f>IF(CSL,0,INDEX(NC_Adjusted_UM_PD_Rate,,3))</f>
        <v>0</v>
      </c>
      <c r="F32" s="102">
        <f>IF(CSL,0,INDEX(NC_Adjusted_UM_PD_Rate,,4))</f>
        <v>0</v>
      </c>
      <c r="G32" s="102">
        <f>IF(CSL,0,INDEX(NC_Adjusted_UM_PD_Rate,,5))</f>
        <v>0</v>
      </c>
      <c r="H32" s="102">
        <f>IF(CSL,0,INDEX(NC_Adjusted_UM_PD_Rate,,6))</f>
        <v>0</v>
      </c>
      <c r="I32" s="1"/>
    </row>
    <row r="33" spans="1:9" s="102" customFormat="1" ht="12.75">
      <c r="A33" s="106"/>
      <c r="B33" s="102" t="s">
        <v>1211</v>
      </c>
      <c r="C33" s="102">
        <f aca="true" t="shared" si="15" ref="C33:H33">SUM(C31:C32)</f>
        <v>0</v>
      </c>
      <c r="D33" s="102">
        <f t="shared" si="15"/>
        <v>0</v>
      </c>
      <c r="E33" s="102">
        <f t="shared" si="15"/>
        <v>0</v>
      </c>
      <c r="F33" s="102">
        <f t="shared" si="15"/>
        <v>0</v>
      </c>
      <c r="G33" s="102">
        <f t="shared" si="15"/>
        <v>0</v>
      </c>
      <c r="H33" s="102">
        <f t="shared" si="15"/>
        <v>0</v>
      </c>
      <c r="I33" s="1"/>
    </row>
    <row r="34" spans="1:8" ht="12.75">
      <c r="A34" s="106"/>
      <c r="B34" s="102"/>
      <c r="C34" s="102"/>
      <c r="D34" s="102"/>
      <c r="E34" s="102"/>
      <c r="F34" s="102"/>
      <c r="G34" s="102"/>
      <c r="H34" s="102"/>
    </row>
    <row r="35" spans="1:8" ht="12.75">
      <c r="A35" s="106" t="s">
        <v>1283</v>
      </c>
      <c r="B35" s="102" t="s">
        <v>1337</v>
      </c>
      <c r="C35" s="102">
        <f aca="true" t="shared" si="16" ref="C35:H35">(C33*(IF(Insured_State="NC",Company_Deviation_Factor_NC,Company_Deviation_Factor_UMUIM_Split_PD))*Tier_Rating_Factor)</f>
        <v>0</v>
      </c>
      <c r="D35" s="102">
        <f t="shared" si="16"/>
        <v>0</v>
      </c>
      <c r="E35" s="102">
        <f t="shared" si="16"/>
        <v>0</v>
      </c>
      <c r="F35" s="102">
        <f t="shared" si="16"/>
        <v>0</v>
      </c>
      <c r="G35" s="102">
        <f t="shared" si="16"/>
        <v>0</v>
      </c>
      <c r="H35" s="102">
        <f t="shared" si="16"/>
        <v>0</v>
      </c>
    </row>
    <row r="36" spans="1:8" ht="12.75">
      <c r="A36" s="106"/>
      <c r="B36" s="102"/>
      <c r="C36" s="102"/>
      <c r="D36" s="102"/>
      <c r="E36" s="102"/>
      <c r="F36" s="102"/>
      <c r="G36" s="102"/>
      <c r="H36" s="102"/>
    </row>
    <row r="37" spans="1:8" ht="12.75">
      <c r="A37" s="106" t="s">
        <v>1231</v>
      </c>
      <c r="B37" s="102" t="s">
        <v>633</v>
      </c>
      <c r="C37" s="102">
        <f>IF(CSL,0,INDEX(UM_PD_Increased_Limits_Factor,,1))</f>
        <v>0</v>
      </c>
      <c r="D37" s="102">
        <f>IF(CSL,0,INDEX(UM_PD_Increased_Limits_Factor,,2))</f>
        <v>0</v>
      </c>
      <c r="E37" s="102">
        <f>IF(CSL,0,INDEX(UM_PD_Increased_Limits_Factor,,3))</f>
        <v>0</v>
      </c>
      <c r="F37" s="102">
        <f>IF(CSL,0,INDEX(UM_PD_Increased_Limits_Factor,,4))</f>
        <v>0</v>
      </c>
      <c r="G37" s="102">
        <f>IF(CSL,0,INDEX(UM_PD_Increased_Limits_Factor,,5))</f>
        <v>0</v>
      </c>
      <c r="H37" s="102">
        <f>IF(CSL,0,INDEX(UM_PD_Increased_Limits_Factor,,6))</f>
        <v>0</v>
      </c>
    </row>
    <row r="38" spans="1:9" s="102" customFormat="1" ht="12.75">
      <c r="A38" s="106"/>
      <c r="B38" s="102" t="s">
        <v>1217</v>
      </c>
      <c r="C38" s="102">
        <f aca="true" t="shared" si="17" ref="C38:H38">IF(Insured_State="NC",1,C37)</f>
        <v>0</v>
      </c>
      <c r="D38" s="102">
        <f t="shared" si="17"/>
        <v>0</v>
      </c>
      <c r="E38" s="102">
        <f t="shared" si="17"/>
        <v>0</v>
      </c>
      <c r="F38" s="102">
        <f t="shared" si="17"/>
        <v>0</v>
      </c>
      <c r="G38" s="102">
        <f t="shared" si="17"/>
        <v>0</v>
      </c>
      <c r="H38" s="102">
        <f t="shared" si="17"/>
        <v>0</v>
      </c>
      <c r="I38" s="1"/>
    </row>
    <row r="39" spans="1:9" s="102" customFormat="1" ht="12.75">
      <c r="A39" s="106" t="s">
        <v>1338</v>
      </c>
      <c r="B39" s="108" t="s">
        <v>1219</v>
      </c>
      <c r="C39" s="102">
        <f aca="true" t="shared" si="18" ref="C39:H39">C38</f>
        <v>0</v>
      </c>
      <c r="D39" s="102">
        <f t="shared" si="18"/>
        <v>0</v>
      </c>
      <c r="E39" s="102">
        <f t="shared" si="18"/>
        <v>0</v>
      </c>
      <c r="F39" s="102">
        <f t="shared" si="18"/>
        <v>0</v>
      </c>
      <c r="G39" s="102">
        <f t="shared" si="18"/>
        <v>0</v>
      </c>
      <c r="H39" s="102">
        <f t="shared" si="18"/>
        <v>0</v>
      </c>
      <c r="I39" s="1"/>
    </row>
    <row r="40" spans="1:8" ht="12.75">
      <c r="A40" s="106"/>
      <c r="B40" s="102"/>
      <c r="C40" s="102"/>
      <c r="D40" s="102"/>
      <c r="E40" s="102"/>
      <c r="F40" s="102"/>
      <c r="G40" s="102"/>
      <c r="H40" s="102"/>
    </row>
    <row r="41" spans="1:8" ht="12.75">
      <c r="A41" s="106" t="s">
        <v>1339</v>
      </c>
      <c r="B41" s="102" t="s">
        <v>1340</v>
      </c>
      <c r="C41" s="102">
        <f aca="true" t="shared" si="19" ref="C41:H41">C35*C39</f>
        <v>0</v>
      </c>
      <c r="D41" s="102">
        <f t="shared" si="19"/>
        <v>0</v>
      </c>
      <c r="E41" s="102">
        <f t="shared" si="19"/>
        <v>0</v>
      </c>
      <c r="F41" s="102">
        <f t="shared" si="19"/>
        <v>0</v>
      </c>
      <c r="G41" s="102">
        <f t="shared" si="19"/>
        <v>0</v>
      </c>
      <c r="H41" s="102">
        <f t="shared" si="19"/>
        <v>0</v>
      </c>
    </row>
    <row r="42" spans="1:8" ht="12.75">
      <c r="A42" s="106"/>
      <c r="B42" s="102"/>
      <c r="C42" s="102"/>
      <c r="D42" s="102"/>
      <c r="E42" s="102"/>
      <c r="F42" s="102"/>
      <c r="G42" s="102"/>
      <c r="H42" s="102"/>
    </row>
    <row r="43" spans="1:8" ht="12.75">
      <c r="A43" s="106" t="s">
        <v>1233</v>
      </c>
      <c r="B43" s="102" t="s">
        <v>1341</v>
      </c>
      <c r="C43" s="102">
        <f>(C41*INDEX(UMUIM_PD_Deductible_Factor,,1))</f>
        <v>0</v>
      </c>
      <c r="D43" s="102">
        <f>(D41*INDEX(UMUIM_PD_Deductible_Factor,,2))</f>
        <v>0</v>
      </c>
      <c r="E43" s="102">
        <f>(E41*INDEX(UMUIM_PD_Deductible_Factor,,3))</f>
        <v>0</v>
      </c>
      <c r="F43" s="102">
        <f>(F41*INDEX(UMUIM_PD_Deductible_Factor,,4))</f>
        <v>0</v>
      </c>
      <c r="G43" s="102">
        <f>(G41*INDEX(UMUIM_PD_Deductible_Factor,,5))</f>
        <v>0</v>
      </c>
      <c r="H43" s="102">
        <f>(H41*INDEX(UMUIM_PD_Deductible_Factor,,6))</f>
        <v>0</v>
      </c>
    </row>
    <row r="44" spans="1:8" ht="12.75">
      <c r="A44" s="106"/>
      <c r="B44" s="102" t="s">
        <v>1342</v>
      </c>
      <c r="C44" s="102">
        <f aca="true" t="shared" si="20" ref="C44:H44">C41-C43</f>
        <v>0</v>
      </c>
      <c r="D44" s="102">
        <f t="shared" si="20"/>
        <v>0</v>
      </c>
      <c r="E44" s="102">
        <f t="shared" si="20"/>
        <v>0</v>
      </c>
      <c r="F44" s="102">
        <f t="shared" si="20"/>
        <v>0</v>
      </c>
      <c r="G44" s="102">
        <f t="shared" si="20"/>
        <v>0</v>
      </c>
      <c r="H44" s="102">
        <f t="shared" si="20"/>
        <v>0</v>
      </c>
    </row>
    <row r="45" spans="1:8" ht="12.75">
      <c r="A45" s="106"/>
      <c r="B45" s="102"/>
      <c r="C45" s="102"/>
      <c r="D45" s="102"/>
      <c r="E45" s="102"/>
      <c r="F45" s="102"/>
      <c r="G45" s="102"/>
      <c r="H45" s="102"/>
    </row>
    <row r="46" spans="1:9" s="102" customFormat="1" ht="12.75">
      <c r="A46" s="106" t="s">
        <v>1343</v>
      </c>
      <c r="B46" s="102" t="s">
        <v>1255</v>
      </c>
      <c r="C46" s="102">
        <f aca="true" t="shared" si="21" ref="C46:H46">C44-(C44*Valued_Customer_Discount_Factor)</f>
        <v>0</v>
      </c>
      <c r="D46" s="102">
        <f t="shared" si="21"/>
        <v>0</v>
      </c>
      <c r="E46" s="102">
        <f t="shared" si="21"/>
        <v>0</v>
      </c>
      <c r="F46" s="102">
        <f t="shared" si="21"/>
        <v>0</v>
      </c>
      <c r="G46" s="102">
        <f t="shared" si="21"/>
        <v>0</v>
      </c>
      <c r="H46" s="102">
        <f t="shared" si="21"/>
        <v>0</v>
      </c>
      <c r="I46" s="1"/>
    </row>
    <row r="47" spans="1:9" s="102" customFormat="1" ht="12.75">
      <c r="A47" s="106"/>
      <c r="B47" s="102" t="s">
        <v>1256</v>
      </c>
      <c r="C47" s="102">
        <f aca="true" t="shared" si="22" ref="C47:H47">IF(Insured_State="MI",C46-(C46*C15),C46)</f>
        <v>0</v>
      </c>
      <c r="D47" s="102">
        <f t="shared" si="22"/>
        <v>0</v>
      </c>
      <c r="E47" s="102">
        <f t="shared" si="22"/>
        <v>0</v>
      </c>
      <c r="F47" s="102">
        <f t="shared" si="22"/>
        <v>0</v>
      </c>
      <c r="G47" s="102">
        <f t="shared" si="22"/>
        <v>0</v>
      </c>
      <c r="H47" s="102">
        <f t="shared" si="22"/>
        <v>0</v>
      </c>
      <c r="I47" s="1"/>
    </row>
    <row r="48" spans="1:9" s="102" customFormat="1" ht="12.75">
      <c r="A48" s="106"/>
      <c r="B48" s="102" t="s">
        <v>1257</v>
      </c>
      <c r="C48" s="102">
        <f aca="true" t="shared" si="23" ref="C48:H48">C47*Policy_Period_Factor</f>
        <v>0</v>
      </c>
      <c r="D48" s="102">
        <f t="shared" si="23"/>
        <v>0</v>
      </c>
      <c r="E48" s="102">
        <f t="shared" si="23"/>
        <v>0</v>
      </c>
      <c r="F48" s="102">
        <f t="shared" si="23"/>
        <v>0</v>
      </c>
      <c r="G48" s="102">
        <f t="shared" si="23"/>
        <v>0</v>
      </c>
      <c r="H48" s="102">
        <f t="shared" si="23"/>
        <v>0</v>
      </c>
      <c r="I48" s="1"/>
    </row>
    <row r="49" spans="1:9" s="102" customFormat="1" ht="12.75">
      <c r="A49" s="106"/>
      <c r="B49" s="102" t="s">
        <v>1258</v>
      </c>
      <c r="C49" s="102">
        <f aca="true" t="shared" si="24" ref="C49:H49">C48-(C48*Fampak_Discount_Factor)</f>
        <v>0</v>
      </c>
      <c r="D49" s="102">
        <f t="shared" si="24"/>
        <v>0</v>
      </c>
      <c r="E49" s="102">
        <f t="shared" si="24"/>
        <v>0</v>
      </c>
      <c r="F49" s="102">
        <f t="shared" si="24"/>
        <v>0</v>
      </c>
      <c r="G49" s="102">
        <f t="shared" si="24"/>
        <v>0</v>
      </c>
      <c r="H49" s="102">
        <f t="shared" si="24"/>
        <v>0</v>
      </c>
      <c r="I49" s="1"/>
    </row>
    <row r="50" spans="1:9" s="102" customFormat="1" ht="12.75">
      <c r="A50" s="106"/>
      <c r="B50" s="112" t="s">
        <v>1259</v>
      </c>
      <c r="C50" s="102">
        <f aca="true" t="shared" si="25" ref="C50:H50">C49-(C49*Prime_Life_Discount_Factor)</f>
        <v>0</v>
      </c>
      <c r="D50" s="102">
        <f t="shared" si="25"/>
        <v>0</v>
      </c>
      <c r="E50" s="102">
        <f t="shared" si="25"/>
        <v>0</v>
      </c>
      <c r="F50" s="102">
        <f t="shared" si="25"/>
        <v>0</v>
      </c>
      <c r="G50" s="102">
        <f t="shared" si="25"/>
        <v>0</v>
      </c>
      <c r="H50" s="102">
        <f t="shared" si="25"/>
        <v>0</v>
      </c>
      <c r="I50" s="1"/>
    </row>
    <row r="51" spans="1:9" s="102" customFormat="1" ht="12.75">
      <c r="A51" s="106"/>
      <c r="B51" s="102" t="s">
        <v>1260</v>
      </c>
      <c r="C51" s="102">
        <f aca="true" t="shared" si="26" ref="C51:H51">IF(Insured_State="PA",C50-(C50*C15),C50)</f>
        <v>0</v>
      </c>
      <c r="D51" s="102">
        <f t="shared" si="26"/>
        <v>0</v>
      </c>
      <c r="E51" s="102">
        <f t="shared" si="26"/>
        <v>0</v>
      </c>
      <c r="F51" s="102">
        <f t="shared" si="26"/>
        <v>0</v>
      </c>
      <c r="G51" s="102">
        <f t="shared" si="26"/>
        <v>0</v>
      </c>
      <c r="H51" s="102">
        <f t="shared" si="26"/>
        <v>0</v>
      </c>
      <c r="I51" s="1"/>
    </row>
    <row r="52" spans="1:9" s="102" customFormat="1" ht="12.75">
      <c r="A52" s="106"/>
      <c r="B52" s="102" t="s">
        <v>1261</v>
      </c>
      <c r="C52" s="102">
        <f aca="true" t="shared" si="27" ref="C52:H52">IF(Insured_State="PA",Tort_Factor_UMUIM,1)</f>
        <v>1</v>
      </c>
      <c r="D52" s="102">
        <f t="shared" si="27"/>
        <v>1</v>
      </c>
      <c r="E52" s="102">
        <f t="shared" si="27"/>
        <v>1</v>
      </c>
      <c r="F52" s="102">
        <f t="shared" si="27"/>
        <v>1</v>
      </c>
      <c r="G52" s="102">
        <f t="shared" si="27"/>
        <v>1</v>
      </c>
      <c r="H52" s="102">
        <f t="shared" si="27"/>
        <v>1</v>
      </c>
      <c r="I52" s="1"/>
    </row>
    <row r="53" spans="1:9" s="102" customFormat="1" ht="12.75">
      <c r="A53" s="106"/>
      <c r="B53" s="102" t="s">
        <v>1262</v>
      </c>
      <c r="C53" s="102">
        <f aca="true" t="shared" si="28" ref="C53:H53">C51*C52</f>
        <v>0</v>
      </c>
      <c r="D53" s="102">
        <f t="shared" si="28"/>
        <v>0</v>
      </c>
      <c r="E53" s="102">
        <f t="shared" si="28"/>
        <v>0</v>
      </c>
      <c r="F53" s="102">
        <f t="shared" si="28"/>
        <v>0</v>
      </c>
      <c r="G53" s="102">
        <f t="shared" si="28"/>
        <v>0</v>
      </c>
      <c r="H53" s="102">
        <f t="shared" si="28"/>
        <v>0</v>
      </c>
      <c r="I53" s="1"/>
    </row>
    <row r="54" spans="1:9" s="102" customFormat="1" ht="12.75">
      <c r="A54" s="106"/>
      <c r="B54" s="112" t="s">
        <v>1263</v>
      </c>
      <c r="C54" s="102">
        <f>C53-(C53*INDEX(Mass_Merchandise_Factor,,1))</f>
        <v>0</v>
      </c>
      <c r="D54" s="102">
        <f>D53-(D53*INDEX(Mass_Merchandise_Factor,,2))</f>
        <v>0</v>
      </c>
      <c r="E54" s="102">
        <f>E53-(E53*INDEX(Mass_Merchandise_Factor,,3))</f>
        <v>0</v>
      </c>
      <c r="F54" s="102">
        <f>F53-(F53*INDEX(Mass_Merchandise_Factor,,4))</f>
        <v>0</v>
      </c>
      <c r="G54" s="102">
        <f>G53-(G53*INDEX(Mass_Merchandise_Factor,,5))</f>
        <v>0</v>
      </c>
      <c r="H54" s="102">
        <f>H53-(H53*INDEX(Mass_Merchandise_Factor,,6))</f>
        <v>0</v>
      </c>
      <c r="I54" s="1"/>
    </row>
    <row r="55" spans="1:9" s="102" customFormat="1" ht="12.75">
      <c r="A55" s="106"/>
      <c r="B55" s="112" t="s">
        <v>1264</v>
      </c>
      <c r="C55" s="102">
        <f aca="true" t="shared" si="29" ref="C55:H55">C54-(C54*IN_Standard_Agent_Commission_Factor)</f>
        <v>0</v>
      </c>
      <c r="D55" s="102">
        <f t="shared" si="29"/>
        <v>0</v>
      </c>
      <c r="E55" s="102">
        <f t="shared" si="29"/>
        <v>0</v>
      </c>
      <c r="F55" s="102">
        <f t="shared" si="29"/>
        <v>0</v>
      </c>
      <c r="G55" s="102">
        <f t="shared" si="29"/>
        <v>0</v>
      </c>
      <c r="H55" s="102">
        <f t="shared" si="29"/>
        <v>0</v>
      </c>
      <c r="I55" s="1"/>
    </row>
    <row r="56" spans="1:9" s="102" customFormat="1" ht="12.75">
      <c r="A56" s="106"/>
      <c r="B56" s="112" t="s">
        <v>1266</v>
      </c>
      <c r="C56" s="102">
        <f aca="true" t="shared" si="30" ref="C56:H56">C55</f>
        <v>0</v>
      </c>
      <c r="D56" s="102">
        <f t="shared" si="30"/>
        <v>0</v>
      </c>
      <c r="E56" s="102">
        <f t="shared" si="30"/>
        <v>0</v>
      </c>
      <c r="F56" s="102">
        <f t="shared" si="30"/>
        <v>0</v>
      </c>
      <c r="G56" s="102">
        <f t="shared" si="30"/>
        <v>0</v>
      </c>
      <c r="H56" s="102">
        <f t="shared" si="30"/>
        <v>0</v>
      </c>
      <c r="I56" s="1"/>
    </row>
    <row r="57" spans="1:8" ht="12.75">
      <c r="A57" s="106"/>
      <c r="B57" s="102"/>
      <c r="C57" s="102"/>
      <c r="D57" s="102"/>
      <c r="E57" s="102"/>
      <c r="F57" s="102"/>
      <c r="G57" s="102"/>
      <c r="H57" s="102"/>
    </row>
    <row r="58" spans="1:8" ht="12.75">
      <c r="A58" s="106"/>
      <c r="B58" s="102" t="s">
        <v>1267</v>
      </c>
      <c r="C58" s="102">
        <f>INDEX(Is_UM_Applicable_For_Vehicle,,1)</f>
        <v>0</v>
      </c>
      <c r="D58" s="102">
        <f>INDEX(Is_UM_Applicable_For_Vehicle,,2)</f>
        <v>0</v>
      </c>
      <c r="E58" s="102">
        <f>INDEX(Is_UM_Applicable_For_Vehicle,,3)</f>
        <v>0</v>
      </c>
      <c r="F58" s="102">
        <f>INDEX(Is_UM_Applicable_For_Vehicle,,4)</f>
        <v>0</v>
      </c>
      <c r="G58" s="102">
        <f>INDEX(Is_UM_Applicable_For_Vehicle,,5)</f>
        <v>0</v>
      </c>
      <c r="H58" s="102">
        <f>INDEX(Is_UM_Applicable_For_Vehicle,,6)</f>
        <v>0</v>
      </c>
    </row>
    <row r="59" spans="1:8" ht="12.75">
      <c r="A59" s="106"/>
      <c r="B59" s="102"/>
      <c r="C59" s="102"/>
      <c r="D59" s="102"/>
      <c r="E59" s="102"/>
      <c r="F59" s="102"/>
      <c r="G59" s="102"/>
      <c r="H59" s="102"/>
    </row>
    <row r="60" spans="1:8" ht="12.75">
      <c r="A60" s="106" t="s">
        <v>1270</v>
      </c>
      <c r="B60" s="106" t="s">
        <v>1344</v>
      </c>
      <c r="C60" s="106">
        <f aca="true" t="shared" si="31" ref="C60:H60">IF(OR(ISERROR(C29),C29&lt;=0,C58=0),0,ROUND(C29,2))</f>
        <v>0</v>
      </c>
      <c r="D60" s="106">
        <f t="shared" si="31"/>
        <v>0</v>
      </c>
      <c r="E60" s="106">
        <f t="shared" si="31"/>
        <v>0</v>
      </c>
      <c r="F60" s="106">
        <f t="shared" si="31"/>
        <v>0</v>
      </c>
      <c r="G60" s="106">
        <f t="shared" si="31"/>
        <v>0</v>
      </c>
      <c r="H60" s="106">
        <f t="shared" si="31"/>
        <v>0</v>
      </c>
    </row>
    <row r="61" spans="1:8" ht="12.75">
      <c r="A61" s="106" t="s">
        <v>1270</v>
      </c>
      <c r="B61" s="106" t="s">
        <v>1345</v>
      </c>
      <c r="C61" s="106">
        <f aca="true" t="shared" si="32" ref="C61:H61">IF(OR(ISERROR(C56),C56&lt;=0,C58=0),0,ROUND(C56,2))</f>
        <v>0</v>
      </c>
      <c r="D61" s="106">
        <f t="shared" si="32"/>
        <v>0</v>
      </c>
      <c r="E61" s="106">
        <f t="shared" si="32"/>
        <v>0</v>
      </c>
      <c r="F61" s="106">
        <f t="shared" si="32"/>
        <v>0</v>
      </c>
      <c r="G61" s="106">
        <f t="shared" si="32"/>
        <v>0</v>
      </c>
      <c r="H61" s="106">
        <f t="shared" si="32"/>
        <v>0</v>
      </c>
    </row>
  </sheetData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Ramgopal Bhagavatula</dc:creator>
  <cp:keywords/>
  <dc:description/>
  <cp:lastModifiedBy>kiran.sireesh</cp:lastModifiedBy>
  <cp:lastPrinted>2002-05-24T13:52:23Z</cp:lastPrinted>
  <dcterms:created xsi:type="dcterms:W3CDTF">2002-03-06T05:13:39Z</dcterms:created>
  <dcterms:modified xsi:type="dcterms:W3CDTF">2009-04-17T11:56:10Z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-1469774569</vt:i4>
  </property>
  <property fmtid="{D5CDD505-2E9C-101B-9397-08002B2CF9AE}" pid="3" name="_EmailSubject">
    <vt:lpwstr>Updated Rating Sheet</vt:lpwstr>
  </property>
  <property fmtid="{D5CDD505-2E9C-101B-9397-08002B2CF9AE}" pid="4" name="_AuthorEmail">
    <vt:lpwstr>Giri@SEECASIA.com</vt:lpwstr>
  </property>
  <property fmtid="{D5CDD505-2E9C-101B-9397-08002B2CF9AE}" pid="5" name="_AuthorEmailDisplayName">
    <vt:lpwstr>Giridhar Yelamanchili</vt:lpwstr>
  </property>
  <property fmtid="{D5CDD505-2E9C-101B-9397-08002B2CF9AE}" pid="6" name="_PreviousAdHocReviewCycleID">
    <vt:i4>-1469774569</vt:i4>
  </property>
  <property fmtid="{D5CDD505-2E9C-101B-9397-08002B2CF9AE}" pid="7" name="_ReviewingToolsShownOnce">
    <vt:lpwstr/>
  </property>
</Properties>
</file>